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updateLinks="never" codeName="ThisWorkbook" defaultThemeVersion="124226"/>
  <mc:AlternateContent xmlns:mc="http://schemas.openxmlformats.org/markup-compatibility/2006">
    <mc:Choice Requires="x15">
      <x15ac:absPath xmlns:x15ac="http://schemas.microsoft.com/office/spreadsheetml/2010/11/ac" url="V:\65_RT-24_Kurnool\Bidding documents\"/>
    </mc:Choice>
  </mc:AlternateContent>
  <xr:revisionPtr revIDLastSave="0" documentId="13_ncr:1_{50148896-91C5-4084-A9E4-E758EBBBBF74}" xr6:coauthVersionLast="36" xr6:coauthVersionMax="47" xr10:uidLastSave="{00000000-0000-0000-0000-000000000000}"/>
  <workbookProtection workbookPassword="CC37" revisionsPassword="CC7D" lockStructure="1" lockRevision="1"/>
  <bookViews>
    <workbookView xWindow="-120" yWindow="-120" windowWidth="19440" windowHeight="10440" tabRatio="804"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'Sch-1'!$16:$47</definedName>
    <definedName name="_xlnm._FilterDatabase" localSheetId="5" hidden="1">'Sch-2'!$A$16:$AF$45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'Sch-1'!$A$1:$N$51</definedName>
    <definedName name="_xlnm.Print_Area" localSheetId="5">'Sch-2'!$A$1:$J$48</definedName>
    <definedName name="_xlnm.Print_Area" localSheetId="6">'Sch-3'!$A$1:$P$34</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'Sch-1'!$16:$47</definedName>
    <definedName name="Z_112647D2_7580_431B_99B5_DD512E2AD50E_.wvu.FilterData" localSheetId="5" hidden="1">'Sch-2'!$A$16:$AF$45</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'Sch-1'!$A$1:$N$51</definedName>
    <definedName name="Z_112647D2_7580_431B_99B5_DD512E2AD50E_.wvu.PrintArea" localSheetId="5" hidden="1">'Sch-2'!$A$1:$J$48</definedName>
    <definedName name="Z_112647D2_7580_431B_99B5_DD512E2AD50E_.wvu.PrintArea" localSheetId="6" hidden="1">'Sch-3'!$A$1:$P$34</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'Sch-1'!$C$1:$C$47</definedName>
    <definedName name="Z_357C9841_BEC3_434B_AC63_C04FB4321BA3_.wvu.FilterData" localSheetId="5" hidden="1">'Sch-2'!$C$1:$C$50</definedName>
    <definedName name="Z_357C9841_BEC3_434B_AC63_C04FB4321BA3_.wvu.FilterData" localSheetId="6" hidden="1">'Sch-3'!$C$1:$C$36</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'Sch-1'!$A$1:$N$51</definedName>
    <definedName name="Z_357C9841_BEC3_434B_AC63_C04FB4321BA3_.wvu.PrintArea" localSheetId="5" hidden="1">'Sch-2'!$A$1:$J$50</definedName>
    <definedName name="Z_357C9841_BEC3_434B_AC63_C04FB4321BA3_.wvu.PrintArea" localSheetId="6" hidden="1">'Sch-3'!$A$1:$P$36</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'Sch-1'!$C$1:$C$47</definedName>
    <definedName name="Z_3C00DDA0_7DDE_4169_A739_550DAF5DCF8D_.wvu.FilterData" localSheetId="5" hidden="1">'Sch-2'!$C$1:$C$50</definedName>
    <definedName name="Z_3C00DDA0_7DDE_4169_A739_550DAF5DCF8D_.wvu.FilterData" localSheetId="6" hidden="1">'Sch-3'!$C$1:$C$36</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'Sch-1'!$A$1:$N$51</definedName>
    <definedName name="Z_3C00DDA0_7DDE_4169_A739_550DAF5DCF8D_.wvu.PrintArea" localSheetId="5" hidden="1">'Sch-2'!$A$1:$J$50</definedName>
    <definedName name="Z_3C00DDA0_7DDE_4169_A739_550DAF5DCF8D_.wvu.PrintArea" localSheetId="6" hidden="1">'Sch-3'!$A$1:$P$36</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'Sch-1'!$16:$47</definedName>
    <definedName name="Z_63D51328_7CBC_4A1E_B96D_BAE91416501B_.wvu.FilterData" localSheetId="5" hidden="1">'Sch-2'!$A$16:$AF$45</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'Sch-1'!$A$1:$N$51</definedName>
    <definedName name="Z_63D51328_7CBC_4A1E_B96D_BAE91416501B_.wvu.PrintArea" localSheetId="5" hidden="1">'Sch-2'!$A$1:$J$48</definedName>
    <definedName name="Z_63D51328_7CBC_4A1E_B96D_BAE91416501B_.wvu.PrintArea" localSheetId="6" hidden="1">'Sch-3'!$A$1:$P$34</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'Sch-1'!$16:$47</definedName>
    <definedName name="Z_84F40905_A9D3_43A5_987A_8A757D486A94_.wvu.FilterData" localSheetId="5" hidden="1">'Sch-2'!$A$16:$AF$45</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'Sch-1'!$A$1:$N$51</definedName>
    <definedName name="Z_84F40905_A9D3_43A5_987A_8A757D486A94_.wvu.PrintArea" localSheetId="5" hidden="1">'Sch-2'!$A$1:$J$48</definedName>
    <definedName name="Z_84F40905_A9D3_43A5_987A_8A757D486A94_.wvu.PrintArea" localSheetId="6" hidden="1">'Sch-3'!$A$1:$P$34</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'Sch-1'!$16:$47</definedName>
    <definedName name="Z_99CA2F10_F926_46DC_8609_4EAE5B9F3585_.wvu.FilterData" localSheetId="5" hidden="1">'Sch-2'!$A$16:$AF$45</definedName>
    <definedName name="Z_99CA2F10_F926_46DC_8609_4EAE5B9F3585_.wvu.FilterData" localSheetId="6" hidden="1">'Sch-3'!$A$17:$AE$28</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'Sch-1'!$A$1:$N$51</definedName>
    <definedName name="Z_99CA2F10_F926_46DC_8609_4EAE5B9F3585_.wvu.PrintArea" localSheetId="5" hidden="1">'Sch-2'!$A$1:$J$48</definedName>
    <definedName name="Z_99CA2F10_F926_46DC_8609_4EAE5B9F3585_.wvu.PrintArea" localSheetId="6" hidden="1">'Sch-3'!$A$1:$P$34</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'Sch-1'!$16:$47</definedName>
    <definedName name="Z_AD0333DF_5B33_49B5_B063_72505D20EFE4_.wvu.FilterData" localSheetId="5" hidden="1">'Sch-2'!$A$16:$AF$45</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'Sch-1'!$A$1:$N$51</definedName>
    <definedName name="Z_AD0333DF_5B33_49B5_B063_72505D20EFE4_.wvu.PrintArea" localSheetId="5" hidden="1">'Sch-2'!$A$1:$J$48</definedName>
    <definedName name="Z_AD0333DF_5B33_49B5_B063_72505D20EFE4_.wvu.PrintArea" localSheetId="6" hidden="1">'Sch-3'!$A$1:$P$34</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'Sch-1'!$C$1:$C$47</definedName>
    <definedName name="Z_B96E710B_6DD7_4DE1_95AB_C9EE060CD030_.wvu.FilterData" localSheetId="5" hidden="1">'Sch-2'!$C$1:$C$50</definedName>
    <definedName name="Z_B96E710B_6DD7_4DE1_95AB_C9EE060CD030_.wvu.FilterData" localSheetId="6" hidden="1">'Sch-3'!$C$1:$C$36</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'Sch-1'!$A$1:$N$51</definedName>
    <definedName name="Z_B96E710B_6DD7_4DE1_95AB_C9EE060CD030_.wvu.PrintArea" localSheetId="5" hidden="1">'Sch-2'!$A$1:$J$50</definedName>
    <definedName name="Z_B96E710B_6DD7_4DE1_95AB_C9EE060CD030_.wvu.PrintArea" localSheetId="6" hidden="1">'Sch-3'!$A$1:$P$36</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'Sch-1'!$16:$47</definedName>
    <definedName name="Z_BDFA0401_0547_4E51_8BD2_84F711B066CA_.wvu.FilterData" localSheetId="5" hidden="1">'Sch-2'!$A$16:$AF$45</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'Sch-1'!$A$1:$N$51</definedName>
    <definedName name="Z_BDFA0401_0547_4E51_8BD2_84F711B066CA_.wvu.PrintArea" localSheetId="5" hidden="1">'Sch-2'!$A$1:$J$48</definedName>
    <definedName name="Z_BDFA0401_0547_4E51_8BD2_84F711B066CA_.wvu.PrintArea" localSheetId="6" hidden="1">'Sch-3'!$A$1:$P$34</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'Sch-1'!$16:$47</definedName>
    <definedName name="Z_BE68641D_0C1E_4F8D_890A_A660C199187C_.wvu.FilterData" localSheetId="5" hidden="1">'Sch-2'!$A$16:$AF$45</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'Sch-1'!$A$1:$N$51</definedName>
    <definedName name="Z_BE68641D_0C1E_4F8D_890A_A660C199187C_.wvu.PrintArea" localSheetId="5" hidden="1">'Sch-2'!$A$1:$J$48</definedName>
    <definedName name="Z_BE68641D_0C1E_4F8D_890A_A660C199187C_.wvu.PrintArea" localSheetId="6" hidden="1">'Sch-3'!$A$1:$P$34</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'Sch-1'!$16:$47</definedName>
    <definedName name="Z_C44C314C_9BEB_403F_A933_6B948E5C1171_.wvu.FilterData" localSheetId="5" hidden="1">'Sch-2'!$A$16:$AF$45</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'Sch-1'!$A$1:$N$51</definedName>
    <definedName name="Z_C44C314C_9BEB_403F_A933_6B948E5C1171_.wvu.PrintArea" localSheetId="5" hidden="1">'Sch-2'!$A$1:$J$48</definedName>
    <definedName name="Z_C44C314C_9BEB_403F_A933_6B948E5C1171_.wvu.PrintArea" localSheetId="6" hidden="1">'Sch-3'!$A$1:$P$34</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'Sch-1'!$16:$47</definedName>
    <definedName name="Z_CCA37BAE_906F_43D5_9FD9_B13563E4B9D7_.wvu.FilterData" localSheetId="5" hidden="1">'Sch-2'!$A$16:$AF$45</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'Sch-1'!$A$1:$N$51</definedName>
    <definedName name="Z_CCA37BAE_906F_43D5_9FD9_B13563E4B9D7_.wvu.PrintArea" localSheetId="5" hidden="1">'Sch-2'!$A$1:$J$48</definedName>
    <definedName name="Z_CCA37BAE_906F_43D5_9FD9_B13563E4B9D7_.wvu.PrintArea" localSheetId="6" hidden="1">'Sch-3'!$A$1:$P$34</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'Sch-1'!$16:$47</definedName>
    <definedName name="Z_DEF6DCE2_4A74_4BE5_B5D5_8143DC3F770A_.wvu.FilterData" localSheetId="5" hidden="1">'Sch-2'!$A$16:$AF$45</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'Sch-1'!$A$1:$N$51</definedName>
    <definedName name="Z_DEF6DCE2_4A74_4BE5_B5D5_8143DC3F770A_.wvu.PrintArea" localSheetId="5" hidden="1">'Sch-2'!$A$1:$J$48</definedName>
    <definedName name="Z_DEF6DCE2_4A74_4BE5_B5D5_8143DC3F770A_.wvu.PrintArea" localSheetId="6" hidden="1">'Sch-3'!$A$1:$P$34</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'Sch-1'!$16:$47</definedName>
    <definedName name="Z_F658ED72_5E54_4C5B_BB2C_7A2962080984_.wvu.FilterData" localSheetId="5" hidden="1">'Sch-2'!$A$16:$AF$45</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'Sch-1'!$A$1:$N$51</definedName>
    <definedName name="Z_F658ED72_5E54_4C5B_BB2C_7A2962080984_.wvu.PrintArea" localSheetId="5" hidden="1">'Sch-2'!$A$1:$J$48</definedName>
    <definedName name="Z_F658ED72_5E54_4C5B_BB2C_7A2962080984_.wvu.PrintArea" localSheetId="6" hidden="1">'Sch-3'!$A$1:$P$34</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'Sch-1'!$O:$W</definedName>
    <definedName name="Z_F8A50AE1_259E_429D_A506_38EB64D134EF_.wvu.Cols" localSheetId="6" hidden="1">'Sch-3'!$Q:$W,'Sch-3'!$AA:$AA</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'Sch-1'!$16:$47</definedName>
    <definedName name="Z_F8A50AE1_259E_429D_A506_38EB64D134EF_.wvu.FilterData" localSheetId="5" hidden="1">'Sch-2'!$A$16:$AF$45</definedName>
    <definedName name="Z_F8A50AE1_259E_429D_A506_38EB64D134EF_.wvu.PrintArea" localSheetId="18" hidden="1">'Bid Form 2nd Envelope'!$A$1:$F$64</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'Sch-1'!$A$1:$N$51</definedName>
    <definedName name="Z_F8A50AE1_259E_429D_A506_38EB64D134EF_.wvu.PrintArea" localSheetId="5" hidden="1">'Sch-2'!$A$1:$J$48</definedName>
    <definedName name="Z_F8A50AE1_259E_429D_A506_38EB64D134EF_.wvu.PrintArea" localSheetId="6" hidden="1">'Sch-3'!$A$1:$P$34</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dil Iqbal Khan {Adil Iqbal Khan} - Personal View" guid="{F8A50AE1-259E-429D-A506-38EB64D134EF}" mergeInterval="0" personalView="1" maximized="1" xWindow="-9" yWindow="-9" windowWidth="1938" windowHeight="1048" tabRatio="804" activeSheetId="2"/>
    <customWorkbookView name="Kapil Mandil {कपिल मंडिल} - Personal View" guid="{C44C314C-9BEB-403F-A933-6B948E5C1171}" mergeInterval="0" personalView="1" maximized="1" xWindow="-9" yWindow="-9" windowWidth="1938" windowHeight="1048" tabRatio="804" activeSheetId="19"/>
    <customWorkbookView name="Atul Singh - Personal View" guid="{AD0333DF-5B33-49B5-B063-72505D20EFE4}" mergeInterval="0" personalView="1" maximized="1" windowWidth="1362" windowHeight="542"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Manish Bilaiya - Personal View" guid="{F658ED72-5E54-4C5B-BB2C-7A2962080984}" mergeInterval="0" personalView="1" maximized="1" xWindow="-9" yWindow="-9" windowWidth="1938" windowHeight="1048" tabRatio="804" activeSheetId="19"/>
    <customWorkbookView name="Sheel Dave - Personal View" guid="{DEF6DCE2-4A74-4BE5-B5D5-8143DC3F770A}" mergeInterval="0" personalView="1" maximized="1" xWindow="-8" yWindow="-8" windowWidth="1936" windowHeight="1056" tabRatio="804"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Atul Kumar Singh {अतुल कुमार सिंह} - Personal View" guid="{112647D2-7580-431B-99B5-DD512E2AD50E}" mergeInterval="0" personalView="1" maximized="1" xWindow="-8" yWindow="-8" windowWidth="1936" windowHeight="1056" tabRatio="804" activeSheetId="19"/>
    <customWorkbookView name="Ankit Vaishnav {Ankit Vaishnav} - Personal View" guid="{BDFA0401-0547-4E51-8BD2-84F711B066CA}" mergeInterval="0" personalView="1" maximized="1" xWindow="-8" yWindow="-8" windowWidth="1456" windowHeight="876" tabRatio="877" activeSheetId="2"/>
    <customWorkbookView name="Siddhant Kumar {सिद्धांत कुमार} - Personal View" guid="{84F40905-A9D3-43A5-987A-8A757D486A94}" mergeInterval="0" personalView="1" maximized="1" xWindow="-8" yWindow="-8" windowWidth="1936" windowHeight="1056" tabRatio="877" activeSheetId="2"/>
  </customWorkbookViews>
</workbook>
</file>

<file path=xl/calcChain.xml><?xml version="1.0" encoding="utf-8"?>
<calcChain xmlns="http://schemas.openxmlformats.org/spreadsheetml/2006/main">
  <c r="J33" i="6" l="1"/>
  <c r="J32" i="6"/>
  <c r="J31" i="6"/>
  <c r="J30" i="6"/>
  <c r="J29" i="6"/>
  <c r="J28" i="6"/>
  <c r="J27" i="6"/>
  <c r="J26" i="6"/>
  <c r="J25" i="6"/>
  <c r="J24" i="6"/>
  <c r="J23" i="6"/>
  <c r="J22" i="6"/>
  <c r="J21" i="6"/>
  <c r="J20" i="6"/>
  <c r="J19" i="6"/>
  <c r="J18" i="6"/>
  <c r="J41" i="6"/>
  <c r="J40" i="6"/>
  <c r="J39" i="6"/>
  <c r="J38" i="6"/>
  <c r="J37" i="6"/>
  <c r="J36" i="6"/>
  <c r="J35" i="6"/>
  <c r="J34" i="6"/>
  <c r="U41" i="5"/>
  <c r="V41" i="5" s="1"/>
  <c r="T41" i="5"/>
  <c r="N41" i="5"/>
  <c r="P41" i="5" s="1"/>
  <c r="U25" i="5"/>
  <c r="V25" i="5" s="1"/>
  <c r="T25" i="5"/>
  <c r="N25" i="5"/>
  <c r="P25" i="5" s="1"/>
  <c r="U24" i="5"/>
  <c r="V24" i="5" s="1"/>
  <c r="T24" i="5"/>
  <c r="N24" i="5"/>
  <c r="O24" i="5" s="1"/>
  <c r="U23" i="5"/>
  <c r="V23" i="5" s="1"/>
  <c r="T23" i="5"/>
  <c r="P23" i="5"/>
  <c r="N23" i="5"/>
  <c r="O23" i="5" s="1"/>
  <c r="U22" i="5"/>
  <c r="V22" i="5" s="1"/>
  <c r="T22" i="5"/>
  <c r="N22" i="5"/>
  <c r="O22" i="5" s="1"/>
  <c r="U21" i="5"/>
  <c r="V21" i="5" s="1"/>
  <c r="T21" i="5"/>
  <c r="N21" i="5"/>
  <c r="P21" i="5" s="1"/>
  <c r="U20" i="5"/>
  <c r="V20" i="5" s="1"/>
  <c r="T20" i="5"/>
  <c r="N20" i="5"/>
  <c r="P20" i="5" s="1"/>
  <c r="U19" i="5"/>
  <c r="V19" i="5" s="1"/>
  <c r="T19" i="5"/>
  <c r="N19" i="5"/>
  <c r="P19" i="5" s="1"/>
  <c r="U18" i="5"/>
  <c r="V18" i="5" s="1"/>
  <c r="T18" i="5"/>
  <c r="N18" i="5"/>
  <c r="O18" i="5" s="1"/>
  <c r="U33" i="5"/>
  <c r="V33" i="5" s="1"/>
  <c r="T33" i="5"/>
  <c r="N33" i="5"/>
  <c r="P33" i="5" s="1"/>
  <c r="U32" i="5"/>
  <c r="V32" i="5" s="1"/>
  <c r="T32" i="5"/>
  <c r="N32" i="5"/>
  <c r="O32" i="5" s="1"/>
  <c r="U31" i="5"/>
  <c r="V31" i="5" s="1"/>
  <c r="T31" i="5"/>
  <c r="N31" i="5"/>
  <c r="P31" i="5" s="1"/>
  <c r="U30" i="5"/>
  <c r="V30" i="5" s="1"/>
  <c r="T30" i="5"/>
  <c r="N30" i="5"/>
  <c r="O30" i="5" s="1"/>
  <c r="U29" i="5"/>
  <c r="V29" i="5" s="1"/>
  <c r="T29" i="5"/>
  <c r="N29" i="5"/>
  <c r="P29" i="5" s="1"/>
  <c r="U28" i="5"/>
  <c r="V28" i="5" s="1"/>
  <c r="T28" i="5"/>
  <c r="N28" i="5"/>
  <c r="O28" i="5" s="1"/>
  <c r="U27" i="5"/>
  <c r="V27" i="5" s="1"/>
  <c r="T27" i="5"/>
  <c r="N27" i="5"/>
  <c r="P27" i="5" s="1"/>
  <c r="U26" i="5"/>
  <c r="V26" i="5" s="1"/>
  <c r="T26" i="5"/>
  <c r="N26" i="5"/>
  <c r="O26" i="5" s="1"/>
  <c r="P18" i="5" l="1"/>
  <c r="O19" i="5"/>
  <c r="O33" i="5"/>
  <c r="P22" i="5"/>
  <c r="O27" i="5"/>
  <c r="P30" i="5"/>
  <c r="O31" i="5"/>
  <c r="P26" i="5"/>
  <c r="O41" i="5"/>
  <c r="O20" i="5"/>
  <c r="O21" i="5"/>
  <c r="P24" i="5"/>
  <c r="O25" i="5"/>
  <c r="P28" i="5"/>
  <c r="O29" i="5"/>
  <c r="P32" i="5"/>
  <c r="V27" i="7" l="1"/>
  <c r="P27" i="7"/>
  <c r="R27" i="7" s="1"/>
  <c r="V26" i="7"/>
  <c r="P26" i="7"/>
  <c r="Q26" i="7" s="1"/>
  <c r="V25" i="7"/>
  <c r="P25" i="7"/>
  <c r="R25" i="7" s="1"/>
  <c r="V24" i="7"/>
  <c r="P24" i="7"/>
  <c r="Q24" i="7" s="1"/>
  <c r="V23" i="7"/>
  <c r="P23" i="7"/>
  <c r="Q23" i="7" s="1"/>
  <c r="V22" i="7"/>
  <c r="P22" i="7"/>
  <c r="R22" i="7" s="1"/>
  <c r="V21" i="7"/>
  <c r="P21" i="7"/>
  <c r="Q21" i="7" s="1"/>
  <c r="V20" i="7"/>
  <c r="P20" i="7"/>
  <c r="R20" i="7" s="1"/>
  <c r="V19" i="7"/>
  <c r="P19" i="7"/>
  <c r="R19" i="7" s="1"/>
  <c r="R23" i="7" l="1"/>
  <c r="R24" i="7"/>
  <c r="R21" i="7"/>
  <c r="Q27" i="7"/>
  <c r="R26" i="7"/>
  <c r="Q25" i="7"/>
  <c r="Q22" i="7"/>
  <c r="Q20" i="7"/>
  <c r="Q19" i="7"/>
  <c r="J43" i="6" l="1"/>
  <c r="U43" i="5"/>
  <c r="V43" i="5" s="1"/>
  <c r="T43" i="5"/>
  <c r="N43" i="5"/>
  <c r="P43" i="5" s="1"/>
  <c r="U42" i="5"/>
  <c r="V42" i="5" s="1"/>
  <c r="T42" i="5"/>
  <c r="N42" i="5"/>
  <c r="O42" i="5" s="1"/>
  <c r="U40" i="5"/>
  <c r="V40" i="5" s="1"/>
  <c r="T40" i="5"/>
  <c r="N40" i="5"/>
  <c r="P40" i="5" s="1"/>
  <c r="U39" i="5"/>
  <c r="V39" i="5" s="1"/>
  <c r="T39" i="5"/>
  <c r="N39" i="5"/>
  <c r="O39" i="5" s="1"/>
  <c r="O43" i="5" l="1"/>
  <c r="P42" i="5"/>
  <c r="O40" i="5"/>
  <c r="P39" i="5"/>
  <c r="J42" i="6"/>
  <c r="N34" i="5"/>
  <c r="P34" i="5" s="1"/>
  <c r="T34" i="5"/>
  <c r="U34" i="5"/>
  <c r="V34" i="5" s="1"/>
  <c r="N35" i="5"/>
  <c r="O35" i="5" s="1"/>
  <c r="T35" i="5"/>
  <c r="U35" i="5"/>
  <c r="V35" i="5" s="1"/>
  <c r="N36" i="5"/>
  <c r="P36" i="5" s="1"/>
  <c r="T36" i="5"/>
  <c r="U36" i="5"/>
  <c r="V36" i="5" s="1"/>
  <c r="N38" i="5"/>
  <c r="P38" i="5" s="1"/>
  <c r="T38" i="5"/>
  <c r="U38" i="5"/>
  <c r="V38" i="5" s="1"/>
  <c r="N37" i="5"/>
  <c r="O37" i="5" s="1"/>
  <c r="T37" i="5"/>
  <c r="U37" i="5"/>
  <c r="V37" i="5" s="1"/>
  <c r="O38" i="5" l="1"/>
  <c r="O36" i="5"/>
  <c r="P37" i="5"/>
  <c r="O34" i="5"/>
  <c r="P35" i="5"/>
  <c r="T17" i="5" l="1"/>
  <c r="U17" i="5"/>
  <c r="V17" i="5" s="1"/>
  <c r="V44" i="5" l="1"/>
  <c r="U44" i="5"/>
  <c r="T44" i="5"/>
  <c r="V18"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Q18" i="7" s="1"/>
  <c r="A1" i="6"/>
  <c r="C9" i="6"/>
  <c r="C10" i="6"/>
  <c r="C11" i="6"/>
  <c r="C12" i="6"/>
  <c r="J17" i="6"/>
  <c r="J44" i="6" s="1"/>
  <c r="A1" i="5"/>
  <c r="C9" i="5"/>
  <c r="C10" i="5"/>
  <c r="C10" i="14" s="1"/>
  <c r="C11" i="5"/>
  <c r="B10" i="12" s="1"/>
  <c r="C12" i="5"/>
  <c r="C12" i="14" s="1"/>
  <c r="IV16" i="5"/>
  <c r="N17" i="5"/>
  <c r="N45" i="5"/>
  <c r="C49" i="5"/>
  <c r="C47" i="6" s="1"/>
  <c r="K49" i="5"/>
  <c r="O33" i="7" s="1"/>
  <c r="N24" i="8" s="1"/>
  <c r="C50" i="5"/>
  <c r="C34" i="7" s="1"/>
  <c r="C24" i="8" s="1"/>
  <c r="K50" i="5"/>
  <c r="O34" i="7" s="1"/>
  <c r="N25" i="8" s="1"/>
  <c r="K6" i="4"/>
  <c r="AA6" i="4"/>
  <c r="B7" i="4"/>
  <c r="B9" i="4"/>
  <c r="A8" i="6" s="1"/>
  <c r="B10" i="4"/>
  <c r="B14" i="4"/>
  <c r="B15" i="4"/>
  <c r="H27" i="4"/>
  <c r="G27" i="4" s="1"/>
  <c r="B2" i="2"/>
  <c r="A3" i="13" s="1"/>
  <c r="F2" i="2"/>
  <c r="B3" i="2"/>
  <c r="A1" i="7" s="1"/>
  <c r="B8" i="12" l="1"/>
  <c r="A7" i="5"/>
  <c r="P17" i="5"/>
  <c r="O17" i="5"/>
  <c r="H5" i="20"/>
  <c r="H7" i="20" s="1"/>
  <c r="C11" i="14"/>
  <c r="B51" i="19"/>
  <c r="B53" i="19"/>
  <c r="B50" i="19"/>
  <c r="E52" i="19"/>
  <c r="F49" i="19"/>
  <c r="I48" i="6"/>
  <c r="A8" i="10"/>
  <c r="B9" i="12"/>
  <c r="B52" i="19"/>
  <c r="E16" i="17"/>
  <c r="A8" i="8"/>
  <c r="E16" i="16"/>
  <c r="B11" i="12"/>
  <c r="R18"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47" i="6"/>
  <c r="A8" i="9"/>
  <c r="A1" i="9"/>
  <c r="A1" i="12"/>
  <c r="AG7" i="19"/>
  <c r="AG8" i="19" s="1"/>
  <c r="C33" i="7"/>
  <c r="C23" i="8" s="1"/>
  <c r="A1" i="19"/>
  <c r="C48" i="6"/>
  <c r="A1" i="8"/>
  <c r="A8" i="5"/>
  <c r="AG9" i="19"/>
  <c r="V28" i="7"/>
  <c r="J7" i="15"/>
  <c r="I25" i="15" s="1"/>
  <c r="P28" i="7"/>
  <c r="N44" i="5"/>
  <c r="U45" i="5" s="1"/>
  <c r="A7" i="13" l="1"/>
  <c r="F43" i="19"/>
  <c r="A7" i="6"/>
  <c r="J8" i="15"/>
  <c r="J26" i="15" s="1"/>
  <c r="AA28" i="7"/>
  <c r="P44" i="5"/>
  <c r="V45" i="5" s="1"/>
  <c r="A7" i="10"/>
  <c r="A7" i="8"/>
  <c r="B7" i="14"/>
  <c r="A7" i="7"/>
  <c r="A7" i="9"/>
  <c r="A7" i="11"/>
  <c r="B40" i="19"/>
  <c r="B8" i="14"/>
  <c r="A7" i="12"/>
  <c r="I16" i="15"/>
  <c r="D17" i="11"/>
  <c r="E17" i="13" s="1"/>
  <c r="R28" i="7"/>
  <c r="D17" i="9" s="1"/>
  <c r="D19" i="11"/>
  <c r="E19" i="13" s="1"/>
  <c r="P38" i="7"/>
  <c r="N46" i="5"/>
  <c r="J6" i="15"/>
  <c r="D15" i="11"/>
  <c r="E15" i="13" s="1"/>
  <c r="D15" i="9" l="1"/>
  <c r="D19" i="9" s="1"/>
  <c r="D23" i="11" s="1"/>
  <c r="D28" i="11" s="1"/>
  <c r="J16" i="15"/>
  <c r="H16" i="15"/>
  <c r="J9" i="15"/>
  <c r="J15" i="15" s="1"/>
  <c r="H24" i="15"/>
  <c r="J31" i="15" l="1"/>
  <c r="J32" i="15" s="1"/>
  <c r="J35" i="15"/>
  <c r="J36" i="15" s="1"/>
  <c r="H15" i="15"/>
  <c r="H31" i="15" s="1"/>
  <c r="H32" i="15" s="1"/>
  <c r="I15" i="15"/>
  <c r="S26" i="7" l="1"/>
  <c r="T26" i="7" s="1"/>
  <c r="U26" i="7" s="1"/>
  <c r="S27" i="7"/>
  <c r="T27" i="7" s="1"/>
  <c r="U27" i="7" s="1"/>
  <c r="S24" i="7"/>
  <c r="T24" i="7" s="1"/>
  <c r="U24" i="7" s="1"/>
  <c r="S25" i="7"/>
  <c r="T25" i="7" s="1"/>
  <c r="U25" i="7" s="1"/>
  <c r="S22" i="7"/>
  <c r="T22" i="7" s="1"/>
  <c r="U22" i="7" s="1"/>
  <c r="S23" i="7"/>
  <c r="T23" i="7" s="1"/>
  <c r="U23" i="7" s="1"/>
  <c r="S20" i="7"/>
  <c r="T20" i="7" s="1"/>
  <c r="U20" i="7" s="1"/>
  <c r="S21" i="7"/>
  <c r="T21" i="7" s="1"/>
  <c r="U21" i="7" s="1"/>
  <c r="S19" i="7"/>
  <c r="T19" i="7" s="1"/>
  <c r="U19" i="7" s="1"/>
  <c r="F19" i="13"/>
  <c r="D19" i="13" s="1"/>
  <c r="S18" i="7"/>
  <c r="T18" i="7" s="1"/>
  <c r="U18" i="7" s="1"/>
  <c r="I35" i="15"/>
  <c r="I36" i="15" s="1"/>
  <c r="F17" i="13" s="1"/>
  <c r="D17" i="13" s="1"/>
  <c r="I31" i="15"/>
  <c r="I32" i="15" s="1"/>
  <c r="H35" i="15"/>
  <c r="H36" i="15" s="1"/>
  <c r="Q41" i="5" s="1"/>
  <c r="R41" i="5" s="1"/>
  <c r="S41" i="5" s="1"/>
  <c r="Q18" i="5" l="1"/>
  <c r="R18" i="5" s="1"/>
  <c r="S18" i="5" s="1"/>
  <c r="Q21" i="5"/>
  <c r="R21" i="5" s="1"/>
  <c r="S21" i="5" s="1"/>
  <c r="Q24" i="5"/>
  <c r="R24" i="5" s="1"/>
  <c r="S24" i="5" s="1"/>
  <c r="Q20" i="5"/>
  <c r="R20" i="5" s="1"/>
  <c r="S20" i="5" s="1"/>
  <c r="Q23" i="5"/>
  <c r="R23" i="5" s="1"/>
  <c r="S23" i="5" s="1"/>
  <c r="Q19" i="5"/>
  <c r="R19" i="5" s="1"/>
  <c r="S19" i="5" s="1"/>
  <c r="Q22" i="5"/>
  <c r="R22" i="5" s="1"/>
  <c r="S22" i="5" s="1"/>
  <c r="Q25" i="5"/>
  <c r="R25" i="5" s="1"/>
  <c r="S25" i="5" s="1"/>
  <c r="Q30" i="5"/>
  <c r="R30" i="5" s="1"/>
  <c r="S30" i="5" s="1"/>
  <c r="Q29" i="5"/>
  <c r="R29" i="5" s="1"/>
  <c r="S29" i="5" s="1"/>
  <c r="Q33" i="5"/>
  <c r="R33" i="5" s="1"/>
  <c r="S33" i="5" s="1"/>
  <c r="Q32" i="5"/>
  <c r="R32" i="5" s="1"/>
  <c r="S32" i="5" s="1"/>
  <c r="Q28" i="5"/>
  <c r="R28" i="5" s="1"/>
  <c r="S28" i="5" s="1"/>
  <c r="Q31" i="5"/>
  <c r="R31" i="5" s="1"/>
  <c r="S31" i="5" s="1"/>
  <c r="Q27" i="5"/>
  <c r="R27" i="5" s="1"/>
  <c r="S27" i="5" s="1"/>
  <c r="Q26" i="5"/>
  <c r="R26" i="5" s="1"/>
  <c r="S26" i="5" s="1"/>
  <c r="Q43" i="5"/>
  <c r="R43" i="5" s="1"/>
  <c r="S43" i="5" s="1"/>
  <c r="Q40" i="5"/>
  <c r="R40" i="5" s="1"/>
  <c r="S40" i="5" s="1"/>
  <c r="Q42" i="5"/>
  <c r="R42" i="5" s="1"/>
  <c r="S42" i="5" s="1"/>
  <c r="Q39" i="5"/>
  <c r="R39" i="5" s="1"/>
  <c r="S39" i="5" s="1"/>
  <c r="Q37" i="5"/>
  <c r="R37" i="5" s="1"/>
  <c r="S37" i="5" s="1"/>
  <c r="Q38" i="5"/>
  <c r="R38" i="5" s="1"/>
  <c r="S38" i="5" s="1"/>
  <c r="Q35" i="5"/>
  <c r="R35" i="5" s="1"/>
  <c r="S35" i="5" s="1"/>
  <c r="Q34" i="5"/>
  <c r="R34" i="5" s="1"/>
  <c r="S34" i="5" s="1"/>
  <c r="Q36" i="5"/>
  <c r="R36" i="5" s="1"/>
  <c r="S36" i="5" s="1"/>
  <c r="Q17" i="5"/>
  <c r="R17" i="5" s="1"/>
  <c r="F15" i="13"/>
  <c r="D15" i="13" s="1"/>
  <c r="U28" i="7"/>
  <c r="D17" i="10" s="1"/>
  <c r="R44" i="5" l="1"/>
  <c r="S17" i="5"/>
  <c r="S44"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<sst xmlns="http://schemas.openxmlformats.org/spreadsheetml/2006/main" count="1398" uniqueCount="512">
  <si>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</si>
  <si>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</si>
  <si>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</si>
  <si>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</si>
  <si>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</si>
  <si>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</si>
  <si>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</si>
  <si>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</si>
  <si>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</si>
  <si>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</si>
  <si>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</si>
  <si>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</si>
  <si>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</si>
  <si>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</si>
  <si>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</si>
  <si>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</si>
  <si>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</si>
  <si>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</si>
  <si>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</si>
  <si>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</si>
  <si>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</si>
  <si>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</si>
  <si>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</si>
  <si>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</si>
  <si>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</si>
  <si>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</si>
  <si>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</si>
  <si>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</si>
  <si>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</si>
  <si>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</si>
  <si>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</si>
  <si>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</si>
  <si>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</si>
  <si>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</si>
  <si>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</si>
  <si>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</si>
  <si>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</si>
  <si>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</si>
  <si>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</si>
  <si>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</si>
  <si>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</si>
  <si>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</si>
  <si>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</si>
  <si>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</si>
  <si>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</si>
  <si>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</si>
  <si>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</si>
  <si>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</si>
  <si>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</si>
  <si>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</si>
  <si>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</si>
  <si>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</si>
  <si>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</si>
  <si>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</si>
  <si>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</si>
  <si>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</si>
  <si>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</si>
  <si>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</si>
  <si>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</si>
  <si>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</si>
  <si>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</si>
  <si>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</si>
  <si>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</si>
  <si>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</si>
  <si>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</si>
  <si>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</si>
  <si>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</si>
  <si>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</si>
  <si>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</si>
  <si>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</si>
  <si>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</si>
  <si>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</si>
  <si>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</si>
  <si>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</si>
  <si>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</si>
  <si>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</si>
  <si>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</si>
  <si>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</si>
  <si>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</si>
  <si>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</si>
  <si>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</si>
  <si>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</si>
  <si>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</si>
  <si>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</si>
  <si>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</si>
  <si>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</si>
  <si>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</si>
  <si>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</si>
  <si>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</si>
  <si>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</si>
  <si>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</si>
  <si>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</si>
  <si>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</si>
  <si>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</si>
  <si>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</si>
  <si>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</si>
  <si>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</si>
  <si>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</si>
  <si>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</si>
  <si>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</si>
  <si>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</si>
  <si>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</si>
  <si>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</si>
  <si>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</si>
  <si>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</si>
  <si>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</si>
  <si>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</si>
  <si>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</si>
  <si>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</si>
  <si>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</si>
  <si>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</si>
  <si>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</si>
  <si>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</si>
  <si>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</si>
  <si>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</si>
  <si>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</si>
  <si>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</si>
  <si>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</si>
  <si>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</si>
  <si>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</si>
  <si>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</si>
  <si>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</si>
  <si>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</si>
  <si>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</si>
  <si>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</si>
  <si>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</si>
  <si>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</si>
  <si>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</si>
  <si>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</si>
  <si>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</si>
  <si>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</si>
  <si>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</si>
  <si>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</si>
  <si>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</si>
  <si>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</si>
  <si>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</si>
  <si>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</si>
  <si>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</si>
  <si>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</si>
  <si>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</si>
  <si>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</si>
  <si>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</si>
  <si>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</si>
  <si>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</si>
  <si>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</si>
  <si>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</si>
  <si>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</si>
  <si>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</si>
  <si>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</si>
  <si>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</si>
  <si>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</si>
  <si>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</si>
  <si>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</si>
  <si>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</si>
  <si>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</si>
  <si>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</si>
  <si>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</si>
  <si>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</si>
  <si>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</si>
  <si>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</si>
  <si>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</si>
  <si>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</si>
  <si>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</si>
  <si>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</si>
  <si>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</si>
  <si>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</si>
  <si>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</si>
  <si>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</si>
  <si>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</si>
  <si>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</si>
  <si>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</si>
  <si>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</si>
  <si>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</si>
  <si>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</si>
  <si>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</si>
  <si>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</si>
  <si>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</si>
  <si>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</si>
  <si>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</si>
  <si>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</si>
  <si>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</si>
  <si>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</si>
  <si>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</si>
  <si>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</si>
  <si>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</si>
  <si>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</si>
  <si>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</si>
  <si>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</si>
  <si>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</si>
  <si>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</si>
  <si>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</si>
  <si>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</si>
  <si>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</si>
  <si>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</si>
  <si>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</si>
  <si>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</si>
  <si>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</si>
  <si>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</si>
  <si>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</si>
  <si>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</si>
  <si>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</si>
  <si>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</si>
  <si>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</si>
  <si>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</si>
  <si>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</si>
  <si>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</si>
  <si>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</si>
  <si>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</si>
  <si>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</si>
  <si>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</si>
  <si>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</si>
  <si>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</si>
  <si>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</si>
  <si>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</si>
  <si>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</si>
  <si>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</si>
  <si>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</si>
  <si>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</si>
  <si>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</si>
  <si>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</si>
  <si>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</si>
  <si>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</si>
  <si>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</si>
  <si>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</si>
  <si>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</si>
  <si>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</si>
  <si>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</si>
  <si>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</si>
  <si>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</si>
  <si>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</si>
  <si>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</si>
  <si>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</si>
  <si>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</si>
  <si>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</si>
  <si>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</si>
  <si>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</si>
  <si>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</si>
  <si>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</si>
  <si>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</si>
  <si>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</si>
  <si>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</si>
  <si>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</si>
  <si>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</si>
  <si>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</si>
  <si>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</si>
  <si>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</si>
  <si>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</si>
  <si>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</si>
  <si>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</si>
  <si>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</si>
  <si>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</si>
  <si>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</si>
  <si>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</si>
  <si>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</si>
  <si>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</si>
  <si>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</si>
  <si>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</si>
  <si>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</si>
  <si>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</si>
  <si>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</si>
  <si>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</si>
  <si>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</si>
  <si>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</si>
  <si>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</si>
  <si>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</si>
  <si>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</si>
  <si>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</si>
  <si>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</si>
  <si>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</si>
  <si>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</si>
  <si>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</si>
  <si>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</si>
  <si>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</si>
  <si>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</si>
  <si>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</si>
  <si>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</si>
  <si>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</si>
  <si>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</si>
  <si>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</si>
  <si>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</si>
  <si>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</si>
  <si>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</si>
  <si>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</si>
  <si>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</si>
  <si>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</si>
  <si>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</si>
  <si>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</si>
  <si>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</si>
  <si>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</si>
  <si>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</si>
  <si>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</si>
  <si>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</si>
  <si>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</si>
  <si>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</si>
  <si>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</si>
  <si>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</si>
  <si>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</si>
  <si>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</si>
  <si>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</si>
  <si>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</si>
  <si>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</si>
  <si>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</si>
  <si>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</si>
  <si>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</si>
  <si>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</si>
  <si>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</si>
  <si>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</si>
  <si>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</si>
  <si>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</si>
  <si>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</si>
  <si>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</si>
  <si>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</si>
  <si>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</si>
  <si>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</si>
  <si>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</si>
  <si>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</si>
  <si>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</si>
  <si>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</si>
  <si>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</si>
  <si>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</si>
  <si>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</si>
  <si>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</si>
  <si>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</si>
  <si>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</si>
  <si>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</si>
  <si>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</si>
  <si>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</si>
  <si>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</si>
  <si>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</si>
  <si>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</si>
  <si>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</si>
  <si>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</si>
  <si>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</si>
  <si>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</si>
  <si>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</si>
  <si>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</si>
  <si>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</si>
  <si>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</si>
  <si>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</si>
  <si>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</si>
  <si>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</si>
  <si>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</si>
  <si>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</si>
  <si>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</si>
  <si>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</si>
  <si>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</si>
  <si>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</si>
  <si>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</si>
  <si>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</si>
  <si>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</si>
  <si>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</si>
  <si>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</si>
  <si>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</si>
  <si>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</si>
  <si>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</si>
  <si>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</si>
  <si>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</si>
  <si>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</si>
  <si>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</si>
  <si>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</si>
  <si>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</si>
  <si>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</si>
  <si>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</si>
  <si>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</si>
  <si>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</si>
  <si>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</si>
  <si>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</si>
  <si>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</si>
  <si>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</si>
  <si>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</si>
  <si>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</si>
  <si>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</si>
  <si>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</si>
  <si>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</si>
  <si>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</si>
  <si>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</si>
  <si>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</si>
  <si>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</si>
  <si>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</si>
  <si>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</si>
  <si>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</si>
  <si>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</si>
  <si>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</si>
  <si>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</si>
  <si>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</si>
  <si>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</si>
  <si>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</si>
  <si>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</si>
  <si>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</si>
  <si>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</si>
  <si>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</si>
  <si>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</si>
  <si>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</si>
  <si>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</si>
  <si>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</si>
  <si>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</si>
  <si>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</si>
  <si>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</si>
  <si>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</si>
  <si>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</si>
  <si>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</si>
  <si>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</si>
  <si>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</si>
  <si>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</si>
  <si>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</si>
  <si>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</si>
  <si>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</si>
  <si>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</si>
  <si>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</si>
  <si>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</si>
  <si>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</si>
  <si>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</si>
  <si>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</si>
  <si>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</si>
  <si>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</si>
  <si>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</si>
  <si>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</si>
  <si>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</si>
  <si>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</si>
  <si>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</si>
  <si>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</si>
  <si>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</si>
  <si>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</si>
  <si>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</si>
  <si>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</si>
  <si>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</si>
  <si>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</si>
  <si>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</si>
  <si>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</si>
  <si>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</si>
  <si>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</si>
  <si>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</si>
  <si>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</si>
  <si>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</si>
  <si>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</si>
  <si>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</si>
  <si>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</si>
  <si>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</si>
  <si>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</si>
  <si>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</si>
  <si>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</si>
  <si>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</si>
  <si>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</si>
  <si>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</si>
  <si>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</si>
  <si>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</si>
  <si>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</si>
  <si>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</si>
  <si>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</si>
  <si>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</si>
  <si>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</si>
  <si>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</si>
  <si>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</si>
  <si>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</si>
  <si>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</si>
  <si>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</si>
  <si>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</si>
  <si>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</si>
  <si>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</si>
  <si>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</si>
  <si>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</si>
  <si>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</si>
  <si>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</si>
  <si>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</si>
  <si>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</si>
  <si>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</si>
  <si>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</si>
  <si>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</si>
  <si>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</si>
  <si>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</si>
  <si>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</si>
  <si>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</si>
  <si>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</si>
  <si>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</si>
  <si>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</si>
  <si>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</si>
  <si>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</si>
  <si>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</si>
  <si>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</si>
  <si>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</si>
  <si>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t>
  </si>
  <si>
    <t>RT24</t>
  </si>
  <si>
    <t>Spec. No: CC/NT/W-RT/DOM/A00/22/00726</t>
  </si>
  <si>
    <t>Supply of 4x110MVAR Reactor KURNOOL(III)</t>
  </si>
  <si>
    <t xml:space="preserve">765kV Reactor Mand. Spares KURNOOL(III) </t>
  </si>
  <si>
    <t xml:space="preserve">Supply of 7x80MVAR Reactor KURNOOL(III) </t>
  </si>
  <si>
    <t xml:space="preserve">Supply of 6x80MVAR Reactor MAHESHWRAM   </t>
  </si>
  <si>
    <t xml:space="preserve">765kV Reactor Mand. Spares MAHESHWRAM   </t>
  </si>
  <si>
    <t>110 MVAR, 765/?3kV ,1-phase Shunt Reactor excluding Insulating Oil</t>
  </si>
  <si>
    <t>Insulating Oil for 110 MVAR, 765/v3kV, 1-ph Reactor (as per technicalspecification)</t>
  </si>
  <si>
    <t>Oil Storage Tank (20kL)</t>
  </si>
  <si>
    <t>765kV,2500A Bushing with metal parts andgaskets</t>
  </si>
  <si>
    <t>SPARES INSULATING OIL TO BE HANDED OVER TO OWNER AFTER COMMISSIONING</t>
  </si>
  <si>
    <t xml:space="preserve">KL </t>
  </si>
  <si>
    <t>Starters, contactors, switches and relays for electrical controlpanels (one no. of each type) for 765kV Reactor</t>
  </si>
  <si>
    <t>LOCAL OTI &amp; WTI WITH SENSING DEVICE FOR 765KV REACTOR</t>
  </si>
  <si>
    <t>Buchholz Relay (Main Tank) complete with float and contacts 765kVReactor</t>
  </si>
  <si>
    <t>Magnetic Oil Level Gauge</t>
  </si>
  <si>
    <t>145kV, 1250A Bushing with metal partsand gaskets</t>
  </si>
  <si>
    <t>80 MVAR, 765/âˆš3 kV, 1-phase, Shunt Reactor(As per technicalspecification) {excluding Insulating Oil}</t>
  </si>
  <si>
    <t>Insulating Oil for 80 MVAR, 765/âˆš3 kV, 1-phase Shunt Reactor (As pertechnical specification)</t>
  </si>
  <si>
    <t>Air core Neutral Grounding Reactor (NGR) dry type with supportstructure and terminal connector</t>
  </si>
  <si>
    <t>132 kV Surge Arrester along with support structure &amp; terminalconnector</t>
  </si>
  <si>
    <t>Instal of 4x110MVAR Reactor KURNOOL(III)</t>
  </si>
  <si>
    <t xml:space="preserve">Instal of 7x80MVAR Reactor KURNOOL(III) </t>
  </si>
  <si>
    <t xml:space="preserve">Instal of 6x80MVAR Reactor MAHESHWRAM   </t>
  </si>
  <si>
    <t>110 MVAR, 765/v3kV ,1-phase Shunt Reactor excluding Insulating Oil</t>
  </si>
  <si>
    <t>Insulating Oil for 110 MVAR, 765/v3kV kV Reactor</t>
  </si>
  <si>
    <t>132 kV Surge Arrester along with support structure &amp; terminal connector</t>
  </si>
  <si>
    <t>Air core Neutral Grounding Reactor (NGR) dry type with support structure and terminal connector</t>
  </si>
  <si>
    <t>80 MVAR, 765/#3 kV 1-phase ,Shunt Reactor (As per technical specification) {excluding Insulating Oil}</t>
  </si>
  <si>
    <t>Insulating Oil for 80 MVAR, 765/#3 kV, 1-phase Shunt Reactor (As per technical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</si>
</sst>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sz val="12"/>
      <color theme="1"/>
      <name val="Calibri"/>
      <family val="2"/>
      <scheme val="minor"/>
    </font>
  </fonts>
  <fills count="13">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85">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7"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164" fontId="72" fillId="0" borderId="9" xfId="8" applyFont="1" applyBorder="1" applyAlignment="1">
      <alignment horizontal="right" vertical="center"/>
    </xf>
    <xf numFmtId="164" fontId="75" fillId="0" borderId="9" xfId="8" applyFont="1" applyBorder="1" applyAlignment="1">
      <alignment horizontal="right" vertical="center"/>
    </xf>
    <xf numFmtId="164" fontId="72" fillId="0" borderId="9" xfId="8" applyFont="1" applyBorder="1" applyAlignment="1" applyProtection="1">
      <alignment horizontal="right" vertical="center"/>
      <protection locked="0"/>
    </xf>
    <xf numFmtId="164"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2"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72" fillId="0" borderId="9" xfId="0" applyFont="1" applyBorder="1" applyAlignment="1">
      <alignment horizontal="left" vertical="top" wrapText="1"/>
    </xf>
    <xf numFmtId="164" fontId="72" fillId="9" borderId="9" xfId="8" applyFont="1" applyFill="1" applyBorder="1" applyAlignment="1" applyProtection="1">
      <alignment horizontal="left" vertical="top" wrapText="1"/>
    </xf>
    <xf numFmtId="0" fontId="72" fillId="0" borderId="25" xfId="0" applyFont="1" applyFill="1" applyBorder="1" applyAlignment="1">
      <alignment horizontal="center" vertical="center" wrapText="1"/>
    </xf>
    <xf numFmtId="0" fontId="78" fillId="0" borderId="9" xfId="0" applyFont="1" applyFill="1" applyBorder="1" applyAlignment="1">
      <alignment vertical="top" wrapText="1"/>
    </xf>
    <xf numFmtId="0" fontId="78" fillId="0" borderId="9" xfId="0" applyFont="1" applyBorder="1" applyAlignment="1">
      <alignment vertical="top" wrapText="1"/>
    </xf>
    <xf numFmtId="0" fontId="75" fillId="12" borderId="0" xfId="0" applyFont="1" applyFill="1" applyBorder="1" applyAlignment="1" applyProtection="1">
      <alignment horizontal="left" vertical="center"/>
    </xf>
    <xf numFmtId="2" fontId="75" fillId="12" borderId="9" xfId="0" applyNumberFormat="1" applyFont="1" applyFill="1" applyBorder="1" applyAlignment="1" applyProtection="1">
      <alignment horizontal="right" vertical="center"/>
    </xf>
    <xf numFmtId="0" fontId="2" fillId="0" borderId="18" xfId="0" applyNumberFormat="1" applyFont="1" applyFill="1" applyBorder="1" applyAlignment="1" applyProtection="1">
      <alignment horizontal="center" vertical="top"/>
    </xf>
    <xf numFmtId="0" fontId="72" fillId="3" borderId="14" xfId="109" applyFont="1" applyFill="1" applyBorder="1" applyAlignment="1" applyProtection="1">
      <alignment vertical="top" wrapText="1"/>
      <protection locked="0"/>
    </xf>
    <xf numFmtId="0" fontId="72" fillId="0" borderId="9" xfId="0" applyFont="1" applyFill="1" applyBorder="1" applyAlignment="1">
      <alignment horizontal="center" vertical="top" wrapText="1"/>
    </xf>
    <xf numFmtId="10" fontId="2" fillId="0" borderId="14" xfId="111" applyNumberFormat="1" applyFont="1" applyFill="1" applyBorder="1" applyAlignment="1" applyProtection="1">
      <alignment horizontal="center" vertical="top" wrapText="1"/>
      <protection locked="0" hidden="1"/>
    </xf>
    <xf numFmtId="181" fontId="72" fillId="3" borderId="18" xfId="8" applyNumberFormat="1" applyFont="1" applyFill="1" applyBorder="1" applyAlignment="1" applyProtection="1">
      <alignment horizontal="right" vertical="top" wrapText="1"/>
      <protection locked="0"/>
    </xf>
    <xf numFmtId="0" fontId="78" fillId="0" borderId="9" xfId="0" applyFont="1" applyFill="1" applyBorder="1" applyAlignment="1">
      <alignment horizontal="center" vertical="top"/>
    </xf>
    <xf numFmtId="0" fontId="72" fillId="0" borderId="9" xfId="0" applyFont="1" applyBorder="1" applyAlignment="1">
      <alignment horizontal="center" vertical="top"/>
    </xf>
    <xf numFmtId="0" fontId="78" fillId="0" borderId="9" xfId="0" applyFont="1" applyFill="1" applyBorder="1" applyAlignment="1">
      <alignment horizontal="center" vertical="top" wrapText="1"/>
    </xf>
    <xf numFmtId="0" fontId="72" fillId="0" borderId="9" xfId="0" applyFont="1" applyBorder="1" applyAlignment="1">
      <alignment horizontal="center" vertical="top" wrapText="1"/>
    </xf>
    <xf numFmtId="164" fontId="72" fillId="9" borderId="9" xfId="8" applyFont="1" applyFill="1" applyBorder="1" applyAlignment="1" applyProtection="1">
      <alignment horizontal="right" vertical="top" wrapText="1"/>
    </xf>
    <xf numFmtId="1" fontId="2" fillId="0" borderId="9" xfId="111" applyNumberFormat="1" applyFont="1" applyFill="1" applyBorder="1" applyAlignment="1" applyProtection="1">
      <alignment horizontal="center" vertical="top" wrapText="1"/>
    </xf>
    <xf numFmtId="0" fontId="78" fillId="0" borderId="9" xfId="0" applyFont="1" applyBorder="1" applyAlignment="1">
      <alignment horizontal="center" vertical="top"/>
    </xf>
    <xf numFmtId="0" fontId="78" fillId="0" borderId="9" xfId="0" applyFont="1" applyBorder="1" applyAlignment="1">
      <alignment horizontal="center" vertical="top" wrapText="1"/>
    </xf>
    <xf numFmtId="0" fontId="72" fillId="0" borderId="25" xfId="0" applyFont="1" applyBorder="1" applyAlignment="1">
      <alignment horizontal="center" vertical="center"/>
    </xf>
    <xf numFmtId="0" fontId="72" fillId="0" borderId="9" xfId="0" applyFont="1" applyBorder="1" applyAlignment="1">
      <alignment horizontal="center"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72"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75" fillId="12" borderId="9" xfId="0" applyFont="1" applyFill="1" applyBorder="1" applyAlignment="1" applyProtection="1">
      <alignment horizontal="center" vertical="center"/>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0" fontId="75" fillId="12" borderId="24" xfId="0" applyFont="1" applyFill="1" applyBorder="1" applyAlignment="1" applyProtection="1">
      <alignment horizontal="center" vertical="center"/>
    </xf>
    <xf numFmtId="0" fontId="75" fillId="12" borderId="3" xfId="0" applyFont="1" applyFill="1" applyBorder="1" applyAlignment="1" applyProtection="1">
      <alignment horizontal="center" vertical="center"/>
    </xf>
    <xf numFmtId="0" fontId="75" fillId="12" borderId="25" xfId="0" applyFont="1" applyFill="1" applyBorder="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0" xfId="73" applyFont="1" applyBorder="1" applyAlignment="1" applyProtection="1">
      <alignment horizontal="left" vertical="center" indent="2"/>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49"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8">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700010" y="104775"/>
          <a:ext cx="453390" cy="79438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315200" y="47625"/>
          <a:ext cx="571500" cy="12801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973800" y="279400"/>
          <a:ext cx="0" cy="16700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600950" y="19050"/>
          <a:ext cx="112395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59E56EB-1E29-44B2-94F3-B790B2D8284A}" protected="1">
  <header guid="{E59E56EB-1E29-44B2-94F3-B790B2D8284A}" dateTime="2022-12-30T17:25:29" maxSheetId="23" userName="Adil Iqbal Khan {Adil Iqbal Khan}"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59E56EB-1E29-44B2-94F3-B790B2D8284A}" name="Adil Iqbal Khan {Adil Iqbal Khan}" id="-1368964567" dateTime="2022-12-30T17:25:2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10" Type="http://schemas.openxmlformats.org/officeDocument/2006/relationships/printerSettings" Target="../printerSettings/printerSettings312.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20.bin"/><Relationship Id="rId3" Type="http://schemas.openxmlformats.org/officeDocument/2006/relationships/printerSettings" Target="../printerSettings/printerSettings315.bin"/><Relationship Id="rId7" Type="http://schemas.openxmlformats.org/officeDocument/2006/relationships/printerSettings" Target="../printerSettings/printerSettings319.bin"/><Relationship Id="rId2" Type="http://schemas.openxmlformats.org/officeDocument/2006/relationships/printerSettings" Target="../printerSettings/printerSettings314.bin"/><Relationship Id="rId1" Type="http://schemas.openxmlformats.org/officeDocument/2006/relationships/printerSettings" Target="../printerSettings/printerSettings313.bin"/><Relationship Id="rId6" Type="http://schemas.openxmlformats.org/officeDocument/2006/relationships/printerSettings" Target="../printerSettings/printerSettings318.bin"/><Relationship Id="rId5" Type="http://schemas.openxmlformats.org/officeDocument/2006/relationships/printerSettings" Target="../printerSettings/printerSettings317.bin"/><Relationship Id="rId10" Type="http://schemas.openxmlformats.org/officeDocument/2006/relationships/printerSettings" Target="../printerSettings/printerSettings322.bin"/><Relationship Id="rId4" Type="http://schemas.openxmlformats.org/officeDocument/2006/relationships/printerSettings" Target="../printerSettings/printerSettings316.bin"/><Relationship Id="rId9" Type="http://schemas.openxmlformats.org/officeDocument/2006/relationships/printerSettings" Target="../printerSettings/printerSettings3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30.bin"/><Relationship Id="rId13" Type="http://schemas.openxmlformats.org/officeDocument/2006/relationships/printerSettings" Target="../printerSettings/printerSettings335.bin"/><Relationship Id="rId3" Type="http://schemas.openxmlformats.org/officeDocument/2006/relationships/printerSettings" Target="../printerSettings/printerSettings325.bin"/><Relationship Id="rId7" Type="http://schemas.openxmlformats.org/officeDocument/2006/relationships/printerSettings" Target="../printerSettings/printerSettings329.bin"/><Relationship Id="rId12" Type="http://schemas.openxmlformats.org/officeDocument/2006/relationships/printerSettings" Target="../printerSettings/printerSettings334.bin"/><Relationship Id="rId2" Type="http://schemas.openxmlformats.org/officeDocument/2006/relationships/printerSettings" Target="../printerSettings/printerSettings324.bin"/><Relationship Id="rId1" Type="http://schemas.openxmlformats.org/officeDocument/2006/relationships/printerSettings" Target="../printerSettings/printerSettings323.bin"/><Relationship Id="rId6" Type="http://schemas.openxmlformats.org/officeDocument/2006/relationships/printerSettings" Target="../printerSettings/printerSettings328.bin"/><Relationship Id="rId11" Type="http://schemas.openxmlformats.org/officeDocument/2006/relationships/printerSettings" Target="../printerSettings/printerSettings333.bin"/><Relationship Id="rId5" Type="http://schemas.openxmlformats.org/officeDocument/2006/relationships/printerSettings" Target="../printerSettings/printerSettings327.bin"/><Relationship Id="rId10" Type="http://schemas.openxmlformats.org/officeDocument/2006/relationships/printerSettings" Target="../printerSettings/printerSettings332.bin"/><Relationship Id="rId4" Type="http://schemas.openxmlformats.org/officeDocument/2006/relationships/printerSettings" Target="../printerSettings/printerSettings326.bin"/><Relationship Id="rId9" Type="http://schemas.openxmlformats.org/officeDocument/2006/relationships/printerSettings" Target="../printerSettings/printerSettings3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09375" defaultRowHeight="14.4"/>
  <cols>
    <col min="1" max="1" width="20.5546875" style="34" customWidth="1"/>
    <col min="2" max="2" width="95.33203125" style="34" customWidth="1"/>
    <col min="3" max="8" width="9.109375" style="34"/>
    <col min="9" max="9" width="9.109375" style="34" hidden="1" customWidth="1"/>
    <col min="10" max="16384" width="9.109375" style="34"/>
  </cols>
  <sheetData>
    <row r="1" spans="1:9" ht="84.75" customHeight="1">
      <c r="A1" s="31" t="s">
        <v>41</v>
      </c>
      <c r="B1" s="32" t="s">
        <v>480</v>
      </c>
      <c r="C1" s="33"/>
      <c r="D1" s="33"/>
      <c r="E1" s="33"/>
      <c r="F1" s="33"/>
      <c r="G1" s="33"/>
      <c r="H1" s="33"/>
    </row>
    <row r="2" spans="1:9">
      <c r="B2" s="35"/>
      <c r="I2" s="34" t="s">
        <v>264</v>
      </c>
    </row>
    <row r="3" spans="1:9">
      <c r="A3" s="34" t="s">
        <v>42</v>
      </c>
      <c r="B3" s="404" t="s">
        <v>481</v>
      </c>
      <c r="I3" s="34" t="s">
        <v>265</v>
      </c>
    </row>
    <row r="5" spans="1:9" ht="15.6">
      <c r="A5" s="34" t="s">
        <v>43</v>
      </c>
      <c r="B5" s="444" t="s">
        <v>482</v>
      </c>
      <c r="C5" s="33"/>
      <c r="D5" s="33"/>
      <c r="E5" s="33"/>
      <c r="F5" s="33"/>
      <c r="G5" s="33"/>
      <c r="H5" s="33"/>
    </row>
  </sheetData>
  <sheetProtection selectLockedCells="1" selectUnlockedCells="1"/>
  <customSheetViews>
    <customSheetView guid="{F8A50AE1-259E-429D-A506-38EB64D134EF}" hiddenColumns="1" state="hidden">
      <selection activeCell="B6" sqref="B6"/>
      <pageMargins left="0.75" right="0.75" top="1" bottom="1" header="0.5" footer="0.5"/>
      <pageSetup orientation="portrait" r:id="rId1"/>
      <headerFooter alignWithMargins="0"/>
    </customSheetView>
    <customSheetView guid="{C44C314C-9BEB-403F-A933-6B948E5C1171}" hiddenColumns="1" state="hidden">
      <selection activeCell="B5" sqref="B5"/>
      <pageMargins left="0.75" right="0.75" top="1" bottom="1" header="0.5" footer="0.5"/>
      <pageSetup orientation="portrait" r:id="rId2"/>
      <headerFooter alignWithMargins="0"/>
    </customSheetView>
    <customSheetView guid="{AD0333DF-5B33-49B5-B063-72505D20EFE4}" hiddenColumns="1" state="hidden">
      <selection activeCell="B5" sqref="B5"/>
      <pageMargins left="0.75" right="0.75" top="1" bottom="1" header="0.5" footer="0.5"/>
      <pageSetup orientation="portrait" r:id="rId3"/>
      <headerFooter alignWithMargins="0"/>
    </customSheetView>
    <customSheetView guid="{BE68641D-0C1E-4F8D-890A-A660C199187C}" hiddenColumns="1" state="hidden">
      <selection activeCell="B5" sqref="B5"/>
      <pageMargins left="0.75" right="0.75" top="1" bottom="1" header="0.5" footer="0.5"/>
      <pageSetup orientation="portrait" r:id="rId4"/>
      <headerFooter alignWithMargins="0"/>
    </customSheetView>
    <customSheetView guid="{F658ED72-5E54-4C5B-BB2C-7A2962080984}" hiddenColumns="1" state="hidden">
      <selection activeCell="B6" sqref="B6"/>
      <pageMargins left="0.75" right="0.75" top="1" bottom="1" header="0.5" footer="0.5"/>
      <pageSetup orientation="portrait" r:id="rId5"/>
      <headerFooter alignWithMargins="0"/>
    </customSheetView>
    <customSheetView guid="{DEF6DCE2-4A74-4BE5-B5D5-8143DC3F770A}" hiddenColumns="1" state="hidden">
      <selection activeCell="B6" sqref="B6"/>
      <pageMargins left="0.75" right="0.75" top="1" bottom="1" header="0.5" footer="0.5"/>
      <pageSetup orientation="portrait" r:id="rId6"/>
      <headerFooter alignWithMargins="0"/>
    </customSheetView>
    <customSheetView guid="{CCA37BAE-906F-43D5-9FD9-B13563E4B9D7}" hiddenColumns="1" state="hidden">
      <selection activeCell="B14" sqref="B14"/>
      <pageMargins left="0.75" right="0.75" top="1" bottom="1" header="0.5" footer="0.5"/>
      <pageSetup orientation="portrait" r:id="rId7"/>
      <headerFooter alignWithMargins="0"/>
    </customSheetView>
    <customSheetView guid="{B96E710B-6DD7-4DE1-95AB-C9EE060CD030}" hiddenColumns="1" state="hidden">
      <selection activeCell="B9" sqref="B9:B10"/>
      <pageMargins left="0.75" right="0.75" top="1" bottom="1" header="0.5" footer="0.5"/>
      <pageSetup orientation="portrait" r:id="rId8"/>
      <headerFooter alignWithMargins="0"/>
    </customSheetView>
    <customSheetView guid="{357C9841-BEC3-434B-AC63-C04FB4321BA3}" hiddenColumns="1" state="hidden">
      <selection activeCell="B17" sqref="B17"/>
      <pageMargins left="0.75" right="0.75" top="1" bottom="1" header="0.5" footer="0.5"/>
      <pageSetup orientation="portrait" r:id="rId9"/>
      <headerFooter alignWithMargins="0"/>
    </customSheetView>
    <customSheetView guid="{3C00DDA0-7DDE-4169-A739-550DAF5DCF8D}" hiddenColumns="1" state="hidden">
      <selection activeCell="B11" sqref="B11"/>
      <pageMargins left="0.75" right="0.75" top="1" bottom="1" header="0.5" footer="0.5"/>
      <pageSetup orientation="portrait" r:id="rId10"/>
      <headerFooter alignWithMargins="0"/>
    </customSheetView>
    <customSheetView guid="{99CA2F10-F926-46DC-8609-4EAE5B9F3585}" hiddenColumns="1" state="hidden">
      <selection activeCell="E14" sqref="E14"/>
      <pageMargins left="0.75" right="0.75" top="1" bottom="1" header="0.5" footer="0.5"/>
      <pageSetup orientation="portrait" r:id="rId11"/>
      <headerFooter alignWithMargins="0"/>
    </customSheetView>
    <customSheetView guid="{63D51328-7CBC-4A1E-B96D-BAE91416501B}" hiddenColumns="1" state="hidden">
      <selection activeCell="B20" sqref="B20"/>
      <pageMargins left="0.75" right="0.75" top="1" bottom="1" header="0.5" footer="0.5"/>
      <pageSetup orientation="portrait" r:id="rId12"/>
      <headerFooter alignWithMargins="0"/>
    </customSheetView>
    <customSheetView guid="{112647D2-7580-431B-99B5-DD512E2AD50E}" hiddenColumns="1" state="hidden">
      <selection activeCell="B5" sqref="B5"/>
      <pageMargins left="0.75" right="0.75" top="1" bottom="1" header="0.5" footer="0.5"/>
      <pageSetup orientation="portrait" r:id="rId13"/>
      <headerFooter alignWithMargins="0"/>
    </customSheetView>
    <customSheetView guid="{BDFA0401-0547-4E51-8BD2-84F711B066CA}" hiddenColumns="1" state="hidden">
      <selection activeCell="B9" sqref="B9"/>
      <pageMargins left="0.75" right="0.75" top="1" bottom="1" header="0.5" footer="0.5"/>
      <pageSetup orientation="portrait" r:id="rId14"/>
      <headerFooter alignWithMargins="0"/>
    </customSheetView>
    <customSheetView guid="{84F40905-A9D3-43A5-987A-8A757D486A94}" hiddenColumns="1" state="hidden">
      <selection activeCell="B12" sqref="B12"/>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4140625" defaultRowHeight="15.6"/>
  <cols>
    <col min="1" max="1" width="11.88671875" style="28" customWidth="1"/>
    <col min="2" max="2" width="46.6640625" style="28" customWidth="1"/>
    <col min="3" max="3" width="20" style="28" customWidth="1"/>
    <col min="4" max="4" width="23.44140625" style="28" customWidth="1"/>
    <col min="5" max="5" width="22.88671875" style="28" customWidth="1"/>
    <col min="6" max="6" width="11.44140625" style="85" customWidth="1"/>
    <col min="7" max="7" width="34.109375" style="85" customWidth="1"/>
    <col min="8" max="8" width="11.44140625" style="85" customWidth="1"/>
    <col min="9" max="9" width="14" style="386" customWidth="1"/>
    <col min="10" max="10" width="14.44140625" style="386" customWidth="1"/>
    <col min="11" max="11" width="17.109375" style="386" customWidth="1"/>
    <col min="12" max="13" width="11.44140625" style="386" customWidth="1"/>
    <col min="14" max="14" width="21.33203125" style="386" customWidth="1"/>
    <col min="15" max="15" width="18.33203125" style="86" customWidth="1"/>
    <col min="16" max="17" width="11.44140625" style="86" customWidth="1"/>
    <col min="18" max="18" width="11.44140625" style="112" customWidth="1"/>
    <col min="19" max="24" width="11.44140625" style="85" customWidth="1"/>
    <col min="25" max="16384" width="11.44140625" style="112"/>
  </cols>
  <sheetData>
    <row r="1" spans="1:15" ht="18" customHeight="1">
      <c r="A1" s="81" t="str">
        <f>Cover!B3</f>
        <v>Spec. No: CC/NT/W-RT/DOM/A00/22/00726</v>
      </c>
      <c r="B1" s="82"/>
      <c r="C1" s="83"/>
      <c r="D1" s="83"/>
      <c r="E1" s="84" t="s">
        <v>128</v>
      </c>
    </row>
    <row r="2" spans="1:15" ht="8.1" customHeight="1">
      <c r="A2" s="87"/>
      <c r="B2" s="88"/>
      <c r="C2" s="89"/>
      <c r="D2" s="89"/>
      <c r="E2" s="90"/>
      <c r="F2" s="91"/>
    </row>
    <row r="3" spans="1:15" ht="83.25" customHeight="1">
      <c r="A3" s="86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60"/>
      <c r="C3" s="860"/>
      <c r="D3" s="860"/>
      <c r="E3" s="860"/>
    </row>
    <row r="4" spans="1:15" ht="21.9" customHeight="1">
      <c r="A4" s="861" t="s">
        <v>129</v>
      </c>
      <c r="B4" s="861"/>
      <c r="C4" s="861"/>
      <c r="D4" s="861"/>
      <c r="E4" s="861"/>
    </row>
    <row r="5" spans="1:15" ht="12" customHeight="1">
      <c r="A5" s="92"/>
      <c r="B5" s="93"/>
      <c r="C5" s="93"/>
      <c r="D5" s="93"/>
      <c r="E5" s="93"/>
    </row>
    <row r="6" spans="1:15" ht="20.25" customHeight="1">
      <c r="A6" s="810" t="s">
        <v>349</v>
      </c>
      <c r="B6" s="810"/>
      <c r="C6" s="4"/>
      <c r="D6" s="93"/>
      <c r="E6" s="93"/>
    </row>
    <row r="7" spans="1:15" ht="18" customHeight="1">
      <c r="A7" s="815" t="str">
        <f>'Sch-1'!A7</f>
        <v/>
      </c>
      <c r="B7" s="815"/>
      <c r="C7" s="815"/>
      <c r="D7" s="94" t="s">
        <v>1</v>
      </c>
    </row>
    <row r="8" spans="1:15" ht="18" customHeight="1">
      <c r="A8" s="811" t="str">
        <f>"Bidder’s Name and Address  (" &amp; MID('Names of Bidder'!B9,9, 20) &amp; ") :"</f>
        <v>Bidder’s Name and Address  (Sole Bidder) :</v>
      </c>
      <c r="B8" s="811"/>
      <c r="C8" s="811"/>
      <c r="D8" s="95" t="str">
        <f>'Sch-1'!K8</f>
        <v>Contract Services</v>
      </c>
    </row>
    <row r="9" spans="1:15" ht="18" customHeight="1">
      <c r="A9" s="459" t="s">
        <v>12</v>
      </c>
      <c r="B9" s="459" t="str">
        <f>IF('Names of Bidder'!D9=0, "", 'Names of Bidder'!D9)</f>
        <v/>
      </c>
      <c r="C9" s="112"/>
      <c r="D9" s="95" t="str">
        <f>'Sch-1'!K9</f>
        <v>Power Grid Corporation of India Ltd.,</v>
      </c>
    </row>
    <row r="10" spans="1:15" ht="18" customHeight="1">
      <c r="A10" s="459" t="s">
        <v>11</v>
      </c>
      <c r="B10" s="578" t="str">
        <f>IF('Names of Bidder'!D10=0, "", 'Names of Bidder'!D10)</f>
        <v/>
      </c>
      <c r="C10" s="112"/>
      <c r="D10" s="95" t="str">
        <f>'Sch-1'!K10</f>
        <v>"Saudamini", Plot No.-2</v>
      </c>
    </row>
    <row r="11" spans="1:15" ht="18" customHeight="1">
      <c r="A11" s="408"/>
      <c r="B11" s="578" t="str">
        <f>IF('Names of Bidder'!D11=0, "", 'Names of Bidder'!D11)</f>
        <v/>
      </c>
      <c r="C11" s="112"/>
      <c r="D11" s="95" t="str">
        <f>'Sch-1'!K11</f>
        <v xml:space="preserve">Sector-29, </v>
      </c>
    </row>
    <row r="12" spans="1:15" ht="18" customHeight="1">
      <c r="A12" s="408"/>
      <c r="B12" s="578" t="str">
        <f>IF('Names of Bidder'!D12=0, "", 'Names of Bidder'!D12)</f>
        <v/>
      </c>
      <c r="C12" s="112"/>
      <c r="D12" s="95" t="str">
        <f>'Sch-1'!K12</f>
        <v>Gurgaon (Haryana) - 122001</v>
      </c>
    </row>
    <row r="13" spans="1:15" ht="8.1" customHeight="1" thickBot="1"/>
    <row r="14" spans="1:15" ht="21.9" customHeight="1">
      <c r="A14" s="632" t="s">
        <v>130</v>
      </c>
      <c r="B14" s="862" t="s">
        <v>131</v>
      </c>
      <c r="C14" s="862"/>
      <c r="D14" s="863" t="s">
        <v>132</v>
      </c>
      <c r="E14" s="864"/>
      <c r="I14" s="859"/>
      <c r="J14" s="859"/>
      <c r="K14" s="859"/>
      <c r="M14" s="852"/>
      <c r="N14" s="852"/>
      <c r="O14" s="852"/>
    </row>
    <row r="15" spans="1:15" ht="24.75" customHeight="1">
      <c r="A15" s="633" t="s">
        <v>135</v>
      </c>
      <c r="B15" s="853" t="s">
        <v>326</v>
      </c>
      <c r="C15" s="853"/>
      <c r="D15" s="871">
        <f>'Sch-1'!S44</f>
        <v>0</v>
      </c>
      <c r="E15" s="872"/>
      <c r="I15" s="387"/>
      <c r="K15" s="387"/>
      <c r="M15" s="387"/>
      <c r="O15" s="97"/>
    </row>
    <row r="16" spans="1:15" ht="81" customHeight="1">
      <c r="A16" s="634"/>
      <c r="B16" s="856" t="s">
        <v>327</v>
      </c>
      <c r="C16" s="856"/>
      <c r="D16" s="873"/>
      <c r="E16" s="874"/>
      <c r="G16" s="98"/>
    </row>
    <row r="17" spans="1:15" ht="24.75" customHeight="1">
      <c r="A17" s="633" t="s">
        <v>137</v>
      </c>
      <c r="B17" s="853" t="s">
        <v>328</v>
      </c>
      <c r="C17" s="853"/>
      <c r="D17" s="854">
        <f>'Sch-3'!U28</f>
        <v>0</v>
      </c>
      <c r="E17" s="855"/>
      <c r="I17" s="387"/>
      <c r="K17" s="388"/>
      <c r="M17" s="387"/>
      <c r="O17" s="100"/>
    </row>
    <row r="18" spans="1:15" ht="81.75" customHeight="1">
      <c r="A18" s="634"/>
      <c r="B18" s="856" t="s">
        <v>329</v>
      </c>
      <c r="C18" s="856"/>
      <c r="D18" s="875"/>
      <c r="E18" s="876"/>
      <c r="G18" s="101"/>
      <c r="I18" s="389"/>
      <c r="M18" s="389"/>
    </row>
    <row r="19" spans="1:15" ht="33" customHeight="1" thickBot="1">
      <c r="A19" s="635"/>
      <c r="B19" s="636" t="s">
        <v>332</v>
      </c>
      <c r="C19" s="637"/>
      <c r="D19" s="867">
        <f>D15+D17</f>
        <v>0</v>
      </c>
      <c r="E19" s="868"/>
    </row>
    <row r="20" spans="1:15" ht="30" customHeight="1">
      <c r="A20" s="102"/>
      <c r="B20" s="102"/>
      <c r="C20" s="103"/>
      <c r="D20" s="102"/>
      <c r="E20" s="102"/>
    </row>
    <row r="21" spans="1:15" ht="30" customHeight="1">
      <c r="A21" s="104" t="s">
        <v>143</v>
      </c>
      <c r="B21" s="640" t="str">
        <f>'Sch-5'!B21</f>
        <v xml:space="preserve">  </v>
      </c>
      <c r="C21" s="103" t="s">
        <v>144</v>
      </c>
      <c r="D21" s="877" t="str">
        <f>'Sch-5'!D21</f>
        <v/>
      </c>
      <c r="E21" s="877"/>
      <c r="F21" s="105"/>
    </row>
    <row r="22" spans="1:15" ht="30" customHeight="1">
      <c r="A22" s="104" t="s">
        <v>145</v>
      </c>
      <c r="B22" s="641" t="str">
        <f>'Sch-5'!B22</f>
        <v/>
      </c>
      <c r="C22" s="103" t="s">
        <v>146</v>
      </c>
      <c r="D22" s="877" t="str">
        <f>'Sch-5'!D22</f>
        <v/>
      </c>
      <c r="E22" s="877"/>
      <c r="F22" s="105"/>
    </row>
    <row r="23" spans="1:15" ht="30" customHeight="1">
      <c r="A23" s="106"/>
      <c r="B23" s="107"/>
      <c r="C23" s="103"/>
      <c r="D23" s="85"/>
      <c r="E23" s="85"/>
      <c r="F23" s="105"/>
    </row>
    <row r="24" spans="1:15" ht="33" customHeight="1">
      <c r="A24" s="106"/>
      <c r="B24" s="107"/>
      <c r="C24" s="91"/>
      <c r="D24" s="108"/>
      <c r="E24" s="109"/>
      <c r="F24" s="105"/>
    </row>
    <row r="25" spans="1:15" ht="21.9" customHeight="1">
      <c r="A25" s="110"/>
      <c r="B25" s="110"/>
      <c r="C25" s="110"/>
      <c r="D25" s="110"/>
      <c r="E25" s="111"/>
    </row>
    <row r="26" spans="1:15" ht="21.9" customHeight="1">
      <c r="A26" s="110"/>
      <c r="B26" s="110"/>
      <c r="C26" s="110"/>
      <c r="D26" s="110"/>
      <c r="E26" s="111"/>
    </row>
    <row r="27" spans="1:15" ht="21.9" customHeight="1">
      <c r="A27" s="110"/>
      <c r="B27" s="110"/>
      <c r="C27" s="110"/>
      <c r="D27" s="110"/>
      <c r="E27" s="111"/>
    </row>
    <row r="28" spans="1:15" ht="21.9" customHeight="1">
      <c r="A28" s="110"/>
      <c r="B28" s="110"/>
      <c r="C28" s="110"/>
      <c r="D28" s="110"/>
      <c r="E28" s="111"/>
    </row>
    <row r="29" spans="1:15" ht="21.9" customHeight="1">
      <c r="A29" s="110"/>
      <c r="B29" s="110"/>
      <c r="C29" s="110"/>
      <c r="D29" s="110"/>
      <c r="E29" s="111"/>
    </row>
    <row r="30" spans="1:15" ht="21.9" customHeight="1">
      <c r="A30" s="110"/>
      <c r="B30" s="110"/>
      <c r="C30" s="110"/>
      <c r="D30" s="110"/>
      <c r="E30" s="111"/>
    </row>
    <row r="31" spans="1:15" ht="24.9" customHeight="1">
      <c r="A31" s="109"/>
      <c r="B31" s="109"/>
      <c r="C31" s="109"/>
      <c r="D31" s="109"/>
      <c r="E31" s="109"/>
    </row>
    <row r="32" spans="1:15" ht="24.9" customHeight="1">
      <c r="A32" s="109"/>
      <c r="B32" s="109"/>
      <c r="C32" s="109"/>
      <c r="D32" s="109"/>
      <c r="E32" s="109"/>
    </row>
    <row r="33" spans="1:5" ht="24.9" customHeight="1">
      <c r="A33" s="109"/>
      <c r="B33" s="109"/>
      <c r="C33" s="109"/>
      <c r="D33" s="109"/>
      <c r="E33" s="109"/>
    </row>
    <row r="34" spans="1:5" ht="24.9" customHeight="1">
      <c r="A34" s="109"/>
      <c r="B34" s="109"/>
      <c r="C34" s="109"/>
      <c r="D34" s="109"/>
      <c r="E34" s="109"/>
    </row>
    <row r="35" spans="1:5" ht="24.9" customHeight="1">
      <c r="A35" s="109"/>
      <c r="B35" s="109"/>
      <c r="C35" s="109"/>
      <c r="D35" s="109"/>
      <c r="E35" s="109"/>
    </row>
    <row r="36" spans="1:5" ht="24.9" customHeight="1">
      <c r="A36" s="109"/>
      <c r="B36" s="109"/>
      <c r="C36" s="109"/>
      <c r="D36" s="109"/>
      <c r="E36" s="109"/>
    </row>
    <row r="37" spans="1:5" ht="24.9" customHeight="1">
      <c r="A37" s="109"/>
      <c r="B37" s="109"/>
      <c r="C37" s="109"/>
      <c r="D37" s="109"/>
      <c r="E37" s="109"/>
    </row>
    <row r="38" spans="1:5" ht="24.9" customHeight="1">
      <c r="A38" s="109"/>
      <c r="B38" s="109"/>
      <c r="C38" s="109"/>
      <c r="D38" s="109"/>
      <c r="E38" s="109"/>
    </row>
    <row r="39" spans="1:5" ht="24.9" customHeight="1">
      <c r="A39" s="109"/>
      <c r="B39" s="109"/>
      <c r="C39" s="109"/>
      <c r="D39" s="109"/>
      <c r="E39" s="109"/>
    </row>
    <row r="40" spans="1:5" ht="24.9" customHeight="1">
      <c r="A40" s="109"/>
      <c r="B40" s="109"/>
      <c r="C40" s="109"/>
      <c r="D40" s="109"/>
      <c r="E40" s="109"/>
    </row>
    <row r="41" spans="1:5" ht="24.9" customHeight="1">
      <c r="A41" s="109"/>
      <c r="B41" s="109"/>
      <c r="C41" s="109"/>
      <c r="D41" s="109"/>
      <c r="E41" s="109"/>
    </row>
    <row r="42" spans="1:5" ht="24.9" customHeight="1">
      <c r="A42" s="109"/>
      <c r="B42" s="109"/>
      <c r="C42" s="109"/>
      <c r="D42" s="109"/>
      <c r="E42" s="109"/>
    </row>
    <row r="43" spans="1:5" ht="24.9" customHeight="1">
      <c r="A43" s="109"/>
      <c r="B43" s="109"/>
      <c r="C43" s="109"/>
      <c r="D43" s="109"/>
      <c r="E43" s="109"/>
    </row>
    <row r="44" spans="1:5" ht="24.9" customHeight="1">
      <c r="A44" s="109"/>
      <c r="B44" s="109"/>
      <c r="C44" s="109"/>
      <c r="D44" s="109"/>
      <c r="E44" s="109"/>
    </row>
    <row r="45" spans="1:5" ht="24.9" customHeight="1">
      <c r="A45" s="109"/>
      <c r="B45" s="109"/>
      <c r="C45" s="109"/>
      <c r="D45" s="109"/>
      <c r="E45" s="109"/>
    </row>
    <row r="46" spans="1:5" ht="24.9" customHeight="1">
      <c r="A46" s="109"/>
      <c r="B46" s="109"/>
      <c r="C46" s="109"/>
      <c r="D46" s="109"/>
      <c r="E46" s="109"/>
    </row>
    <row r="47" spans="1:5" ht="24.9" customHeight="1">
      <c r="A47" s="109"/>
      <c r="B47" s="109"/>
      <c r="C47" s="109"/>
      <c r="D47" s="109"/>
      <c r="E47" s="109"/>
    </row>
    <row r="48" spans="1:5" ht="24.9" customHeight="1">
      <c r="A48" s="109"/>
      <c r="B48" s="109"/>
      <c r="C48" s="109"/>
      <c r="D48" s="109"/>
      <c r="E48" s="109"/>
    </row>
    <row r="49" spans="1:5" ht="24.9" customHeight="1">
      <c r="A49" s="109"/>
      <c r="B49" s="109"/>
      <c r="C49" s="109"/>
      <c r="D49" s="109"/>
      <c r="E49" s="109"/>
    </row>
    <row r="50" spans="1:5" ht="24.9" customHeight="1">
      <c r="A50" s="109"/>
      <c r="B50" s="109"/>
      <c r="C50" s="109"/>
      <c r="D50" s="109"/>
      <c r="E50" s="109"/>
    </row>
    <row r="51" spans="1:5" ht="24.9" customHeight="1">
      <c r="A51" s="109"/>
      <c r="B51" s="109"/>
      <c r="C51" s="109"/>
      <c r="D51" s="109"/>
      <c r="E51" s="109"/>
    </row>
    <row r="52" spans="1:5" ht="24.9" customHeight="1">
      <c r="A52" s="109"/>
      <c r="B52" s="109"/>
      <c r="C52" s="109"/>
      <c r="D52" s="109"/>
      <c r="E52" s="109"/>
    </row>
    <row r="53" spans="1:5" ht="24.9"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F8A50AE1-259E-429D-A506-38EB64D134EF}"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80" zoomScaleNormal="100" zoomScaleSheetLayoutView="80" workbookViewId="0">
      <selection activeCell="A3" sqref="A3:D3"/>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16384" width="11.44140625" style="112"/>
  </cols>
  <sheetData>
    <row r="1" spans="1:6" ht="18" customHeight="1">
      <c r="A1" s="113" t="str">
        <f>Cover!B3</f>
        <v>Spec. No: CC/NT/W-RT/DOM/A00/22/00726</v>
      </c>
      <c r="B1" s="114"/>
      <c r="C1" s="115"/>
      <c r="D1" s="116" t="s">
        <v>147</v>
      </c>
    </row>
    <row r="2" spans="1:6" ht="18" customHeight="1">
      <c r="A2" s="117"/>
      <c r="B2" s="118"/>
      <c r="C2" s="119"/>
      <c r="D2" s="119"/>
    </row>
    <row r="3" spans="1:6" ht="90.75" customHeight="1">
      <c r="A3" s="86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60"/>
      <c r="C3" s="860"/>
      <c r="D3" s="860"/>
      <c r="E3" s="120"/>
      <c r="F3" s="120"/>
    </row>
    <row r="4" spans="1:6" ht="21.9" customHeight="1">
      <c r="A4" s="861" t="s">
        <v>148</v>
      </c>
      <c r="B4" s="861"/>
      <c r="C4" s="861"/>
      <c r="D4" s="861"/>
    </row>
    <row r="5" spans="1:6" ht="18" customHeight="1">
      <c r="A5" s="121"/>
    </row>
    <row r="6" spans="1:6" ht="18" customHeight="1">
      <c r="A6" s="810" t="s">
        <v>349</v>
      </c>
      <c r="B6" s="810"/>
      <c r="C6" s="4"/>
    </row>
    <row r="7" spans="1:6" ht="18" customHeight="1">
      <c r="A7" s="815" t="str">
        <f>'Sch-1'!A7</f>
        <v/>
      </c>
      <c r="B7" s="815"/>
      <c r="C7" s="815"/>
      <c r="D7" s="94" t="s">
        <v>1</v>
      </c>
    </row>
    <row r="8" spans="1:6" ht="21.75" customHeight="1">
      <c r="A8" s="811" t="str">
        <f>"Bidder’s Name and Address  (" &amp; MID('Names of Bidder'!B9,9, 20) &amp; ") :"</f>
        <v>Bidder’s Name and Address  (Sole Bidder) :</v>
      </c>
      <c r="B8" s="811"/>
      <c r="C8" s="811"/>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8" t="str">
        <f>IF('Names of Bidder'!D10=0, "", 'Names of Bidder'!D10)</f>
        <v/>
      </c>
      <c r="C10" s="112"/>
      <c r="D10" s="95" t="str">
        <f>'Sch-1'!K10</f>
        <v>"Saudamini", Plot No.-2</v>
      </c>
    </row>
    <row r="11" spans="1:6" ht="18" customHeight="1">
      <c r="A11" s="408"/>
      <c r="B11" s="578" t="str">
        <f>IF('Names of Bidder'!D11=0, "", 'Names of Bidder'!D11)</f>
        <v/>
      </c>
      <c r="C11" s="112"/>
      <c r="D11" s="95" t="str">
        <f>'Sch-1'!K11</f>
        <v xml:space="preserve">Sector-29, </v>
      </c>
    </row>
    <row r="12" spans="1:6" ht="18" customHeight="1">
      <c r="A12" s="408"/>
      <c r="B12" s="578" t="str">
        <f>IF('Names of Bidder'!D12=0, "", 'Names of Bidder'!D12)</f>
        <v/>
      </c>
      <c r="C12" s="112"/>
      <c r="D12" s="95" t="str">
        <f>'Sch-1'!K12</f>
        <v>Gurgaon (Haryana) - 122001</v>
      </c>
    </row>
    <row r="13" spans="1:6" ht="18" customHeight="1" thickBot="1">
      <c r="A13" s="620"/>
      <c r="B13" s="620"/>
      <c r="C13" s="620"/>
      <c r="D13" s="123"/>
    </row>
    <row r="14" spans="1:6" ht="21.9" customHeight="1">
      <c r="A14" s="621" t="s">
        <v>130</v>
      </c>
      <c r="B14" s="878" t="s">
        <v>15</v>
      </c>
      <c r="C14" s="879"/>
      <c r="D14" s="622" t="s">
        <v>132</v>
      </c>
    </row>
    <row r="15" spans="1:6" ht="21.9" customHeight="1">
      <c r="A15" s="623" t="s">
        <v>135</v>
      </c>
      <c r="B15" s="880" t="s">
        <v>149</v>
      </c>
      <c r="C15" s="880"/>
      <c r="D15" s="624">
        <f>'Sch-1'!N44</f>
        <v>0</v>
      </c>
    </row>
    <row r="16" spans="1:6" ht="35.1" customHeight="1">
      <c r="A16" s="625"/>
      <c r="B16" s="881" t="s">
        <v>150</v>
      </c>
      <c r="C16" s="882"/>
      <c r="D16" s="626"/>
    </row>
    <row r="17" spans="1:6" ht="21.9" customHeight="1">
      <c r="A17" s="623" t="s">
        <v>137</v>
      </c>
      <c r="B17" s="880" t="s">
        <v>151</v>
      </c>
      <c r="C17" s="880"/>
      <c r="D17" s="624">
        <f>'Sch-2'!J44</f>
        <v>0</v>
      </c>
    </row>
    <row r="18" spans="1:6" ht="35.1" customHeight="1">
      <c r="A18" s="625"/>
      <c r="B18" s="881" t="s">
        <v>313</v>
      </c>
      <c r="C18" s="882"/>
      <c r="D18" s="626"/>
    </row>
    <row r="19" spans="1:6" ht="21.9" customHeight="1">
      <c r="A19" s="623" t="s">
        <v>139</v>
      </c>
      <c r="B19" s="880" t="s">
        <v>153</v>
      </c>
      <c r="C19" s="880"/>
      <c r="D19" s="624">
        <f>'Sch-3'!P28</f>
        <v>0</v>
      </c>
    </row>
    <row r="20" spans="1:6" ht="30" customHeight="1">
      <c r="A20" s="625"/>
      <c r="B20" s="881" t="s">
        <v>154</v>
      </c>
      <c r="C20" s="882"/>
      <c r="D20" s="626"/>
    </row>
    <row r="21" spans="1:6" ht="21.9" customHeight="1">
      <c r="A21" s="623" t="s">
        <v>140</v>
      </c>
      <c r="B21" s="880" t="s">
        <v>155</v>
      </c>
      <c r="C21" s="880"/>
      <c r="D21" s="627" t="s">
        <v>339</v>
      </c>
    </row>
    <row r="22" spans="1:6" ht="30" customHeight="1">
      <c r="A22" s="625"/>
      <c r="B22" s="881" t="s">
        <v>156</v>
      </c>
      <c r="C22" s="882"/>
      <c r="D22" s="626"/>
    </row>
    <row r="23" spans="1:6" ht="30" customHeight="1">
      <c r="A23" s="623">
        <v>5</v>
      </c>
      <c r="B23" s="880" t="s">
        <v>157</v>
      </c>
      <c r="C23" s="880"/>
      <c r="D23" s="624">
        <f>'Sch-5'!D19:E19</f>
        <v>0</v>
      </c>
    </row>
    <row r="24" spans="1:6" ht="23.25" customHeight="1">
      <c r="A24" s="625"/>
      <c r="B24" s="881" t="s">
        <v>158</v>
      </c>
      <c r="C24" s="882"/>
      <c r="D24" s="628"/>
    </row>
    <row r="25" spans="1:6" ht="21.9" customHeight="1">
      <c r="A25" s="623" t="s">
        <v>142</v>
      </c>
      <c r="B25" s="880" t="s">
        <v>159</v>
      </c>
      <c r="C25" s="880"/>
      <c r="D25" s="627" t="s">
        <v>339</v>
      </c>
    </row>
    <row r="26" spans="1:6" ht="35.1" customHeight="1">
      <c r="A26" s="625"/>
      <c r="B26" s="881" t="s">
        <v>160</v>
      </c>
      <c r="C26" s="882"/>
      <c r="D26" s="626"/>
    </row>
    <row r="27" spans="1:6" ht="18.75" customHeight="1">
      <c r="A27" s="883"/>
      <c r="B27" s="885" t="s">
        <v>347</v>
      </c>
      <c r="C27" s="885"/>
      <c r="D27" s="629"/>
    </row>
    <row r="28" spans="1:6" ht="18.75" customHeight="1" thickBot="1">
      <c r="A28" s="884"/>
      <c r="B28" s="886"/>
      <c r="C28" s="886"/>
      <c r="D28" s="630">
        <f>D15+D17+D19+D23</f>
        <v>0</v>
      </c>
    </row>
    <row r="29" spans="1:6" ht="18.75" customHeight="1">
      <c r="A29" s="132"/>
      <c r="B29" s="133"/>
      <c r="C29" s="133"/>
      <c r="D29" s="134"/>
    </row>
    <row r="30" spans="1:6" ht="27.9" customHeight="1">
      <c r="A30" s="132"/>
      <c r="B30" s="135"/>
      <c r="C30" s="135"/>
      <c r="D30" s="134"/>
    </row>
    <row r="31" spans="1:6" ht="27.9" customHeight="1">
      <c r="A31" s="136" t="s">
        <v>162</v>
      </c>
      <c r="B31" s="640" t="str">
        <f>'Sch-5 after discount'!B21</f>
        <v xml:space="preserve">  </v>
      </c>
      <c r="C31" s="135" t="s">
        <v>144</v>
      </c>
      <c r="D31" s="700" t="str">
        <f>'Sch-5 after discount'!D21</f>
        <v/>
      </c>
      <c r="F31" s="137"/>
    </row>
    <row r="32" spans="1:6" ht="27.9" customHeight="1">
      <c r="A32" s="136" t="s">
        <v>163</v>
      </c>
      <c r="B32" s="641" t="str">
        <f>'Sch-5 after discount'!B22</f>
        <v/>
      </c>
      <c r="C32" s="135" t="s">
        <v>146</v>
      </c>
      <c r="D32" s="700" t="str">
        <f>'Sch-5 after discount'!D22</f>
        <v/>
      </c>
      <c r="F32" s="138"/>
    </row>
    <row r="33" spans="1:6" ht="27.9"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F8A50AE1-259E-429D-A506-38EB64D134EF}" scale="80" showPageBreaks="1" printArea="1" view="pageBreakPreview" topLeftCell="A10">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cale="80" showPageBreaks="1" printArea="1" view="pageBreakPreview" topLeftCell="A10">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16384" width="11.44140625" style="112"/>
  </cols>
  <sheetData>
    <row r="1" spans="1:6" ht="18" customHeight="1">
      <c r="A1" s="113" t="str">
        <f>Cover!B3</f>
        <v>Spec. No: CC/NT/W-RT/DOM/A00/22/00726</v>
      </c>
      <c r="B1" s="114"/>
      <c r="C1" s="115"/>
      <c r="D1" s="116" t="s">
        <v>164</v>
      </c>
    </row>
    <row r="2" spans="1:6" ht="18" customHeight="1">
      <c r="A2" s="117"/>
      <c r="B2" s="118"/>
      <c r="C2" s="119"/>
      <c r="D2" s="119"/>
    </row>
    <row r="3" spans="1:6" ht="73.5" customHeight="1">
      <c r="A3" s="892"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92"/>
      <c r="C3" s="892"/>
      <c r="D3" s="892"/>
      <c r="E3" s="120"/>
      <c r="F3" s="120"/>
    </row>
    <row r="4" spans="1:6" ht="21.9" customHeight="1">
      <c r="A4" s="861" t="s">
        <v>148</v>
      </c>
      <c r="B4" s="861"/>
      <c r="C4" s="861"/>
      <c r="D4" s="861"/>
    </row>
    <row r="5" spans="1:6" ht="18" customHeight="1">
      <c r="A5" s="121"/>
    </row>
    <row r="6" spans="1:6" ht="18" customHeight="1">
      <c r="A6" s="25" t="e">
        <f>'Sch-1'!#REF!</f>
        <v>#REF!</v>
      </c>
      <c r="D6" s="94" t="s">
        <v>1</v>
      </c>
    </row>
    <row r="7" spans="1:6" ht="36" customHeight="1">
      <c r="A7" s="893" t="str">
        <f>'Sch-1'!A8</f>
        <v>Bidder’s Name and Address  (Sole Bidder) :</v>
      </c>
      <c r="B7" s="893"/>
      <c r="C7" s="893"/>
      <c r="D7" s="95" t="str">
        <f>'Sch-1'!K8</f>
        <v>Contract Services</v>
      </c>
    </row>
    <row r="8" spans="1:6" ht="18" customHeight="1">
      <c r="A8" s="29" t="s">
        <v>31</v>
      </c>
      <c r="B8" s="891" t="str">
        <f>IF('Sch-1'!C9=0, "", 'Sch-1'!C9)</f>
        <v/>
      </c>
      <c r="C8" s="891"/>
      <c r="D8" s="95" t="str">
        <f>'Sch-1'!K9</f>
        <v>Power Grid Corporation of India Ltd.,</v>
      </c>
    </row>
    <row r="9" spans="1:6" ht="18" customHeight="1">
      <c r="A9" s="29" t="s">
        <v>32</v>
      </c>
      <c r="B9" s="891" t="str">
        <f>IF('Sch-1'!C10=0, "", 'Sch-1'!C10)</f>
        <v/>
      </c>
      <c r="C9" s="891"/>
      <c r="D9" s="95" t="str">
        <f>'Sch-1'!K10</f>
        <v>"Saudamini", Plot No.-2</v>
      </c>
    </row>
    <row r="10" spans="1:6" ht="18" customHeight="1">
      <c r="A10" s="30"/>
      <c r="B10" s="891" t="str">
        <f>IF('Sch-1'!C11=0, "", 'Sch-1'!C11)</f>
        <v/>
      </c>
      <c r="C10" s="891"/>
      <c r="D10" s="95" t="str">
        <f>'Sch-1'!K11</f>
        <v xml:space="preserve">Sector-29, </v>
      </c>
    </row>
    <row r="11" spans="1:6" ht="18" customHeight="1">
      <c r="A11" s="30"/>
      <c r="B11" s="891" t="str">
        <f>IF('Sch-1'!C12=0, "", 'Sch-1'!C12)</f>
        <v/>
      </c>
      <c r="C11" s="891"/>
      <c r="D11" s="95" t="str">
        <f>'Sch-1'!K12</f>
        <v>Gurgaon (Haryana) - 122001</v>
      </c>
    </row>
    <row r="12" spans="1:6" ht="18" customHeight="1">
      <c r="A12" s="122"/>
      <c r="B12" s="122"/>
      <c r="C12" s="122"/>
      <c r="D12" s="123"/>
    </row>
    <row r="13" spans="1:6" ht="21.9" customHeight="1">
      <c r="A13" s="124" t="s">
        <v>130</v>
      </c>
      <c r="B13" s="887" t="s">
        <v>15</v>
      </c>
      <c r="C13" s="888"/>
      <c r="D13" s="125" t="s">
        <v>132</v>
      </c>
    </row>
    <row r="14" spans="1:6" ht="21.9" customHeight="1">
      <c r="A14" s="96" t="s">
        <v>135</v>
      </c>
      <c r="B14" s="880" t="s">
        <v>149</v>
      </c>
      <c r="C14" s="880"/>
      <c r="D14" s="126"/>
    </row>
    <row r="15" spans="1:6" ht="35.1" customHeight="1">
      <c r="A15" s="127"/>
      <c r="B15" s="881" t="s">
        <v>150</v>
      </c>
      <c r="C15" s="882"/>
      <c r="D15" s="128"/>
    </row>
    <row r="16" spans="1:6" ht="21.9" customHeight="1">
      <c r="A16" s="96" t="s">
        <v>137</v>
      </c>
      <c r="B16" s="880" t="s">
        <v>151</v>
      </c>
      <c r="C16" s="880"/>
      <c r="D16" s="126"/>
    </row>
    <row r="17" spans="1:6" ht="35.1" customHeight="1">
      <c r="A17" s="127"/>
      <c r="B17" s="881" t="s">
        <v>152</v>
      </c>
      <c r="C17" s="882"/>
      <c r="D17" s="128"/>
    </row>
    <row r="18" spans="1:6" ht="21.9" customHeight="1">
      <c r="A18" s="96" t="s">
        <v>139</v>
      </c>
      <c r="B18" s="880" t="s">
        <v>153</v>
      </c>
      <c r="C18" s="880"/>
      <c r="D18" s="126"/>
    </row>
    <row r="19" spans="1:6" ht="30" customHeight="1">
      <c r="A19" s="127"/>
      <c r="B19" s="881" t="s">
        <v>154</v>
      </c>
      <c r="C19" s="882"/>
      <c r="D19" s="128"/>
    </row>
    <row r="20" spans="1:6" ht="21.9" customHeight="1">
      <c r="A20" s="96" t="s">
        <v>140</v>
      </c>
      <c r="B20" s="880" t="s">
        <v>155</v>
      </c>
      <c r="C20" s="880"/>
      <c r="D20" s="129"/>
    </row>
    <row r="21" spans="1:6" ht="30" customHeight="1">
      <c r="A21" s="127"/>
      <c r="B21" s="881" t="s">
        <v>156</v>
      </c>
      <c r="C21" s="882"/>
      <c r="D21" s="128"/>
    </row>
    <row r="22" spans="1:6" ht="30" customHeight="1">
      <c r="A22" s="96">
        <v>5</v>
      </c>
      <c r="B22" s="880" t="s">
        <v>157</v>
      </c>
      <c r="C22" s="880"/>
      <c r="D22" s="126"/>
    </row>
    <row r="23" spans="1:6" ht="33" customHeight="1">
      <c r="A23" s="127"/>
      <c r="B23" s="881" t="s">
        <v>158</v>
      </c>
      <c r="C23" s="882"/>
      <c r="D23" s="143"/>
    </row>
    <row r="24" spans="1:6" ht="21.9" customHeight="1">
      <c r="A24" s="96" t="s">
        <v>142</v>
      </c>
      <c r="B24" s="880" t="s">
        <v>159</v>
      </c>
      <c r="C24" s="880"/>
      <c r="D24" s="129"/>
    </row>
    <row r="25" spans="1:6" ht="35.1" customHeight="1">
      <c r="A25" s="127"/>
      <c r="B25" s="881" t="s">
        <v>160</v>
      </c>
      <c r="C25" s="882"/>
      <c r="D25" s="128"/>
    </row>
    <row r="26" spans="1:6" ht="24" customHeight="1">
      <c r="A26" s="889"/>
      <c r="B26" s="890" t="s">
        <v>161</v>
      </c>
      <c r="C26" s="890"/>
      <c r="D26" s="130"/>
    </row>
    <row r="27" spans="1:6" ht="25.5" customHeight="1">
      <c r="A27" s="889"/>
      <c r="B27" s="890"/>
      <c r="C27" s="890"/>
      <c r="D27" s="131"/>
    </row>
    <row r="28" spans="1:6" ht="18.75" customHeight="1">
      <c r="A28" s="132"/>
      <c r="B28" s="133"/>
      <c r="C28" s="133"/>
      <c r="D28" s="134"/>
    </row>
    <row r="29" spans="1:6" ht="27.9" customHeight="1">
      <c r="A29" s="132"/>
      <c r="B29" s="133"/>
      <c r="C29" s="135"/>
      <c r="D29" s="134"/>
    </row>
    <row r="30" spans="1:6" ht="27.9" customHeight="1">
      <c r="A30" s="136" t="s">
        <v>162</v>
      </c>
      <c r="B30" s="99"/>
      <c r="C30" s="135" t="s">
        <v>144</v>
      </c>
      <c r="D30" s="99"/>
      <c r="F30" s="137"/>
    </row>
    <row r="31" spans="1:6" ht="27.9" customHeight="1">
      <c r="A31" s="136" t="s">
        <v>163</v>
      </c>
      <c r="B31" s="99"/>
      <c r="C31" s="135" t="s">
        <v>146</v>
      </c>
      <c r="D31" s="99"/>
      <c r="F31" s="138"/>
    </row>
    <row r="32" spans="1:6" ht="27.9"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5" width="18.44140625" style="112" hidden="1" customWidth="1"/>
    <col min="6" max="6" width="18.6640625" style="112" hidden="1" customWidth="1"/>
    <col min="7" max="16384" width="11.44140625" style="112"/>
  </cols>
  <sheetData>
    <row r="1" spans="1:6" ht="18" customHeight="1">
      <c r="A1" s="113" t="str">
        <f>Cover!B3</f>
        <v>Spec. No: CC/NT/W-RT/DOM/A00/22/00726</v>
      </c>
      <c r="B1" s="114"/>
      <c r="C1" s="115"/>
      <c r="D1" s="116" t="s">
        <v>147</v>
      </c>
    </row>
    <row r="2" spans="1:6" ht="18" customHeight="1">
      <c r="A2" s="117"/>
      <c r="B2" s="118"/>
      <c r="C2" s="119"/>
      <c r="D2" s="119"/>
    </row>
    <row r="3" spans="1:6" ht="97.5" customHeight="1">
      <c r="A3" s="86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60"/>
      <c r="C3" s="860"/>
      <c r="D3" s="860"/>
      <c r="E3" s="120"/>
      <c r="F3" s="120"/>
    </row>
    <row r="4" spans="1:6" ht="21.9" customHeight="1">
      <c r="A4" s="861" t="s">
        <v>148</v>
      </c>
      <c r="B4" s="861"/>
      <c r="C4" s="861"/>
      <c r="D4" s="861"/>
    </row>
    <row r="5" spans="1:6" ht="18" customHeight="1">
      <c r="A5" s="121"/>
    </row>
    <row r="6" spans="1:6" ht="18" customHeight="1">
      <c r="A6" s="810" t="s">
        <v>349</v>
      </c>
      <c r="B6" s="810"/>
      <c r="C6" s="4"/>
    </row>
    <row r="7" spans="1:6" ht="18" customHeight="1">
      <c r="A7" s="815" t="str">
        <f>'Sch-1'!A7</f>
        <v/>
      </c>
      <c r="B7" s="815"/>
      <c r="C7" s="815"/>
      <c r="D7" s="94" t="s">
        <v>1</v>
      </c>
    </row>
    <row r="8" spans="1:6" ht="22.5" customHeight="1">
      <c r="A8" s="811" t="str">
        <f>"Bidder’s Name and Address  (" &amp; MID('Names of Bidder'!B9,9, 20) &amp; ") :"</f>
        <v>Bidder’s Name and Address  (Sole Bidder) :</v>
      </c>
      <c r="B8" s="811"/>
      <c r="C8" s="811"/>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8" t="str">
        <f>IF('Names of Bidder'!D10=0, "", 'Names of Bidder'!D10)</f>
        <v/>
      </c>
      <c r="C10" s="112"/>
      <c r="D10" s="95" t="str">
        <f>'Sch-1'!K10</f>
        <v>"Saudamini", Plot No.-2</v>
      </c>
    </row>
    <row r="11" spans="1:6" ht="18" customHeight="1">
      <c r="A11" s="408"/>
      <c r="B11" s="578" t="str">
        <f>IF('Names of Bidder'!D11=0, "", 'Names of Bidder'!D11)</f>
        <v/>
      </c>
      <c r="C11" s="112"/>
      <c r="D11" s="95" t="str">
        <f>'Sch-1'!K11</f>
        <v xml:space="preserve">Sector-29, </v>
      </c>
    </row>
    <row r="12" spans="1:6" ht="18" customHeight="1">
      <c r="A12" s="408"/>
      <c r="B12" s="578" t="str">
        <f>IF('Names of Bidder'!D12=0, "", 'Names of Bidder'!D12)</f>
        <v/>
      </c>
      <c r="C12" s="112"/>
      <c r="D12" s="95" t="str">
        <f>'Sch-1'!K12</f>
        <v>Gurgaon (Haryana) - 122001</v>
      </c>
    </row>
    <row r="13" spans="1:6" ht="18" customHeight="1" thickBot="1">
      <c r="A13" s="620"/>
      <c r="B13" s="620"/>
      <c r="C13" s="620"/>
      <c r="D13" s="123"/>
    </row>
    <row r="14" spans="1:6" ht="21.9" customHeight="1">
      <c r="A14" s="621" t="s">
        <v>130</v>
      </c>
      <c r="B14" s="878" t="s">
        <v>15</v>
      </c>
      <c r="C14" s="879"/>
      <c r="D14" s="622" t="s">
        <v>132</v>
      </c>
      <c r="E14" s="593" t="s">
        <v>360</v>
      </c>
      <c r="F14" s="594" t="s">
        <v>359</v>
      </c>
    </row>
    <row r="15" spans="1:6" ht="21.9" customHeight="1">
      <c r="A15" s="623" t="s">
        <v>135</v>
      </c>
      <c r="B15" s="880" t="s">
        <v>149</v>
      </c>
      <c r="C15" s="880"/>
      <c r="D15" s="624">
        <f>E15*F15</f>
        <v>0</v>
      </c>
      <c r="E15" s="595">
        <f>'Sch-6'!D15</f>
        <v>0</v>
      </c>
      <c r="F15" s="617">
        <f>IF(Discount!H36&lt;0,0,Discount!H36)</f>
        <v>0</v>
      </c>
    </row>
    <row r="16" spans="1:6" ht="35.1" customHeight="1">
      <c r="A16" s="625"/>
      <c r="B16" s="881" t="s">
        <v>150</v>
      </c>
      <c r="C16" s="882"/>
      <c r="D16" s="626"/>
      <c r="E16" s="597"/>
      <c r="F16" s="617"/>
    </row>
    <row r="17" spans="1:6" ht="21.9" customHeight="1">
      <c r="A17" s="623" t="s">
        <v>137</v>
      </c>
      <c r="B17" s="880" t="s">
        <v>151</v>
      </c>
      <c r="C17" s="880"/>
      <c r="D17" s="624">
        <f>E17*F17</f>
        <v>0</v>
      </c>
      <c r="E17" s="595">
        <f>'Sch-6'!D17</f>
        <v>0</v>
      </c>
      <c r="F17" s="617">
        <f>IF(Discount!I36&lt;0,0,Discount!I36)</f>
        <v>0</v>
      </c>
    </row>
    <row r="18" spans="1:6" ht="35.1" customHeight="1">
      <c r="A18" s="625"/>
      <c r="B18" s="881" t="s">
        <v>313</v>
      </c>
      <c r="C18" s="882"/>
      <c r="D18" s="626"/>
      <c r="E18" s="597"/>
      <c r="F18" s="617"/>
    </row>
    <row r="19" spans="1:6" ht="21.9" customHeight="1">
      <c r="A19" s="623" t="s">
        <v>139</v>
      </c>
      <c r="B19" s="880" t="s">
        <v>153</v>
      </c>
      <c r="C19" s="880"/>
      <c r="D19" s="624">
        <f>E19*F19</f>
        <v>0</v>
      </c>
      <c r="E19" s="595">
        <f>'Sch-6'!D19</f>
        <v>0</v>
      </c>
      <c r="F19" s="617">
        <f>IF(Discount!J36&lt;0,0,Discount!J36)</f>
        <v>0</v>
      </c>
    </row>
    <row r="20" spans="1:6" ht="30" customHeight="1">
      <c r="A20" s="625"/>
      <c r="B20" s="881" t="s">
        <v>154</v>
      </c>
      <c r="C20" s="882"/>
      <c r="D20" s="626"/>
      <c r="E20" s="597"/>
      <c r="F20" s="596"/>
    </row>
    <row r="21" spans="1:6" ht="21.9" customHeight="1">
      <c r="A21" s="623" t="s">
        <v>140</v>
      </c>
      <c r="B21" s="880" t="s">
        <v>155</v>
      </c>
      <c r="C21" s="880"/>
      <c r="D21" s="627" t="s">
        <v>339</v>
      </c>
      <c r="E21" s="597"/>
      <c r="F21" s="596"/>
    </row>
    <row r="22" spans="1:6" ht="30" customHeight="1">
      <c r="A22" s="625"/>
      <c r="B22" s="881" t="s">
        <v>156</v>
      </c>
      <c r="C22" s="882"/>
      <c r="D22" s="626"/>
      <c r="E22" s="597"/>
      <c r="F22" s="596"/>
    </row>
    <row r="23" spans="1:6" ht="30" customHeight="1">
      <c r="A23" s="623">
        <v>5</v>
      </c>
      <c r="B23" s="880" t="s">
        <v>157</v>
      </c>
      <c r="C23" s="880"/>
      <c r="D23" s="624">
        <f>IF('Sch-5 after discount'!D19&lt;0,0,'Sch-5 after discount'!D19)</f>
        <v>0</v>
      </c>
      <c r="E23" s="597"/>
      <c r="F23" s="596"/>
    </row>
    <row r="24" spans="1:6" ht="25.5" customHeight="1">
      <c r="A24" s="625"/>
      <c r="B24" s="881" t="s">
        <v>158</v>
      </c>
      <c r="C24" s="882"/>
      <c r="D24" s="628"/>
      <c r="E24" s="597"/>
      <c r="F24" s="596"/>
    </row>
    <row r="25" spans="1:6" ht="21.9" customHeight="1">
      <c r="A25" s="623" t="s">
        <v>142</v>
      </c>
      <c r="B25" s="880" t="s">
        <v>159</v>
      </c>
      <c r="C25" s="880"/>
      <c r="D25" s="627" t="s">
        <v>339</v>
      </c>
      <c r="E25" s="597"/>
      <c r="F25" s="596"/>
    </row>
    <row r="26" spans="1:6" ht="35.1" customHeight="1">
      <c r="A26" s="625"/>
      <c r="B26" s="881" t="s">
        <v>160</v>
      </c>
      <c r="C26" s="882"/>
      <c r="D26" s="626"/>
      <c r="E26" s="597"/>
      <c r="F26" s="596"/>
    </row>
    <row r="27" spans="1:6" ht="18.75" customHeight="1">
      <c r="A27" s="883"/>
      <c r="B27" s="885" t="s">
        <v>347</v>
      </c>
      <c r="C27" s="885"/>
      <c r="D27" s="631"/>
      <c r="E27" s="597"/>
      <c r="F27" s="596"/>
    </row>
    <row r="28" spans="1:6" ht="18.75" customHeight="1" thickBot="1">
      <c r="A28" s="884"/>
      <c r="B28" s="886"/>
      <c r="C28" s="886"/>
      <c r="D28" s="630">
        <f>SUM(D15:D26)</f>
        <v>0</v>
      </c>
      <c r="E28" s="598"/>
      <c r="F28" s="599"/>
    </row>
    <row r="29" spans="1:6" ht="18.75" customHeight="1">
      <c r="A29" s="132"/>
      <c r="B29" s="133"/>
      <c r="C29" s="133"/>
      <c r="D29" s="134"/>
    </row>
    <row r="30" spans="1:6" ht="27.9" customHeight="1">
      <c r="A30" s="132"/>
      <c r="B30" s="135"/>
      <c r="C30" s="135"/>
      <c r="D30" s="134"/>
    </row>
    <row r="31" spans="1:6" ht="27.9" customHeight="1">
      <c r="A31" s="136" t="s">
        <v>162</v>
      </c>
      <c r="B31" s="640" t="str">
        <f>'Sch-6'!B31</f>
        <v xml:space="preserve">  </v>
      </c>
      <c r="C31" s="135" t="s">
        <v>144</v>
      </c>
      <c r="D31" s="701" t="str">
        <f>'Sch-6'!D31</f>
        <v/>
      </c>
      <c r="F31" s="137"/>
    </row>
    <row r="32" spans="1:6" ht="27.9" customHeight="1">
      <c r="A32" s="136" t="s">
        <v>163</v>
      </c>
      <c r="B32" s="641" t="str">
        <f>'Sch-6'!B32</f>
        <v/>
      </c>
      <c r="C32" s="135" t="s">
        <v>146</v>
      </c>
      <c r="D32" s="701" t="str">
        <f>'Sch-6'!D32</f>
        <v/>
      </c>
      <c r="F32" s="138"/>
    </row>
    <row r="33" spans="1:6" ht="27.9"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F8A50AE1-259E-429D-A506-38EB64D134EF}"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6640625" defaultRowHeight="14.4"/>
  <cols>
    <col min="1" max="1" width="6.5546875" style="298" customWidth="1"/>
    <col min="2" max="2" width="11.44140625" style="298" customWidth="1"/>
    <col min="3" max="3" width="15" style="298" customWidth="1"/>
    <col min="4" max="4" width="10.33203125" style="298" customWidth="1"/>
    <col min="5" max="8" width="15.109375" style="298" customWidth="1"/>
    <col min="9" max="9" width="22.88671875" style="403" customWidth="1"/>
    <col min="10" max="10" width="8.6640625" style="268" customWidth="1"/>
    <col min="11" max="11" width="10.33203125" style="268" customWidth="1"/>
    <col min="12" max="12" width="13.5546875" style="268" customWidth="1"/>
    <col min="13" max="13" width="14.33203125" style="268" customWidth="1"/>
    <col min="14" max="26" width="9.109375" style="303" customWidth="1"/>
    <col min="27" max="27" width="0" style="303" hidden="1" customWidth="1"/>
    <col min="28" max="28" width="15.88671875" style="303" hidden="1" customWidth="1"/>
    <col min="29" max="29" width="15.5546875" style="303" hidden="1" customWidth="1"/>
    <col min="30" max="30" width="24.44140625" style="303" hidden="1" customWidth="1"/>
    <col min="31" max="31" width="13.6640625" style="303" hidden="1" customWidth="1"/>
    <col min="32" max="33" width="0" style="303" hidden="1" customWidth="1"/>
    <col min="34" max="100" width="9.109375" style="303" customWidth="1"/>
    <col min="101" max="253" width="9.109375" style="265" customWidth="1"/>
    <col min="254" max="254" width="13" style="265" customWidth="1"/>
    <col min="255" max="255" width="35.88671875" style="265" customWidth="1"/>
    <col min="256" max="16384" width="8.6640625" style="265"/>
  </cols>
  <sheetData>
    <row r="1" spans="1:100" s="303" customFormat="1" ht="18" customHeight="1">
      <c r="A1" s="299" t="str">
        <f>Cover!B3</f>
        <v>Spec. No: CC/NT/W-RT/DOM/A00/22/00726</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91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910"/>
      <c r="C3" s="910"/>
      <c r="D3" s="910"/>
      <c r="E3" s="910"/>
      <c r="F3" s="910"/>
      <c r="G3" s="910"/>
      <c r="H3" s="910"/>
      <c r="I3" s="910"/>
      <c r="J3" s="910"/>
      <c r="K3" s="910"/>
      <c r="L3" s="910"/>
      <c r="M3" s="910"/>
      <c r="AA3" s="303" t="s">
        <v>18</v>
      </c>
      <c r="AC3" s="303">
        <f>IF(ISERROR(#REF!/('[6]Sch-6'!D14+'[6]Sch-6'!D16+'[6]Sch-6'!D18)),0,#REF!/( '[6]Sch-6'!D14+'[6]Sch-6'!D16+'[6]Sch-6'!D18))</f>
        <v>0</v>
      </c>
    </row>
    <row r="4" spans="1:100" s="303" customFormat="1" ht="21.9" customHeight="1">
      <c r="A4" s="911" t="s">
        <v>19</v>
      </c>
      <c r="B4" s="911"/>
      <c r="C4" s="911"/>
      <c r="D4" s="911"/>
      <c r="E4" s="911"/>
      <c r="F4" s="911"/>
      <c r="G4" s="911"/>
      <c r="H4" s="911"/>
      <c r="I4" s="911"/>
      <c r="J4" s="911"/>
      <c r="K4" s="911"/>
      <c r="L4" s="911"/>
      <c r="M4" s="911"/>
      <c r="AA4" s="303" t="s">
        <v>20</v>
      </c>
      <c r="AC4" s="303" t="e">
        <f>#REF!</f>
        <v>#REF!</v>
      </c>
    </row>
    <row r="5" spans="1:100" s="303" customFormat="1" ht="27.9" customHeight="1">
      <c r="A5" s="308"/>
      <c r="B5" s="308"/>
      <c r="C5" s="308"/>
      <c r="D5" s="308"/>
      <c r="E5" s="463"/>
      <c r="F5" s="463"/>
      <c r="G5" s="463"/>
      <c r="H5" s="463"/>
      <c r="I5" s="396"/>
      <c r="K5" s="307"/>
      <c r="L5" s="306"/>
      <c r="M5" s="463"/>
    </row>
    <row r="6" spans="1:100" s="303" customFormat="1" ht="27.9" customHeight="1">
      <c r="A6" s="581"/>
      <c r="B6" s="810" t="s">
        <v>349</v>
      </c>
      <c r="C6" s="810"/>
      <c r="D6" s="4"/>
      <c r="E6" s="463"/>
      <c r="F6" s="463"/>
      <c r="G6" s="463"/>
      <c r="H6" s="463"/>
      <c r="I6" s="396"/>
      <c r="K6" s="307"/>
      <c r="L6" s="306"/>
      <c r="M6" s="463"/>
    </row>
    <row r="7" spans="1:100" s="303" customFormat="1" ht="27.9" customHeight="1">
      <c r="A7" s="577"/>
      <c r="B7" s="815" t="str">
        <f>'Sch-1'!A7</f>
        <v/>
      </c>
      <c r="C7" s="815"/>
      <c r="D7" s="815"/>
      <c r="E7" s="815"/>
      <c r="F7" s="815"/>
      <c r="G7" s="815"/>
      <c r="H7" s="815"/>
      <c r="I7" s="396"/>
      <c r="K7" s="307"/>
      <c r="L7" s="306"/>
      <c r="M7" s="463"/>
    </row>
    <row r="8" spans="1:100" s="518" customFormat="1" ht="16.5" customHeight="1">
      <c r="A8" s="580"/>
      <c r="B8" s="811" t="str">
        <f>'Sch-1'!A8</f>
        <v>Bidder’s Name and Address  (Sole Bidder) :</v>
      </c>
      <c r="C8" s="811"/>
      <c r="D8" s="811"/>
      <c r="E8" s="811"/>
      <c r="F8" s="811"/>
      <c r="G8" s="811"/>
      <c r="H8" s="811"/>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18" customFormat="1" ht="15.6">
      <c r="A9" s="459"/>
      <c r="B9" s="459" t="s">
        <v>12</v>
      </c>
      <c r="C9" s="814" t="str">
        <f>'Sch-1'!C9</f>
        <v/>
      </c>
      <c r="D9" s="814"/>
      <c r="E9" s="814"/>
      <c r="F9" s="814"/>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18" customFormat="1" ht="15.6">
      <c r="A10" s="459"/>
      <c r="B10" s="459" t="s">
        <v>11</v>
      </c>
      <c r="C10" s="813" t="str">
        <f>'Sch-1'!C10</f>
        <v/>
      </c>
      <c r="D10" s="813"/>
      <c r="E10" s="813"/>
      <c r="F10" s="813"/>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18" customFormat="1" ht="15.6">
      <c r="A11" s="408"/>
      <c r="B11" s="408"/>
      <c r="C11" s="813" t="str">
        <f>'Sch-1'!C11</f>
        <v/>
      </c>
      <c r="D11" s="813"/>
      <c r="E11" s="813"/>
      <c r="F11" s="813"/>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18" customFormat="1" ht="15.6">
      <c r="A12" s="408"/>
      <c r="B12" s="408"/>
      <c r="C12" s="813" t="str">
        <f>'Sch-1'!C12</f>
        <v/>
      </c>
      <c r="D12" s="813"/>
      <c r="E12" s="813"/>
      <c r="F12" s="813"/>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3"/>
      <c r="K13" s="95" t="s">
        <v>6</v>
      </c>
      <c r="L13" s="302"/>
      <c r="M13" s="302"/>
    </row>
    <row r="14" spans="1:100" s="303" customFormat="1" ht="27.9" customHeight="1">
      <c r="A14" s="901" t="s">
        <v>33</v>
      </c>
      <c r="B14" s="901"/>
      <c r="C14" s="901"/>
      <c r="D14" s="901"/>
      <c r="E14" s="901"/>
      <c r="F14" s="901"/>
      <c r="G14" s="901"/>
      <c r="H14" s="901"/>
      <c r="I14" s="901"/>
      <c r="J14" s="901"/>
      <c r="K14" s="901"/>
      <c r="L14" s="901"/>
      <c r="M14" s="901"/>
    </row>
    <row r="15" spans="1:100" s="303" customFormat="1" ht="115.5" customHeight="1">
      <c r="A15" s="515" t="s">
        <v>34</v>
      </c>
      <c r="B15" s="390" t="s">
        <v>266</v>
      </c>
      <c r="C15" s="390" t="s">
        <v>267</v>
      </c>
      <c r="D15" s="515" t="s">
        <v>40</v>
      </c>
      <c r="E15" s="519" t="s">
        <v>330</v>
      </c>
      <c r="F15" s="520" t="s">
        <v>331</v>
      </c>
      <c r="G15" s="520" t="s">
        <v>309</v>
      </c>
      <c r="H15" s="520" t="s">
        <v>319</v>
      </c>
      <c r="I15" s="516" t="s">
        <v>35</v>
      </c>
      <c r="J15" s="516" t="s">
        <v>9</v>
      </c>
      <c r="K15" s="516" t="s">
        <v>16</v>
      </c>
      <c r="L15" s="516" t="s">
        <v>36</v>
      </c>
      <c r="M15" s="517" t="s">
        <v>37</v>
      </c>
      <c r="AB15" s="303" t="s">
        <v>38</v>
      </c>
      <c r="AD15" s="303" t="s">
        <v>22</v>
      </c>
      <c r="AE15" s="303" t="s">
        <v>39</v>
      </c>
    </row>
    <row r="16" spans="1:100">
      <c r="A16" s="522"/>
      <c r="B16" s="522"/>
      <c r="C16" s="522"/>
      <c r="D16" s="522"/>
      <c r="E16" s="522"/>
      <c r="F16" s="522"/>
      <c r="G16" s="522"/>
      <c r="H16" s="522"/>
      <c r="I16" s="523"/>
      <c r="J16" s="524"/>
      <c r="K16" s="524"/>
      <c r="L16" s="524"/>
      <c r="M16" s="524"/>
    </row>
    <row r="17" spans="1:100" s="416" customFormat="1" ht="23.25" customHeight="1">
      <c r="A17" s="465"/>
      <c r="B17" s="465"/>
      <c r="C17" s="465"/>
      <c r="D17" s="465"/>
      <c r="F17" s="465"/>
      <c r="G17" s="525" t="s">
        <v>338</v>
      </c>
      <c r="H17" s="465"/>
      <c r="I17" s="465"/>
      <c r="J17" s="465"/>
      <c r="K17" s="465"/>
      <c r="L17" s="465"/>
      <c r="M17" s="465"/>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02"/>
      <c r="B18" s="902"/>
      <c r="C18" s="902"/>
      <c r="D18" s="902"/>
      <c r="E18" s="902"/>
      <c r="F18" s="902"/>
      <c r="G18" s="902"/>
      <c r="H18" s="902"/>
      <c r="I18" s="902"/>
      <c r="J18" s="526"/>
      <c r="K18" s="526"/>
      <c r="L18" s="526"/>
      <c r="M18" s="526"/>
    </row>
    <row r="19" spans="1:100" ht="26.25" customHeight="1">
      <c r="B19" s="372"/>
      <c r="C19" s="373"/>
      <c r="D19" s="373"/>
      <c r="E19" s="373"/>
      <c r="F19" s="373"/>
      <c r="G19" s="373"/>
      <c r="H19" s="373"/>
      <c r="I19" s="373"/>
      <c r="J19" s="373"/>
      <c r="K19" s="373"/>
      <c r="L19" s="374"/>
      <c r="M19" s="521"/>
    </row>
    <row r="20" spans="1:100">
      <c r="B20" s="373"/>
      <c r="C20" s="373"/>
      <c r="D20" s="373"/>
      <c r="E20" s="373"/>
      <c r="F20" s="373"/>
      <c r="G20" s="373"/>
      <c r="H20" s="373"/>
      <c r="I20" s="373"/>
      <c r="J20" s="373"/>
      <c r="K20" s="373"/>
      <c r="L20" s="375"/>
      <c r="M20" s="521"/>
    </row>
    <row r="21" spans="1:100" s="472" customFormat="1">
      <c r="B21" s="472" t="s">
        <v>316</v>
      </c>
      <c r="C21" s="903" t="str">
        <f>'Sch-6 (After Discount)'!B31</f>
        <v xml:space="preserve">  </v>
      </c>
      <c r="D21" s="904"/>
      <c r="H21" s="907" t="s">
        <v>318</v>
      </c>
      <c r="I21" s="907"/>
      <c r="J21" s="912" t="str">
        <f>'Sch-6 (After Discount)'!D31</f>
        <v/>
      </c>
      <c r="K21" s="912"/>
      <c r="L21" s="912"/>
      <c r="M21" s="912"/>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2" customFormat="1" ht="16.5" customHeight="1">
      <c r="B22" s="472" t="s">
        <v>317</v>
      </c>
      <c r="C22" s="913" t="str">
        <f>'Sch-6'!B32</f>
        <v/>
      </c>
      <c r="D22" s="904"/>
      <c r="H22" s="907" t="s">
        <v>125</v>
      </c>
      <c r="I22" s="907"/>
      <c r="J22" s="912" t="str">
        <f>'Sch-6 (After Discount)'!D32</f>
        <v/>
      </c>
      <c r="K22" s="912"/>
      <c r="L22" s="912"/>
      <c r="M22" s="91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05"/>
      <c r="C23" s="905"/>
      <c r="D23" s="905"/>
      <c r="E23" s="905"/>
      <c r="F23" s="905"/>
      <c r="G23" s="905"/>
      <c r="H23" s="905"/>
      <c r="I23" s="905"/>
      <c r="J23" s="905"/>
      <c r="K23" s="905"/>
      <c r="L23" s="905"/>
      <c r="M23" s="521"/>
    </row>
    <row r="24" spans="1:100">
      <c r="B24" s="376"/>
      <c r="C24" s="376"/>
      <c r="D24" s="906"/>
      <c r="E24" s="906"/>
      <c r="F24" s="906"/>
      <c r="G24" s="906"/>
      <c r="H24" s="906"/>
      <c r="I24" s="906"/>
      <c r="J24" s="906"/>
      <c r="K24" s="906"/>
      <c r="L24" s="906"/>
      <c r="M24" s="521"/>
    </row>
    <row r="25" spans="1:100">
      <c r="B25" s="377"/>
      <c r="C25" s="378"/>
      <c r="D25" s="906"/>
      <c r="E25" s="906"/>
      <c r="F25" s="906"/>
      <c r="G25" s="906"/>
      <c r="H25" s="906"/>
      <c r="I25" s="906"/>
      <c r="J25" s="906"/>
      <c r="K25" s="906"/>
      <c r="L25" s="906"/>
      <c r="M25" s="521"/>
    </row>
    <row r="26" spans="1:100">
      <c r="B26" s="377"/>
      <c r="C26" s="379"/>
      <c r="D26" s="906"/>
      <c r="E26" s="906"/>
      <c r="F26" s="906"/>
      <c r="G26" s="906"/>
      <c r="H26" s="906"/>
      <c r="I26" s="906"/>
      <c r="J26" s="906"/>
      <c r="K26" s="906"/>
      <c r="L26" s="906"/>
      <c r="M26" s="521"/>
    </row>
    <row r="27" spans="1:100">
      <c r="B27" s="23"/>
      <c r="C27" s="22"/>
      <c r="D27" s="906"/>
      <c r="E27" s="906"/>
      <c r="F27" s="906"/>
      <c r="G27" s="906"/>
      <c r="H27" s="906"/>
      <c r="I27" s="906"/>
      <c r="J27" s="906"/>
      <c r="K27" s="906"/>
      <c r="L27" s="906"/>
      <c r="M27" s="521"/>
    </row>
    <row r="28" spans="1:100">
      <c r="B28" s="23"/>
      <c r="C28" s="22"/>
      <c r="D28" s="380"/>
      <c r="E28" s="380"/>
      <c r="F28" s="380"/>
      <c r="G28" s="380"/>
      <c r="H28" s="380"/>
      <c r="I28" s="380"/>
      <c r="J28" s="380"/>
      <c r="K28" s="380"/>
      <c r="L28" s="380"/>
      <c r="M28" s="521"/>
    </row>
    <row r="29" spans="1:100">
      <c r="B29" s="381"/>
      <c r="C29" s="908"/>
      <c r="D29" s="908"/>
      <c r="E29" s="908"/>
      <c r="F29" s="908"/>
      <c r="G29" s="908"/>
      <c r="H29" s="908"/>
      <c r="I29" s="908"/>
      <c r="J29" s="908"/>
      <c r="K29" s="908"/>
      <c r="L29" s="382"/>
      <c r="M29" s="521"/>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CC/NT/W-RT/DOM/A00/22/00726</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09" t="str">
        <f>A3</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64" s="909"/>
      <c r="C64" s="909"/>
      <c r="D64" s="909"/>
      <c r="E64" s="909"/>
      <c r="F64" s="909"/>
      <c r="G64" s="909"/>
      <c r="H64" s="909"/>
      <c r="I64" s="909">
        <f>I3</f>
        <v>0</v>
      </c>
      <c r="J64" s="909">
        <f>J3</f>
        <v>0</v>
      </c>
      <c r="K64" s="909"/>
      <c r="L64" s="909"/>
      <c r="M64" s="909"/>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0" t="str">
        <f>A4</f>
        <v>(SCHEDULE OF RATES AND PRICES )</v>
      </c>
      <c r="B65" s="900"/>
      <c r="C65" s="900"/>
      <c r="D65" s="900"/>
      <c r="E65" s="900"/>
      <c r="F65" s="900"/>
      <c r="G65" s="900"/>
      <c r="H65" s="900"/>
      <c r="I65" s="900">
        <f>I4</f>
        <v>0</v>
      </c>
      <c r="J65" s="900">
        <f>J4</f>
        <v>0</v>
      </c>
      <c r="K65" s="900"/>
      <c r="L65" s="900"/>
      <c r="M65" s="900"/>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2"/>
      <c r="J66" s="464"/>
      <c r="K66" s="464"/>
      <c r="L66" s="464"/>
      <c r="M66" s="464"/>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897" t="e">
        <f>#REF!</f>
        <v>#REF!</v>
      </c>
      <c r="B68" s="897"/>
      <c r="C68" s="897"/>
      <c r="D68" s="897"/>
      <c r="E68" s="897"/>
      <c r="F68" s="897"/>
      <c r="G68" s="897"/>
      <c r="H68" s="897"/>
      <c r="I68" s="897" t="e">
        <f>#REF!</f>
        <v>#REF!</v>
      </c>
      <c r="J68" s="897" t="e">
        <f>#REF!</f>
        <v>#REF!</v>
      </c>
      <c r="K68" s="460"/>
      <c r="L68" s="460"/>
      <c r="M68" s="460"/>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896" t="e">
        <f>#REF!</f>
        <v>#REF!</v>
      </c>
      <c r="J69" s="896" t="e">
        <f>#REF!</f>
        <v>#REF!</v>
      </c>
      <c r="K69" s="461"/>
      <c r="L69" s="461"/>
      <c r="M69" s="461"/>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896" t="e">
        <f>#REF!</f>
        <v>#REF!</v>
      </c>
      <c r="J70" s="896" t="e">
        <f>#REF!</f>
        <v>#REF!</v>
      </c>
      <c r="K70" s="461"/>
      <c r="L70" s="461"/>
      <c r="M70" s="461"/>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896" t="e">
        <f>#REF!</f>
        <v>#REF!</v>
      </c>
      <c r="J71" s="896" t="e">
        <f>#REF!</f>
        <v>#REF!</v>
      </c>
      <c r="K71" s="461"/>
      <c r="L71" s="461"/>
      <c r="M71" s="461"/>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896">
        <f>C5</f>
        <v>0</v>
      </c>
      <c r="J72" s="896">
        <f>D5</f>
        <v>0</v>
      </c>
      <c r="K72" s="461"/>
      <c r="L72" s="461"/>
      <c r="M72" s="461"/>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898" t="e">
        <f>#REF!</f>
        <v>#REF!</v>
      </c>
      <c r="K74" s="898"/>
      <c r="L74" s="898"/>
      <c r="M74" s="898"/>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4" t="e">
        <f>#REF!</f>
        <v>#REF!</v>
      </c>
      <c r="B75" s="464"/>
      <c r="C75" s="464"/>
      <c r="D75" s="464"/>
      <c r="E75" s="464"/>
      <c r="F75" s="464"/>
      <c r="G75" s="464"/>
      <c r="H75" s="464"/>
      <c r="I75" s="462" t="e">
        <f>#REF!</f>
        <v>#REF!</v>
      </c>
      <c r="J75" s="899" t="e">
        <f>#REF!</f>
        <v>#REF!</v>
      </c>
      <c r="K75" s="899"/>
      <c r="L75" s="899"/>
      <c r="M75" s="899"/>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899"/>
      <c r="K76" s="899"/>
      <c r="L76" s="899"/>
      <c r="M76" s="899"/>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894" t="e">
        <f>#REF!</f>
        <v>#REF!</v>
      </c>
      <c r="K77" s="894"/>
      <c r="L77" s="894"/>
      <c r="M77" s="894"/>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894" t="e">
        <f>#REF!</f>
        <v>#REF!</v>
      </c>
      <c r="K78" s="894"/>
      <c r="L78" s="894"/>
      <c r="M78" s="894"/>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894" t="e">
        <f>#REF!</f>
        <v>#REF!</v>
      </c>
      <c r="K79" s="894"/>
      <c r="L79" s="894"/>
      <c r="M79" s="894"/>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894"/>
      <c r="K80" s="894"/>
      <c r="L80" s="894"/>
      <c r="M80" s="894"/>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894"/>
      <c r="K81" s="894"/>
      <c r="L81" s="894"/>
      <c r="M81" s="894"/>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894"/>
      <c r="K82" s="894"/>
      <c r="L82" s="894"/>
      <c r="M82" s="894"/>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894" t="e">
        <f>#REF!</f>
        <v>#REF!</v>
      </c>
      <c r="K83" s="894"/>
      <c r="L83" s="894"/>
      <c r="M83" s="894"/>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894" t="e">
        <f>#REF!</f>
        <v>#REF!</v>
      </c>
      <c r="K84" s="894"/>
      <c r="L84" s="894"/>
      <c r="M84" s="894"/>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894" t="e">
        <f>#REF!</f>
        <v>#REF!</v>
      </c>
      <c r="K85" s="894"/>
      <c r="L85" s="894"/>
      <c r="M85" s="894"/>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894" t="e">
        <f>#REF!</f>
        <v>#REF!</v>
      </c>
      <c r="K86" s="894"/>
      <c r="L86" s="894"/>
      <c r="M86" s="894"/>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894" t="e">
        <f>#REF!</f>
        <v>#REF!</v>
      </c>
      <c r="K87" s="894"/>
      <c r="L87" s="894"/>
      <c r="M87" s="894"/>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894"/>
      <c r="K88" s="894"/>
      <c r="L88" s="894"/>
      <c r="M88" s="894"/>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894" t="e">
        <f>#REF!</f>
        <v>#REF!</v>
      </c>
      <c r="K89" s="894"/>
      <c r="L89" s="894"/>
      <c r="M89" s="894"/>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894" t="e">
        <f>#REF!</f>
        <v>#REF!</v>
      </c>
      <c r="K90" s="894"/>
      <c r="L90" s="894"/>
      <c r="M90" s="894"/>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894" t="e">
        <f>#REF!</f>
        <v>#REF!</v>
      </c>
      <c r="K91" s="894"/>
      <c r="L91" s="894"/>
      <c r="M91" s="894"/>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894" t="e">
        <f>#REF!</f>
        <v>#REF!</v>
      </c>
      <c r="K92" s="894"/>
      <c r="L92" s="894"/>
      <c r="M92" s="894"/>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894" t="e">
        <f>#REF!</f>
        <v>#REF!</v>
      </c>
      <c r="K93" s="894"/>
      <c r="L93" s="894"/>
      <c r="M93" s="894"/>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894"/>
      <c r="K94" s="894"/>
      <c r="L94" s="894"/>
      <c r="M94" s="894"/>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894" t="e">
        <f>#REF!</f>
        <v>#REF!</v>
      </c>
      <c r="K95" s="894"/>
      <c r="L95" s="894"/>
      <c r="M95" s="894"/>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894" t="e">
        <f>#REF!</f>
        <v>#REF!</v>
      </c>
      <c r="K96" s="894"/>
      <c r="L96" s="894"/>
      <c r="M96" s="894"/>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894" t="e">
        <f>#REF!</f>
        <v>#REF!</v>
      </c>
      <c r="K97" s="894"/>
      <c r="L97" s="894"/>
      <c r="M97" s="894"/>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894" t="e">
        <f>#REF!</f>
        <v>#REF!</v>
      </c>
      <c r="K98" s="894"/>
      <c r="L98" s="894"/>
      <c r="M98" s="894"/>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894"/>
      <c r="K99" s="894"/>
      <c r="L99" s="894"/>
      <c r="M99" s="894"/>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894" t="e">
        <f>#REF!</f>
        <v>#REF!</v>
      </c>
      <c r="K100" s="894"/>
      <c r="L100" s="894"/>
      <c r="M100" s="894"/>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894" t="e">
        <f>#REF!</f>
        <v>#REF!</v>
      </c>
      <c r="K101" s="894"/>
      <c r="L101" s="894"/>
      <c r="M101" s="894"/>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894" t="e">
        <f>#REF!</f>
        <v>#REF!</v>
      </c>
      <c r="K102" s="894"/>
      <c r="L102" s="894"/>
      <c r="M102" s="894"/>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894" t="e">
        <f>#REF!</f>
        <v>#REF!</v>
      </c>
      <c r="K103" s="894"/>
      <c r="L103" s="894"/>
      <c r="M103" s="894"/>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894"/>
      <c r="K104" s="894"/>
      <c r="L104" s="894"/>
      <c r="M104" s="894"/>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894" t="e">
        <f>#REF!</f>
        <v>#REF!</v>
      </c>
      <c r="K105" s="894"/>
      <c r="L105" s="894"/>
      <c r="M105" s="894"/>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894" t="e">
        <f>#REF!</f>
        <v>#REF!</v>
      </c>
      <c r="K106" s="894"/>
      <c r="L106" s="894"/>
      <c r="M106" s="894"/>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894" t="e">
        <f>#REF!</f>
        <v>#REF!</v>
      </c>
      <c r="K107" s="894"/>
      <c r="L107" s="894"/>
      <c r="M107" s="894"/>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894" t="e">
        <f>#REF!</f>
        <v>#REF!</v>
      </c>
      <c r="K108" s="894"/>
      <c r="L108" s="894"/>
      <c r="M108" s="894"/>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894" t="e">
        <f>#REF!</f>
        <v>#REF!</v>
      </c>
      <c r="K109" s="894"/>
      <c r="L109" s="894"/>
      <c r="M109" s="894"/>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894" t="e">
        <f>#REF!</f>
        <v>#REF!</v>
      </c>
      <c r="K110" s="894"/>
      <c r="L110" s="894"/>
      <c r="M110" s="894"/>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894"/>
      <c r="K111" s="894"/>
      <c r="L111" s="894"/>
      <c r="M111" s="894"/>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894"/>
      <c r="K112" s="894"/>
      <c r="L112" s="894"/>
      <c r="M112" s="894"/>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894"/>
      <c r="K113" s="894"/>
      <c r="L113" s="894"/>
      <c r="M113" s="894"/>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894" t="e">
        <f>#REF!</f>
        <v>#REF!</v>
      </c>
      <c r="K114" s="894"/>
      <c r="L114" s="894"/>
      <c r="M114" s="894"/>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894" t="e">
        <f>#REF!</f>
        <v>#REF!</v>
      </c>
      <c r="K115" s="894"/>
      <c r="L115" s="894"/>
      <c r="M115" s="894"/>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894" t="e">
        <f>#REF!</f>
        <v>#REF!</v>
      </c>
      <c r="K116" s="894"/>
      <c r="L116" s="894"/>
      <c r="M116" s="894"/>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894" t="e">
        <f>#REF!</f>
        <v>#REF!</v>
      </c>
      <c r="K117" s="894"/>
      <c r="L117" s="894"/>
      <c r="M117" s="894"/>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894" t="e">
        <f>#REF!</f>
        <v>#REF!</v>
      </c>
      <c r="K118" s="894"/>
      <c r="L118" s="894"/>
      <c r="M118" s="894"/>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894"/>
      <c r="K119" s="894"/>
      <c r="L119" s="894"/>
      <c r="M119" s="894"/>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894"/>
      <c r="K120" s="894"/>
      <c r="L120" s="894"/>
      <c r="M120" s="894"/>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894" t="e">
        <f>#REF!</f>
        <v>#REF!</v>
      </c>
      <c r="K121" s="894"/>
      <c r="L121" s="894"/>
      <c r="M121" s="894"/>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894" t="e">
        <f>#REF!</f>
        <v>#REF!</v>
      </c>
      <c r="K122" s="894"/>
      <c r="L122" s="894"/>
      <c r="M122" s="894"/>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894" t="e">
        <f>#REF!</f>
        <v>#REF!</v>
      </c>
      <c r="K123" s="894"/>
      <c r="L123" s="894"/>
      <c r="M123" s="894"/>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894" t="e">
        <f>#REF!</f>
        <v>#REF!</v>
      </c>
      <c r="K124" s="894"/>
      <c r="L124" s="894"/>
      <c r="M124" s="894"/>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894" t="e">
        <f>#REF!</f>
        <v>#REF!</v>
      </c>
      <c r="K125" s="894"/>
      <c r="L125" s="894"/>
      <c r="M125" s="894"/>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894" t="e">
        <f>#REF!</f>
        <v>#REF!</v>
      </c>
      <c r="K126" s="894"/>
      <c r="L126" s="894"/>
      <c r="M126" s="894"/>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894"/>
      <c r="K127" s="894"/>
      <c r="L127" s="894"/>
      <c r="M127" s="894"/>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894" t="e">
        <f>#REF!</f>
        <v>#REF!</v>
      </c>
      <c r="K128" s="894"/>
      <c r="L128" s="894"/>
      <c r="M128" s="894"/>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894" t="e">
        <f>#REF!</f>
        <v>#REF!</v>
      </c>
      <c r="K129" s="894"/>
      <c r="L129" s="894"/>
      <c r="M129" s="894"/>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894" t="e">
        <f>#REF!</f>
        <v>#REF!</v>
      </c>
      <c r="K130" s="894"/>
      <c r="L130" s="894"/>
      <c r="M130" s="894"/>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894" t="e">
        <f>#REF!</f>
        <v>#REF!</v>
      </c>
      <c r="K131" s="894"/>
      <c r="L131" s="894"/>
      <c r="M131" s="894"/>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894" t="e">
        <f>#REF!</f>
        <v>#REF!</v>
      </c>
      <c r="K132" s="894"/>
      <c r="L132" s="894"/>
      <c r="M132" s="894"/>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894" t="e">
        <f>#REF!</f>
        <v>#REF!</v>
      </c>
      <c r="K133" s="894"/>
      <c r="L133" s="894"/>
      <c r="M133" s="894"/>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894" t="e">
        <f>#REF!</f>
        <v>#REF!</v>
      </c>
      <c r="K134" s="894"/>
      <c r="L134" s="894"/>
      <c r="M134" s="894"/>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894"/>
      <c r="K135" s="894"/>
      <c r="L135" s="894"/>
      <c r="M135" s="894"/>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894" t="e">
        <f>#REF!</f>
        <v>#REF!</v>
      </c>
      <c r="K136" s="894"/>
      <c r="L136" s="894"/>
      <c r="M136" s="894"/>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894" t="e">
        <f>#REF!</f>
        <v>#REF!</v>
      </c>
      <c r="K137" s="894"/>
      <c r="L137" s="894"/>
      <c r="M137" s="894"/>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894" t="e">
        <f>#REF!</f>
        <v>#REF!</v>
      </c>
      <c r="K138" s="894"/>
      <c r="L138" s="894"/>
      <c r="M138" s="894"/>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894" t="e">
        <f>#REF!</f>
        <v>#REF!</v>
      </c>
      <c r="K139" s="894"/>
      <c r="L139" s="894"/>
      <c r="M139" s="894"/>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894" t="e">
        <f>#REF!</f>
        <v>#REF!</v>
      </c>
      <c r="K140" s="894"/>
      <c r="L140" s="894"/>
      <c r="M140" s="894"/>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894" t="e">
        <f>#REF!</f>
        <v>#REF!</v>
      </c>
      <c r="K141" s="894"/>
      <c r="L141" s="894"/>
      <c r="M141" s="894"/>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894" t="e">
        <f>#REF!</f>
        <v>#REF!</v>
      </c>
      <c r="K142" s="894"/>
      <c r="L142" s="894"/>
      <c r="M142" s="894"/>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894" t="e">
        <f>#REF!</f>
        <v>#REF!</v>
      </c>
      <c r="K143" s="894"/>
      <c r="L143" s="894"/>
      <c r="M143" s="894"/>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894" t="e">
        <f>#REF!</f>
        <v>#REF!</v>
      </c>
      <c r="K144" s="894"/>
      <c r="L144" s="894"/>
      <c r="M144" s="894"/>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894" t="e">
        <f>#REF!</f>
        <v>#REF!</v>
      </c>
      <c r="K145" s="894"/>
      <c r="L145" s="894"/>
      <c r="M145" s="894"/>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894"/>
      <c r="K146" s="894"/>
      <c r="L146" s="894"/>
      <c r="M146" s="894"/>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894" t="e">
        <f>#REF!</f>
        <v>#REF!</v>
      </c>
      <c r="K147" s="894"/>
      <c r="L147" s="894"/>
      <c r="M147" s="894"/>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894" t="e">
        <f>#REF!</f>
        <v>#REF!</v>
      </c>
      <c r="K148" s="894"/>
      <c r="L148" s="894"/>
      <c r="M148" s="894"/>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894" t="e">
        <f>#REF!</f>
        <v>#REF!</v>
      </c>
      <c r="K149" s="894"/>
      <c r="L149" s="894"/>
      <c r="M149" s="894"/>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894" t="e">
        <f>#REF!</f>
        <v>#REF!</v>
      </c>
      <c r="K150" s="894"/>
      <c r="L150" s="894"/>
      <c r="M150" s="894"/>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894"/>
      <c r="K151" s="894"/>
      <c r="L151" s="894"/>
      <c r="M151" s="894"/>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894" t="e">
        <f>#REF!</f>
        <v>#REF!</v>
      </c>
      <c r="K152" s="894"/>
      <c r="L152" s="894"/>
      <c r="M152" s="894"/>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894" t="e">
        <f>#REF!</f>
        <v>#REF!</v>
      </c>
      <c r="K153" s="894"/>
      <c r="L153" s="894"/>
      <c r="M153" s="894"/>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894" t="e">
        <f>#REF!</f>
        <v>#REF!</v>
      </c>
      <c r="K154" s="894"/>
      <c r="L154" s="894"/>
      <c r="M154" s="894"/>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894" t="e">
        <f>#REF!</f>
        <v>#REF!</v>
      </c>
      <c r="K155" s="894"/>
      <c r="L155" s="894"/>
      <c r="M155" s="894"/>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894"/>
      <c r="K156" s="894"/>
      <c r="L156" s="894"/>
      <c r="M156" s="894"/>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894" t="e">
        <f>#REF!</f>
        <v>#REF!</v>
      </c>
      <c r="K157" s="894"/>
      <c r="L157" s="894"/>
      <c r="M157" s="894"/>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894" t="e">
        <f>#REF!</f>
        <v>#REF!</v>
      </c>
      <c r="K158" s="894"/>
      <c r="L158" s="894"/>
      <c r="M158" s="894"/>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894" t="e">
        <f>#REF!</f>
        <v>#REF!</v>
      </c>
      <c r="K159" s="894"/>
      <c r="L159" s="894"/>
      <c r="M159" s="894"/>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894"/>
      <c r="K160" s="894"/>
      <c r="L160" s="894"/>
      <c r="M160" s="894"/>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894" t="e">
        <f>#REF!</f>
        <v>#REF!</v>
      </c>
      <c r="K161" s="894"/>
      <c r="L161" s="894"/>
      <c r="M161" s="894"/>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894" t="e">
        <f>#REF!</f>
        <v>#REF!</v>
      </c>
      <c r="K162" s="894"/>
      <c r="L162" s="894"/>
      <c r="M162" s="894"/>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894" t="e">
        <f>#REF!</f>
        <v>#REF!</v>
      </c>
      <c r="K163" s="894"/>
      <c r="L163" s="894"/>
      <c r="M163" s="894"/>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894" t="e">
        <f>#REF!</f>
        <v>#REF!</v>
      </c>
      <c r="K164" s="894"/>
      <c r="L164" s="894"/>
      <c r="M164" s="894"/>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894" t="e">
        <f>#REF!</f>
        <v>#REF!</v>
      </c>
      <c r="K165" s="894"/>
      <c r="L165" s="894"/>
      <c r="M165" s="894"/>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894" t="e">
        <f>#REF!</f>
        <v>#REF!</v>
      </c>
      <c r="K166" s="894"/>
      <c r="L166" s="894"/>
      <c r="M166" s="894"/>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894" t="e">
        <f>#REF!</f>
        <v>#REF!</v>
      </c>
      <c r="K167" s="894"/>
      <c r="L167" s="894"/>
      <c r="M167" s="894"/>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894"/>
      <c r="K168" s="894"/>
      <c r="L168" s="894"/>
      <c r="M168" s="894"/>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894" t="e">
        <f>#REF!</f>
        <v>#REF!</v>
      </c>
      <c r="K169" s="894"/>
      <c r="L169" s="894"/>
      <c r="M169" s="894"/>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894" t="e">
        <f>#REF!</f>
        <v>#REF!</v>
      </c>
      <c r="K170" s="894"/>
      <c r="L170" s="894"/>
      <c r="M170" s="894"/>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894" t="e">
        <f>#REF!</f>
        <v>#REF!</v>
      </c>
      <c r="K171" s="894"/>
      <c r="L171" s="894"/>
      <c r="M171" s="894"/>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894" t="e">
        <f>#REF!</f>
        <v>#REF!</v>
      </c>
      <c r="K172" s="894"/>
      <c r="L172" s="894"/>
      <c r="M172" s="894"/>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894"/>
      <c r="K173" s="894"/>
      <c r="L173" s="894"/>
      <c r="M173" s="894"/>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894" t="e">
        <f>#REF!</f>
        <v>#REF!</v>
      </c>
      <c r="K174" s="894"/>
      <c r="L174" s="894"/>
      <c r="M174" s="894"/>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894" t="e">
        <f>#REF!</f>
        <v>#REF!</v>
      </c>
      <c r="K175" s="894"/>
      <c r="L175" s="894"/>
      <c r="M175" s="894"/>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894" t="e">
        <f>#REF!</f>
        <v>#REF!</v>
      </c>
      <c r="K176" s="894"/>
      <c r="L176" s="894"/>
      <c r="M176" s="894"/>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894" t="e">
        <f>#REF!</f>
        <v>#REF!</v>
      </c>
      <c r="K177" s="894"/>
      <c r="L177" s="894"/>
      <c r="M177" s="894"/>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894" t="e">
        <f>#REF!</f>
        <v>#REF!</v>
      </c>
      <c r="K178" s="894"/>
      <c r="L178" s="894"/>
      <c r="M178" s="894"/>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894" t="e">
        <f>#REF!</f>
        <v>#REF!</v>
      </c>
      <c r="K179" s="894"/>
      <c r="L179" s="894"/>
      <c r="M179" s="894"/>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894" t="e">
        <f>#REF!</f>
        <v>#REF!</v>
      </c>
      <c r="K180" s="894"/>
      <c r="L180" s="894"/>
      <c r="M180" s="894"/>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895"/>
      <c r="K181" s="895"/>
      <c r="L181" s="895"/>
      <c r="M181" s="895"/>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F8A50AE1-259E-429D-A506-38EB64D134EF}" scale="70" showPageBreaks="1" printArea="1" hiddenRows="1" hiddenColumns="1" view="pageBreakPreview">
      <selection activeCell="A16" sqref="A16"/>
      <pageMargins left="0.7" right="0.7" top="0.75" bottom="0.75" header="0.3" footer="0.3"/>
      <pageSetup paperSize="9" scale="57" orientation="landscape" r:id="rId1"/>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2"/>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4"/>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5"/>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6"/>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7"/>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8"/>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9"/>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10"/>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11"/>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13"/>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14"/>
    </customSheetView>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5"/>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4" sqref="G24"/>
    </sheetView>
  </sheetViews>
  <sheetFormatPr defaultColWidth="9.109375" defaultRowHeight="14.4"/>
  <cols>
    <col min="1" max="2" width="5.6640625" style="164" customWidth="1"/>
    <col min="3" max="3" width="24.6640625" style="164" customWidth="1"/>
    <col min="4" max="4" width="15.33203125" style="164" customWidth="1"/>
    <col min="5" max="5" width="28.6640625" style="164" customWidth="1"/>
    <col min="6" max="6" width="14.6640625" style="164" customWidth="1"/>
    <col min="7" max="7" width="19.5546875" style="164" customWidth="1"/>
    <col min="8" max="8" width="23.6640625" style="151" hidden="1" customWidth="1"/>
    <col min="9" max="9" width="18" style="152" hidden="1" customWidth="1"/>
    <col min="10" max="10" width="16.88671875" style="153" hidden="1" customWidth="1"/>
    <col min="11" max="11" width="14.5546875" style="153" hidden="1" customWidth="1"/>
    <col min="12" max="12" width="18.5546875" style="153" hidden="1" customWidth="1"/>
    <col min="13" max="13" width="16.33203125" style="153" customWidth="1"/>
    <col min="14" max="14" width="39.6640625" style="153" customWidth="1"/>
    <col min="15" max="15" width="24.33203125" style="153" customWidth="1"/>
    <col min="16" max="17" width="16.33203125" style="153" customWidth="1"/>
    <col min="18" max="19" width="10.33203125" style="154" customWidth="1"/>
    <col min="20" max="20" width="9.109375" style="154" customWidth="1"/>
    <col min="21" max="21" width="9.109375" style="155" customWidth="1"/>
    <col min="22" max="23" width="9.109375" style="155"/>
    <col min="24" max="25" width="9.109375" style="156"/>
    <col min="26" max="16384" width="9.109375" style="157"/>
  </cols>
  <sheetData>
    <row r="1" spans="1:25" s="149" customFormat="1" ht="39.9" customHeight="1">
      <c r="A1" s="934" t="s">
        <v>165</v>
      </c>
      <c r="B1" s="934"/>
      <c r="C1" s="934"/>
      <c r="D1" s="934"/>
      <c r="E1" s="934"/>
      <c r="F1" s="934"/>
      <c r="G1" s="934"/>
      <c r="H1" s="144"/>
      <c r="I1" s="145"/>
      <c r="J1" s="146"/>
      <c r="K1" s="146"/>
      <c r="L1" s="146"/>
      <c r="M1" s="146"/>
      <c r="N1" s="146"/>
      <c r="O1" s="146"/>
      <c r="P1" s="146"/>
      <c r="Q1" s="146"/>
      <c r="R1" s="146"/>
      <c r="S1" s="146"/>
      <c r="T1" s="146"/>
      <c r="U1" s="147"/>
      <c r="V1" s="147"/>
      <c r="W1" s="147"/>
      <c r="X1" s="148"/>
      <c r="Y1" s="148"/>
    </row>
    <row r="2" spans="1:25" ht="18" customHeight="1">
      <c r="A2" s="113" t="str">
        <f>Cover!B3</f>
        <v>Spec. No: CC/NT/W-RT/DOM/A00/22/00726</v>
      </c>
      <c r="B2" s="113"/>
      <c r="C2" s="114"/>
      <c r="D2" s="150"/>
      <c r="E2" s="150"/>
      <c r="F2" s="150"/>
      <c r="G2" s="116" t="s">
        <v>166</v>
      </c>
    </row>
    <row r="3" spans="1:25" ht="12.75" customHeight="1">
      <c r="A3" s="117"/>
      <c r="B3" s="117"/>
      <c r="C3" s="118"/>
      <c r="D3" s="139"/>
      <c r="E3" s="139"/>
      <c r="F3" s="139"/>
      <c r="G3" s="119"/>
    </row>
    <row r="4" spans="1:25" ht="18.899999999999999" customHeight="1">
      <c r="A4" s="935" t="s">
        <v>167</v>
      </c>
      <c r="B4" s="935"/>
      <c r="C4" s="935"/>
      <c r="D4" s="935"/>
      <c r="E4" s="935"/>
      <c r="F4" s="935"/>
      <c r="G4" s="935"/>
    </row>
    <row r="5" spans="1:25" ht="21" customHeight="1">
      <c r="A5" s="158" t="s">
        <v>1</v>
      </c>
      <c r="B5" s="158"/>
      <c r="C5" s="159"/>
      <c r="D5" s="159"/>
      <c r="E5" s="159"/>
      <c r="F5" s="159"/>
      <c r="G5" s="159"/>
    </row>
    <row r="6" spans="1:25" ht="21" customHeight="1">
      <c r="A6" s="27" t="s">
        <v>2</v>
      </c>
      <c r="B6" s="27"/>
      <c r="C6" s="159"/>
      <c r="D6" s="159"/>
      <c r="E6" s="159"/>
      <c r="F6" s="159"/>
      <c r="G6" s="159"/>
      <c r="I6" s="601" t="s">
        <v>233</v>
      </c>
      <c r="J6" s="706">
        <f>'Sch-1'!N44</f>
        <v>0</v>
      </c>
      <c r="K6" s="600"/>
      <c r="L6" s="446"/>
    </row>
    <row r="7" spans="1:25" ht="21" customHeight="1">
      <c r="A7" s="27" t="s">
        <v>3</v>
      </c>
      <c r="B7" s="27"/>
      <c r="C7" s="159"/>
      <c r="D7" s="159"/>
      <c r="E7" s="159"/>
      <c r="F7" s="159"/>
      <c r="G7" s="159"/>
      <c r="I7" s="601" t="s">
        <v>235</v>
      </c>
      <c r="J7" s="706">
        <f>'Sch-2'!J44</f>
        <v>0</v>
      </c>
      <c r="K7" s="600"/>
    </row>
    <row r="8" spans="1:25" ht="21" customHeight="1">
      <c r="A8" s="27" t="s">
        <v>4</v>
      </c>
      <c r="B8" s="27"/>
      <c r="C8" s="159"/>
      <c r="D8" s="159"/>
      <c r="E8" s="159"/>
      <c r="F8" s="159"/>
      <c r="G8" s="159"/>
      <c r="I8" s="601" t="s">
        <v>236</v>
      </c>
      <c r="J8" s="706">
        <f>'Sch-3'!P28</f>
        <v>0</v>
      </c>
      <c r="K8" s="600"/>
    </row>
    <row r="9" spans="1:25" ht="21" customHeight="1">
      <c r="A9" s="27" t="s">
        <v>168</v>
      </c>
      <c r="B9" s="27"/>
      <c r="C9" s="159"/>
      <c r="D9" s="159"/>
      <c r="E9" s="159"/>
      <c r="F9" s="159"/>
      <c r="G9" s="159"/>
      <c r="I9" s="602" t="s">
        <v>196</v>
      </c>
      <c r="J9" s="707">
        <f>J6+J7+J8</f>
        <v>0</v>
      </c>
      <c r="K9" s="600"/>
    </row>
    <row r="10" spans="1:25" ht="21" customHeight="1">
      <c r="A10" s="27" t="s">
        <v>6</v>
      </c>
      <c r="B10" s="27"/>
      <c r="C10" s="159"/>
      <c r="D10" s="159"/>
      <c r="E10" s="159"/>
      <c r="F10" s="159"/>
      <c r="G10" s="159"/>
      <c r="J10" s="445"/>
    </row>
    <row r="11" spans="1:25" ht="14.25" customHeight="1">
      <c r="A11" s="159"/>
      <c r="B11" s="159"/>
      <c r="C11" s="159"/>
      <c r="D11" s="159"/>
      <c r="E11" s="159"/>
      <c r="F11" s="159"/>
      <c r="G11" s="159"/>
    </row>
    <row r="12" spans="1:25" ht="89.25" customHeight="1">
      <c r="A12" s="160" t="s">
        <v>169</v>
      </c>
      <c r="B12" s="527"/>
      <c r="C12" s="936"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D12" s="936"/>
      <c r="E12" s="936"/>
      <c r="F12" s="936"/>
      <c r="G12" s="936"/>
      <c r="J12" s="446"/>
    </row>
    <row r="13" spans="1:25" ht="21" customHeight="1" thickBot="1">
      <c r="A13" s="161" t="s">
        <v>170</v>
      </c>
      <c r="B13" s="161"/>
      <c r="C13" s="162"/>
      <c r="D13" s="161"/>
      <c r="E13" s="161"/>
      <c r="F13" s="161"/>
      <c r="G13" s="161"/>
      <c r="H13" s="440"/>
      <c r="K13" s="170"/>
      <c r="L13" s="170"/>
      <c r="M13" s="170"/>
    </row>
    <row r="14" spans="1:25" ht="41.25" customHeight="1" thickBot="1">
      <c r="A14" s="937" t="s">
        <v>171</v>
      </c>
      <c r="B14" s="937"/>
      <c r="C14" s="937"/>
      <c r="D14" s="937"/>
      <c r="E14" s="937"/>
      <c r="F14" s="937"/>
      <c r="G14" s="937"/>
      <c r="H14" s="615" t="s">
        <v>340</v>
      </c>
      <c r="I14" s="615" t="s">
        <v>341</v>
      </c>
      <c r="J14" s="616" t="s">
        <v>342</v>
      </c>
      <c r="K14" s="170"/>
      <c r="L14" s="170"/>
      <c r="M14" s="170"/>
      <c r="N14" s="163"/>
    </row>
    <row r="15" spans="1:25" ht="56.25" customHeight="1">
      <c r="B15" s="165">
        <v>1</v>
      </c>
      <c r="C15" s="941" t="s">
        <v>333</v>
      </c>
      <c r="D15" s="939"/>
      <c r="E15" s="939"/>
      <c r="F15" s="940"/>
      <c r="G15" s="166"/>
      <c r="H15" s="678">
        <f>IF(J6=0,0,(G15/J9)*J6)</f>
        <v>0</v>
      </c>
      <c r="I15" s="679">
        <f>IF(J7=0,0,(G15/J9)*J7)</f>
        <v>0</v>
      </c>
      <c r="J15" s="678">
        <f>IF(J8,(G15/J9)*J8,0)</f>
        <v>0</v>
      </c>
      <c r="K15" s="170"/>
      <c r="L15" s="170"/>
      <c r="M15" s="170"/>
    </row>
    <row r="16" spans="1:25" ht="55.5" customHeight="1">
      <c r="B16" s="165">
        <v>2</v>
      </c>
      <c r="C16" s="938" t="s">
        <v>478</v>
      </c>
      <c r="D16" s="939"/>
      <c r="E16" s="939"/>
      <c r="F16" s="940"/>
      <c r="G16" s="167"/>
      <c r="H16" s="680">
        <f>G16*J6</f>
        <v>0</v>
      </c>
      <c r="I16" s="681">
        <f>G16*J7</f>
        <v>0</v>
      </c>
      <c r="J16" s="680">
        <f>G16*J8</f>
        <v>0</v>
      </c>
      <c r="K16" s="170"/>
      <c r="L16" s="170"/>
      <c r="M16" s="170"/>
    </row>
    <row r="17" spans="1:25" s="168" customFormat="1" ht="39.75" customHeight="1" thickBot="1">
      <c r="B17" s="169">
        <v>3</v>
      </c>
      <c r="C17" s="931" t="s">
        <v>172</v>
      </c>
      <c r="D17" s="932"/>
      <c r="E17" s="932"/>
      <c r="F17" s="933"/>
      <c r="G17" s="437"/>
      <c r="H17" s="680"/>
      <c r="I17" s="680"/>
      <c r="J17" s="680"/>
      <c r="K17" s="170"/>
      <c r="L17" s="170"/>
      <c r="M17" s="170"/>
      <c r="N17" s="170"/>
      <c r="O17" s="170"/>
      <c r="P17" s="170"/>
      <c r="Q17" s="170"/>
      <c r="R17" s="171"/>
      <c r="S17" s="171"/>
      <c r="T17" s="171"/>
      <c r="U17" s="172"/>
      <c r="V17" s="172"/>
      <c r="W17" s="172"/>
      <c r="X17" s="173"/>
      <c r="Y17" s="173"/>
    </row>
    <row r="18" spans="1:25" s="168" customFormat="1" ht="21" customHeight="1" thickBot="1">
      <c r="B18" s="174"/>
      <c r="C18" s="927" t="s">
        <v>334</v>
      </c>
      <c r="D18" s="928"/>
      <c r="E18" s="928"/>
      <c r="F18" s="175" t="s">
        <v>173</v>
      </c>
      <c r="G18" s="438"/>
      <c r="H18" s="682">
        <f>G18</f>
        <v>0</v>
      </c>
      <c r="I18" s="683"/>
      <c r="J18" s="680"/>
      <c r="K18" s="170"/>
      <c r="L18" s="170"/>
      <c r="M18" s="170"/>
      <c r="N18" s="177"/>
      <c r="O18" s="176"/>
      <c r="P18" s="170"/>
      <c r="Q18" s="170"/>
      <c r="R18" s="171"/>
      <c r="S18" s="171"/>
      <c r="T18" s="171"/>
      <c r="U18" s="172"/>
      <c r="V18" s="172"/>
      <c r="W18" s="172"/>
      <c r="X18" s="173"/>
      <c r="Y18" s="173"/>
    </row>
    <row r="19" spans="1:25" s="168" customFormat="1" ht="33" customHeight="1" thickBot="1">
      <c r="B19" s="174"/>
      <c r="C19" s="920" t="s">
        <v>358</v>
      </c>
      <c r="D19" s="921"/>
      <c r="E19" s="921"/>
      <c r="F19" s="175" t="s">
        <v>173</v>
      </c>
      <c r="G19" s="438"/>
      <c r="H19" s="684"/>
      <c r="I19" s="682">
        <f>G19</f>
        <v>0</v>
      </c>
      <c r="J19" s="685"/>
      <c r="K19" s="170"/>
      <c r="L19" s="170"/>
      <c r="M19" s="170"/>
      <c r="N19" s="177"/>
      <c r="O19" s="176"/>
      <c r="P19" s="170"/>
      <c r="Q19" s="170"/>
      <c r="R19" s="171"/>
      <c r="S19" s="171"/>
      <c r="T19" s="171"/>
      <c r="U19" s="172"/>
      <c r="V19" s="172"/>
      <c r="W19" s="172"/>
      <c r="X19" s="173"/>
      <c r="Y19" s="173"/>
    </row>
    <row r="20" spans="1:25" s="168" customFormat="1" ht="21" customHeight="1" thickBot="1">
      <c r="B20" s="174"/>
      <c r="C20" s="927" t="s">
        <v>335</v>
      </c>
      <c r="D20" s="928"/>
      <c r="E20" s="928"/>
      <c r="F20" s="175" t="s">
        <v>173</v>
      </c>
      <c r="G20" s="438"/>
      <c r="H20" s="680"/>
      <c r="I20" s="679"/>
      <c r="J20" s="682">
        <f>G20</f>
        <v>0</v>
      </c>
      <c r="K20" s="170"/>
      <c r="L20" s="170"/>
      <c r="M20" s="170"/>
      <c r="N20" s="177"/>
      <c r="O20" s="176"/>
      <c r="P20" s="170"/>
      <c r="Q20" s="170"/>
      <c r="R20" s="171"/>
      <c r="S20" s="171"/>
      <c r="T20" s="171"/>
      <c r="U20" s="172"/>
      <c r="V20" s="172"/>
      <c r="W20" s="172"/>
      <c r="X20" s="173"/>
      <c r="Y20" s="173"/>
    </row>
    <row r="21" spans="1:25" s="168" customFormat="1" ht="21" customHeight="1">
      <c r="B21" s="174"/>
      <c r="C21" s="927" t="s">
        <v>336</v>
      </c>
      <c r="D21" s="928"/>
      <c r="E21" s="928"/>
      <c r="F21" s="175" t="s">
        <v>173</v>
      </c>
      <c r="G21" s="447"/>
      <c r="H21" s="680"/>
      <c r="I21" s="681"/>
      <c r="J21" s="678"/>
      <c r="K21" s="170"/>
      <c r="L21" s="170"/>
      <c r="M21" s="170"/>
      <c r="N21" s="177"/>
      <c r="O21" s="176"/>
      <c r="P21" s="170"/>
      <c r="Q21" s="170"/>
      <c r="R21" s="171"/>
      <c r="S21" s="171"/>
      <c r="T21" s="171"/>
      <c r="U21" s="172"/>
      <c r="V21" s="172"/>
      <c r="W21" s="172"/>
      <c r="X21" s="173"/>
      <c r="Y21" s="173"/>
    </row>
    <row r="22" spans="1:25" s="168" customFormat="1" ht="21" customHeight="1">
      <c r="B22" s="178"/>
      <c r="C22" s="927" t="s">
        <v>174</v>
      </c>
      <c r="D22" s="928"/>
      <c r="E22" s="928"/>
      <c r="F22" s="179" t="s">
        <v>173</v>
      </c>
      <c r="G22" s="447"/>
      <c r="H22" s="680"/>
      <c r="I22" s="681"/>
      <c r="J22" s="680"/>
      <c r="K22" s="170"/>
      <c r="L22" s="170"/>
      <c r="M22" s="170"/>
      <c r="N22" s="177"/>
      <c r="O22" s="176"/>
      <c r="P22" s="170"/>
      <c r="Q22" s="170"/>
      <c r="R22" s="171"/>
      <c r="S22" s="171"/>
      <c r="T22" s="171"/>
      <c r="U22" s="172"/>
      <c r="V22" s="172"/>
      <c r="W22" s="172"/>
      <c r="X22" s="173"/>
      <c r="Y22" s="173"/>
    </row>
    <row r="23" spans="1:25" s="168" customFormat="1" ht="54.9" customHeight="1" thickBot="1">
      <c r="B23" s="169">
        <v>4</v>
      </c>
      <c r="C23" s="916" t="s">
        <v>479</v>
      </c>
      <c r="D23" s="917"/>
      <c r="E23" s="917"/>
      <c r="F23" s="918"/>
      <c r="G23" s="437"/>
      <c r="H23" s="686"/>
      <c r="I23" s="681"/>
      <c r="J23" s="680"/>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27" t="s">
        <v>334</v>
      </c>
      <c r="D24" s="928"/>
      <c r="E24" s="928"/>
      <c r="F24" s="175" t="s">
        <v>175</v>
      </c>
      <c r="G24" s="439"/>
      <c r="H24" s="687">
        <f>G24*J6</f>
        <v>0</v>
      </c>
      <c r="I24" s="683"/>
      <c r="J24" s="680"/>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22" t="s">
        <v>358</v>
      </c>
      <c r="D25" s="923"/>
      <c r="E25" s="923"/>
      <c r="F25" s="175" t="s">
        <v>175</v>
      </c>
      <c r="G25" s="439"/>
      <c r="H25" s="688"/>
      <c r="I25" s="682">
        <f>G25*J7</f>
        <v>0</v>
      </c>
      <c r="J25" s="685"/>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27" t="s">
        <v>335</v>
      </c>
      <c r="D26" s="928"/>
      <c r="E26" s="928"/>
      <c r="F26" s="175" t="s">
        <v>175</v>
      </c>
      <c r="G26" s="439"/>
      <c r="H26" s="686"/>
      <c r="I26" s="679"/>
      <c r="J26" s="682">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27" t="s">
        <v>336</v>
      </c>
      <c r="D27" s="928"/>
      <c r="E27" s="928"/>
      <c r="F27" s="175" t="s">
        <v>175</v>
      </c>
      <c r="G27" s="448"/>
      <c r="H27" s="686"/>
      <c r="I27" s="681"/>
      <c r="J27" s="678"/>
      <c r="K27" s="170"/>
      <c r="L27" s="170"/>
      <c r="M27" s="170"/>
      <c r="N27" s="170"/>
      <c r="O27" s="170"/>
      <c r="P27" s="170"/>
      <c r="Q27" s="170"/>
      <c r="R27" s="171"/>
      <c r="S27" s="171"/>
      <c r="T27" s="171"/>
      <c r="U27" s="172"/>
      <c r="V27" s="172"/>
      <c r="W27" s="172"/>
      <c r="X27" s="173"/>
      <c r="Y27" s="173"/>
    </row>
    <row r="28" spans="1:25" s="168" customFormat="1" ht="21" customHeight="1">
      <c r="A28" s="180"/>
      <c r="B28" s="178"/>
      <c r="C28" s="929" t="s">
        <v>174</v>
      </c>
      <c r="D28" s="930"/>
      <c r="E28" s="930"/>
      <c r="F28" s="179" t="s">
        <v>175</v>
      </c>
      <c r="G28" s="448"/>
      <c r="H28" s="686"/>
      <c r="I28" s="681"/>
      <c r="J28" s="680"/>
      <c r="K28" s="170"/>
      <c r="L28" s="170"/>
      <c r="M28" s="170"/>
      <c r="N28" s="170"/>
      <c r="O28" s="170"/>
      <c r="P28" s="170"/>
      <c r="Q28" s="170"/>
      <c r="R28" s="171"/>
      <c r="S28" s="171"/>
      <c r="T28" s="171"/>
      <c r="U28" s="172"/>
      <c r="V28" s="172"/>
      <c r="W28" s="172"/>
      <c r="X28" s="173"/>
      <c r="Y28" s="173"/>
    </row>
    <row r="29" spans="1:25" s="168" customFormat="1" ht="15.6" hidden="1">
      <c r="A29" s="180"/>
      <c r="B29" s="181"/>
      <c r="C29" s="914" t="s">
        <v>176</v>
      </c>
      <c r="D29" s="915"/>
      <c r="E29" s="915"/>
      <c r="F29" s="915"/>
      <c r="G29" s="915"/>
      <c r="H29" s="689"/>
      <c r="I29" s="689"/>
      <c r="J29" s="689"/>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24" t="s">
        <v>177</v>
      </c>
      <c r="D30" s="924"/>
      <c r="E30" s="924"/>
      <c r="F30" s="924"/>
      <c r="G30" s="924"/>
      <c r="H30" s="690"/>
      <c r="I30" s="690"/>
      <c r="J30" s="690"/>
      <c r="K30" s="170"/>
      <c r="L30" s="170"/>
      <c r="M30" s="170"/>
      <c r="N30" s="170"/>
      <c r="O30" s="170"/>
      <c r="P30" s="170"/>
      <c r="Q30" s="170"/>
      <c r="R30" s="171"/>
      <c r="S30" s="171"/>
      <c r="T30" s="171"/>
      <c r="U30" s="172"/>
      <c r="V30" s="172"/>
      <c r="W30" s="172"/>
      <c r="X30" s="173"/>
      <c r="Y30" s="173"/>
    </row>
    <row r="31" spans="1:25" s="168" customFormat="1" ht="48.75" hidden="1" customHeight="1">
      <c r="A31" s="180"/>
      <c r="B31" s="925"/>
      <c r="C31" s="925"/>
      <c r="D31" s="925"/>
      <c r="E31" s="925"/>
      <c r="F31" s="925"/>
      <c r="G31" s="925"/>
      <c r="H31" s="691">
        <f>SUM(H15:H28)</f>
        <v>0</v>
      </c>
      <c r="I31" s="691">
        <f>SUM(I15:I28)</f>
        <v>0</v>
      </c>
      <c r="J31" s="691">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24" t="s">
        <v>178</v>
      </c>
      <c r="D32" s="926"/>
      <c r="E32" s="926"/>
      <c r="F32" s="926"/>
      <c r="G32" s="926"/>
      <c r="H32" s="692" t="e">
        <f>(1-(H31/I2))</f>
        <v>#DIV/0!</v>
      </c>
      <c r="I32" s="692" t="e">
        <f>(1-(I31/I3))</f>
        <v>#DIV/0!</v>
      </c>
      <c r="J32" s="693"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19" t="s">
        <v>337</v>
      </c>
      <c r="B33" s="919"/>
      <c r="C33" s="919"/>
      <c r="D33" s="919"/>
      <c r="E33" s="919"/>
      <c r="F33" s="919"/>
      <c r="G33" s="919"/>
      <c r="H33" s="694"/>
      <c r="I33" s="694"/>
      <c r="J33" s="694"/>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694"/>
      <c r="I34" s="694"/>
      <c r="J34" s="694"/>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695">
        <f>SUM(H15:H26)</f>
        <v>0</v>
      </c>
      <c r="I35" s="696">
        <f>SUM(I15:I26)</f>
        <v>0</v>
      </c>
      <c r="J35" s="697">
        <f>SUM(J15:J26)</f>
        <v>0</v>
      </c>
      <c r="K35" s="453"/>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18">
        <f>IF(J6=0,0,1-(H35/J6))</f>
        <v>0</v>
      </c>
      <c r="I36" s="618">
        <f>IF(J7=0,0,1-(I35/J7))</f>
        <v>0</v>
      </c>
      <c r="J36" s="619">
        <f>IF(J8=0,0,1-(J35/J8))</f>
        <v>0</v>
      </c>
      <c r="K36" s="592" t="s">
        <v>359</v>
      </c>
    </row>
    <row r="37" spans="1:25" ht="19.5" customHeight="1">
      <c r="A37" s="190"/>
      <c r="B37" s="190"/>
      <c r="C37" s="191"/>
      <c r="D37" s="189"/>
      <c r="E37" s="187"/>
      <c r="F37" s="187"/>
      <c r="G37" s="591"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38" t="str">
        <f>'Sch-7'!C21:D21</f>
        <v xml:space="preserve">  </v>
      </c>
      <c r="D39" s="194"/>
      <c r="E39" s="195" t="s">
        <v>183</v>
      </c>
      <c r="F39" s="702">
        <f>'Names of Bidder'!D24</f>
        <v>0</v>
      </c>
      <c r="G39" s="703"/>
      <c r="H39" s="446"/>
    </row>
    <row r="40" spans="1:25" ht="23.25" customHeight="1">
      <c r="A40" s="197" t="s">
        <v>184</v>
      </c>
      <c r="B40" s="197"/>
      <c r="C40" s="639" t="str">
        <f>'Sch-7'!C22:D22</f>
        <v/>
      </c>
      <c r="D40" s="198"/>
      <c r="E40" s="195" t="s">
        <v>185</v>
      </c>
      <c r="F40" s="702">
        <f>'Names of Bidder'!D25</f>
        <v>0</v>
      </c>
      <c r="G40" s="703"/>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F8A50AE1-259E-429D-A506-38EB64D134EF}" showPageBreaks="1" zeroValues="0" printArea="1" hiddenRows="1" hiddenColumns="1" view="pageBreakPreview" topLeftCell="A13">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6"/>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7"/>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9"/>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10"/>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11"/>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84F40905-A9D3-43A5-987A-8A757D486A94}" showPageBreaks="1" zeroValues="0" printArea="1" hiddenRows="1" hiddenColumns="1" view="pageBreakPreview" topLeftCell="A13">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212"/>
    <col min="2" max="2" width="30.6640625" style="213" customWidth="1"/>
    <col min="3" max="3" width="26.109375" style="213" customWidth="1"/>
    <col min="4" max="5" width="17.88671875" style="213" customWidth="1"/>
    <col min="6" max="16384" width="9.109375" style="188"/>
  </cols>
  <sheetData>
    <row r="1" spans="1:6">
      <c r="A1" s="199"/>
      <c r="B1" s="200"/>
      <c r="C1" s="200"/>
      <c r="D1" s="200"/>
      <c r="E1" s="200"/>
    </row>
    <row r="2" spans="1:6" ht="21.9" customHeight="1">
      <c r="A2" s="942" t="s">
        <v>186</v>
      </c>
      <c r="B2" s="942"/>
      <c r="C2" s="942"/>
      <c r="D2" s="942"/>
      <c r="E2" s="188"/>
    </row>
    <row r="3" spans="1:6">
      <c r="A3" s="199"/>
      <c r="B3" s="200"/>
      <c r="C3" s="200"/>
      <c r="D3" s="200"/>
      <c r="E3" s="200"/>
    </row>
    <row r="4" spans="1:6" ht="28.8">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F8A50AE1-259E-429D-A506-38EB64D134EF}" state="hidden" topLeftCell="A4">
      <selection activeCell="D6" sqref="D6"/>
      <pageMargins left="0.75" right="0.75" top="0.65" bottom="1" header="0.5" footer="0.5"/>
      <pageSetup orientation="portrait" r:id="rId1"/>
      <headerFooter alignWithMargins="0"/>
    </customSheetView>
    <customSheetView guid="{C44C314C-9BEB-403F-A933-6B948E5C1171}" state="hidden" topLeftCell="A4">
      <selection activeCell="D6" sqref="D6"/>
      <pageMargins left="0.75" right="0.75" top="0.65" bottom="1" header="0.5" footer="0.5"/>
      <pageSetup orientation="portrait" r:id="rId2"/>
      <headerFooter alignWithMargins="0"/>
    </customSheetView>
    <customSheetView guid="{AD0333DF-5B33-49B5-B063-72505D20EFE4}" state="hidden" topLeftCell="A4">
      <selection activeCell="D6" sqref="D6"/>
      <pageMargins left="0.75" right="0.75" top="0.65" bottom="1" header="0.5" footer="0.5"/>
      <pageSetup orientation="portrait" r:id="rId3"/>
      <headerFooter alignWithMargins="0"/>
    </customSheetView>
    <customSheetView guid="{BE68641D-0C1E-4F8D-890A-A660C199187C}" state="hidden" topLeftCell="A4">
      <selection activeCell="D6" sqref="D6"/>
      <pageMargins left="0.75" right="0.75" top="0.65" bottom="1" header="0.5" footer="0.5"/>
      <pageSetup orientation="portrait" r:id="rId4"/>
      <headerFooter alignWithMargins="0"/>
    </customSheetView>
    <customSheetView guid="{F658ED72-5E54-4C5B-BB2C-7A2962080984}" state="hidden" topLeftCell="A4">
      <selection activeCell="D6" sqref="D6"/>
      <pageMargins left="0.75" right="0.75" top="0.65" bottom="1" header="0.5" footer="0.5"/>
      <pageSetup orientation="portrait" r:id="rId5"/>
      <headerFooter alignWithMargins="0"/>
    </customSheetView>
    <customSheetView guid="{DEF6DCE2-4A74-4BE5-B5D5-8143DC3F770A}" state="hidden" topLeftCell="A4">
      <selection activeCell="D6" sqref="D6"/>
      <pageMargins left="0.75" right="0.75" top="0.65" bottom="1" header="0.5" footer="0.5"/>
      <pageSetup orientation="portrait" r:id="rId6"/>
      <headerFooter alignWithMargins="0"/>
    </customSheetView>
    <customSheetView guid="{CCA37BAE-906F-43D5-9FD9-B13563E4B9D7}" state="hidden" topLeftCell="A4">
      <selection activeCell="D6" sqref="D6"/>
      <pageMargins left="0.75" right="0.75" top="0.65" bottom="1" header="0.5" footer="0.5"/>
      <pageSetup orientation="portrait" r:id="rId7"/>
      <headerFooter alignWithMargins="0"/>
    </customSheetView>
    <customSheetView guid="{B96E710B-6DD7-4DE1-95AB-C9EE060CD030}" state="hidden" topLeftCell="A4">
      <selection activeCell="D6" sqref="D6"/>
      <pageMargins left="0.75" right="0.75" top="0.65" bottom="1" header="0.5" footer="0.5"/>
      <pageSetup orientation="portrait" r:id="rId8"/>
      <headerFooter alignWithMargins="0"/>
    </customSheetView>
    <customSheetView guid="{357C9841-BEC3-434B-AC63-C04FB4321BA3}" state="hidden" topLeftCell="A4">
      <selection activeCell="D6" sqref="D6"/>
      <pageMargins left="0.75" right="0.75" top="0.65" bottom="1" header="0.5" footer="0.5"/>
      <pageSetup orientation="portrait" r:id="rId9"/>
      <headerFooter alignWithMargins="0"/>
    </customSheetView>
    <customSheetView guid="{3C00DDA0-7DDE-4169-A739-550DAF5DCF8D}" state="hidden" topLeftCell="A4">
      <selection activeCell="D6" sqref="D6"/>
      <pageMargins left="0.75" right="0.75" top="0.65" bottom="1" header="0.5" footer="0.5"/>
      <pageSetup orientation="portrait" r:id="rId10"/>
      <headerFooter alignWithMargins="0"/>
    </customSheetView>
    <customSheetView guid="{99CA2F10-F926-46DC-8609-4EAE5B9F3585}" state="hidden" topLeftCell="A4">
      <selection activeCell="D6" sqref="D6"/>
      <pageMargins left="0.75" right="0.75" top="0.65" bottom="1" header="0.5" footer="0.5"/>
      <pageSetup orientation="portrait" r:id="rId11"/>
      <headerFooter alignWithMargins="0"/>
    </customSheetView>
    <customSheetView guid="{63D51328-7CBC-4A1E-B96D-BAE91416501B}" state="hidden" topLeftCell="A4">
      <selection activeCell="D6" sqref="D6"/>
      <pageMargins left="0.75" right="0.75" top="0.65" bottom="1" header="0.5" footer="0.5"/>
      <pageSetup orientation="portrait" r:id="rId12"/>
      <headerFooter alignWithMargins="0"/>
    </customSheetView>
    <customSheetView guid="{112647D2-7580-431B-99B5-DD512E2AD50E}" state="hidden" topLeftCell="A4">
      <selection activeCell="D6" sqref="D6"/>
      <pageMargins left="0.75" right="0.75" top="0.65" bottom="1" header="0.5" footer="0.5"/>
      <pageSetup orientation="portrait" r:id="rId13"/>
      <headerFooter alignWithMargins="0"/>
    </customSheetView>
    <customSheetView guid="{BDFA0401-0547-4E51-8BD2-84F711B066CA}" state="hidden" topLeftCell="A4">
      <selection activeCell="D6" sqref="D6"/>
      <pageMargins left="0.75" right="0.75" top="0.65" bottom="1" header="0.5" footer="0.5"/>
      <pageSetup orientation="portrait" r:id="rId14"/>
      <headerFooter alignWithMargins="0"/>
    </customSheetView>
    <customSheetView guid="{84F40905-A9D3-43A5-987A-8A757D486A94}"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212"/>
    <col min="2" max="2" width="30.6640625" style="213" customWidth="1"/>
    <col min="3" max="3" width="26.109375" style="213" customWidth="1"/>
    <col min="4" max="5" width="17.88671875" style="213" customWidth="1"/>
    <col min="6" max="16384" width="9.109375" style="188"/>
  </cols>
  <sheetData>
    <row r="1" spans="1:6">
      <c r="A1" s="199"/>
      <c r="B1" s="200"/>
      <c r="C1" s="200"/>
      <c r="D1" s="200"/>
      <c r="E1" s="200"/>
    </row>
    <row r="2" spans="1:6" ht="21.9" customHeight="1">
      <c r="A2" s="942" t="s">
        <v>197</v>
      </c>
      <c r="B2" s="942"/>
      <c r="C2" s="942"/>
      <c r="D2" s="943"/>
      <c r="E2" s="34"/>
    </row>
    <row r="3" spans="1:6">
      <c r="A3" s="199"/>
      <c r="B3" s="200"/>
      <c r="C3" s="200"/>
      <c r="D3" s="200"/>
      <c r="E3" s="200"/>
    </row>
    <row r="4" spans="1:6" ht="28.8">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F8A50AE1-259E-429D-A506-38EB64D134EF}" state="hidden" topLeftCell="A13">
      <selection activeCell="D6" sqref="D6"/>
      <pageMargins left="0.75" right="0.75" top="0.65" bottom="1" header="0.5" footer="0.5"/>
      <pageSetup orientation="portrait" r:id="rId1"/>
      <headerFooter alignWithMargins="0"/>
    </customSheetView>
    <customSheetView guid="{C44C314C-9BEB-403F-A933-6B948E5C1171}" state="hidden" topLeftCell="A13">
      <selection activeCell="D6" sqref="D6"/>
      <pageMargins left="0.75" right="0.75" top="0.65" bottom="1" header="0.5" footer="0.5"/>
      <pageSetup orientation="portrait" r:id="rId2"/>
      <headerFooter alignWithMargins="0"/>
    </customSheetView>
    <customSheetView guid="{AD0333DF-5B33-49B5-B063-72505D20EFE4}" state="hidden" topLeftCell="A13">
      <selection activeCell="D6" sqref="D6"/>
      <pageMargins left="0.75" right="0.75" top="0.65" bottom="1" header="0.5" footer="0.5"/>
      <pageSetup orientation="portrait" r:id="rId3"/>
      <headerFooter alignWithMargins="0"/>
    </customSheetView>
    <customSheetView guid="{BE68641D-0C1E-4F8D-890A-A660C199187C}" state="hidden" topLeftCell="A13">
      <selection activeCell="D6" sqref="D6"/>
      <pageMargins left="0.75" right="0.75" top="0.65" bottom="1" header="0.5" footer="0.5"/>
      <pageSetup orientation="portrait" r:id="rId4"/>
      <headerFooter alignWithMargins="0"/>
    </customSheetView>
    <customSheetView guid="{F658ED72-5E54-4C5B-BB2C-7A2962080984}" state="hidden" topLeftCell="A13">
      <selection activeCell="D6" sqref="D6"/>
      <pageMargins left="0.75" right="0.75" top="0.65" bottom="1" header="0.5" footer="0.5"/>
      <pageSetup orientation="portrait" r:id="rId5"/>
      <headerFooter alignWithMargins="0"/>
    </customSheetView>
    <customSheetView guid="{DEF6DCE2-4A74-4BE5-B5D5-8143DC3F770A}" state="hidden" topLeftCell="A13">
      <selection activeCell="D6" sqref="D6"/>
      <pageMargins left="0.75" right="0.75" top="0.65" bottom="1" header="0.5" footer="0.5"/>
      <pageSetup orientation="portrait" r:id="rId6"/>
      <headerFooter alignWithMargins="0"/>
    </customSheetView>
    <customSheetView guid="{CCA37BAE-906F-43D5-9FD9-B13563E4B9D7}" state="hidden" topLeftCell="A13">
      <selection activeCell="D6" sqref="D6"/>
      <pageMargins left="0.75" right="0.75" top="0.65" bottom="1" header="0.5" footer="0.5"/>
      <pageSetup orientation="portrait" r:id="rId7"/>
      <headerFooter alignWithMargins="0"/>
    </customSheetView>
    <customSheetView guid="{B96E710B-6DD7-4DE1-95AB-C9EE060CD030}" state="hidden" topLeftCell="A13">
      <selection activeCell="D6" sqref="D6"/>
      <pageMargins left="0.75" right="0.75" top="0.65" bottom="1" header="0.5" footer="0.5"/>
      <pageSetup orientation="portrait" r:id="rId8"/>
      <headerFooter alignWithMargins="0"/>
    </customSheetView>
    <customSheetView guid="{357C9841-BEC3-434B-AC63-C04FB4321BA3}" state="hidden" topLeftCell="A13">
      <selection activeCell="D6" sqref="D6"/>
      <pageMargins left="0.75" right="0.75" top="0.65" bottom="1" header="0.5" footer="0.5"/>
      <pageSetup orientation="portrait" r:id="rId9"/>
      <headerFooter alignWithMargins="0"/>
    </customSheetView>
    <customSheetView guid="{3C00DDA0-7DDE-4169-A739-550DAF5DCF8D}" state="hidden" topLeftCell="A13">
      <selection activeCell="D6" sqref="D6"/>
      <pageMargins left="0.75" right="0.75" top="0.65" bottom="1" header="0.5" footer="0.5"/>
      <pageSetup orientation="portrait" r:id="rId10"/>
      <headerFooter alignWithMargins="0"/>
    </customSheetView>
    <customSheetView guid="{99CA2F10-F926-46DC-8609-4EAE5B9F3585}" state="hidden" topLeftCell="A13">
      <selection activeCell="D6" sqref="D6"/>
      <pageMargins left="0.75" right="0.75" top="0.65" bottom="1" header="0.5" footer="0.5"/>
      <pageSetup orientation="portrait" r:id="rId11"/>
      <headerFooter alignWithMargins="0"/>
    </customSheetView>
    <customSheetView guid="{63D51328-7CBC-4A1E-B96D-BAE91416501B}" state="hidden" topLeftCell="A13">
      <selection activeCell="D6" sqref="D6"/>
      <pageMargins left="0.75" right="0.75" top="0.65" bottom="1" header="0.5" footer="0.5"/>
      <pageSetup orientation="portrait" r:id="rId12"/>
      <headerFooter alignWithMargins="0"/>
    </customSheetView>
    <customSheetView guid="{112647D2-7580-431B-99B5-DD512E2AD50E}" state="hidden" topLeftCell="A13">
      <selection activeCell="D6" sqref="D6"/>
      <pageMargins left="0.75" right="0.75" top="0.65" bottom="1" header="0.5" footer="0.5"/>
      <pageSetup orientation="portrait" r:id="rId13"/>
      <headerFooter alignWithMargins="0"/>
    </customSheetView>
    <customSheetView guid="{BDFA0401-0547-4E51-8BD2-84F711B066CA}" state="hidden" topLeftCell="A13">
      <selection activeCell="D6" sqref="D6"/>
      <pageMargins left="0.75" right="0.75" top="0.65" bottom="1" header="0.5" footer="0.5"/>
      <pageSetup orientation="portrait" r:id="rId14"/>
      <headerFooter alignWithMargins="0"/>
    </customSheetView>
    <customSheetView guid="{84F40905-A9D3-43A5-987A-8A757D486A94}"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212" customWidth="1"/>
    <col min="2" max="4" width="23.5546875" style="213" customWidth="1"/>
    <col min="5" max="5" width="11" style="213" customWidth="1"/>
    <col min="6" max="6" width="14.44140625" style="213" customWidth="1"/>
    <col min="7" max="16384" width="9.109375" style="188"/>
  </cols>
  <sheetData>
    <row r="1" spans="1:7">
      <c r="A1" s="199"/>
      <c r="B1" s="200"/>
      <c r="C1" s="200"/>
      <c r="D1" s="200"/>
      <c r="E1" s="200"/>
      <c r="F1" s="200"/>
    </row>
    <row r="2" spans="1:7" ht="21.9" customHeight="1">
      <c r="A2" s="942" t="s">
        <v>201</v>
      </c>
      <c r="B2" s="942"/>
      <c r="C2" s="942"/>
      <c r="D2" s="942"/>
      <c r="E2" s="943"/>
      <c r="F2" s="188"/>
    </row>
    <row r="3" spans="1:7">
      <c r="A3" s="199"/>
      <c r="B3" s="200"/>
      <c r="C3" s="200"/>
      <c r="D3" s="200"/>
      <c r="E3" s="200"/>
      <c r="F3" s="200"/>
    </row>
    <row r="4" spans="1:7" ht="43.2">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F8A50AE1-259E-429D-A506-38EB64D134EF}" state="hidden" topLeftCell="A5">
      <selection activeCell="D11" sqref="D11"/>
      <pageMargins left="0.75" right="0.62" top="0.65" bottom="1" header="0.5" footer="0.5"/>
      <pageSetup orientation="portrait" r:id="rId1"/>
      <headerFooter alignWithMargins="0"/>
    </customSheetView>
    <customSheetView guid="{C44C314C-9BEB-403F-A933-6B948E5C1171}" state="hidden" topLeftCell="A5">
      <selection activeCell="D11" sqref="D11"/>
      <pageMargins left="0.75" right="0.62" top="0.65" bottom="1" header="0.5" footer="0.5"/>
      <pageSetup orientation="portrait" r:id="rId2"/>
      <headerFooter alignWithMargins="0"/>
    </customSheetView>
    <customSheetView guid="{AD0333DF-5B33-49B5-B063-72505D20EFE4}" state="hidden" topLeftCell="A5">
      <selection activeCell="D11" sqref="D11"/>
      <pageMargins left="0.75" right="0.62" top="0.65" bottom="1" header="0.5" footer="0.5"/>
      <pageSetup orientation="portrait" r:id="rId3"/>
      <headerFooter alignWithMargins="0"/>
    </customSheetView>
    <customSheetView guid="{BE68641D-0C1E-4F8D-890A-A660C199187C}" state="hidden" topLeftCell="A5">
      <selection activeCell="D11" sqref="D11"/>
      <pageMargins left="0.75" right="0.62" top="0.65" bottom="1" header="0.5" footer="0.5"/>
      <pageSetup orientation="portrait" r:id="rId4"/>
      <headerFooter alignWithMargins="0"/>
    </customSheetView>
    <customSheetView guid="{F658ED72-5E54-4C5B-BB2C-7A2962080984}" state="hidden" topLeftCell="A5">
      <selection activeCell="D11" sqref="D11"/>
      <pageMargins left="0.75" right="0.62" top="0.65" bottom="1" header="0.5" footer="0.5"/>
      <pageSetup orientation="portrait" r:id="rId5"/>
      <headerFooter alignWithMargins="0"/>
    </customSheetView>
    <customSheetView guid="{DEF6DCE2-4A74-4BE5-B5D5-8143DC3F770A}" state="hidden" topLeftCell="A5">
      <selection activeCell="D11" sqref="D11"/>
      <pageMargins left="0.75" right="0.62" top="0.65" bottom="1" header="0.5" footer="0.5"/>
      <pageSetup orientation="portrait" r:id="rId6"/>
      <headerFooter alignWithMargins="0"/>
    </customSheetView>
    <customSheetView guid="{CCA37BAE-906F-43D5-9FD9-B13563E4B9D7}" state="hidden" topLeftCell="A5">
      <selection activeCell="D11" sqref="D11"/>
      <pageMargins left="0.75" right="0.62" top="0.65" bottom="1" header="0.5" footer="0.5"/>
      <pageSetup orientation="portrait" r:id="rId7"/>
      <headerFooter alignWithMargins="0"/>
    </customSheetView>
    <customSheetView guid="{B96E710B-6DD7-4DE1-95AB-C9EE060CD030}" state="hidden" topLeftCell="A5">
      <selection activeCell="D11" sqref="D11"/>
      <pageMargins left="0.75" right="0.62" top="0.65" bottom="1" header="0.5" footer="0.5"/>
      <pageSetup orientation="portrait" r:id="rId8"/>
      <headerFooter alignWithMargins="0"/>
    </customSheetView>
    <customSheetView guid="{357C9841-BEC3-434B-AC63-C04FB4321BA3}" state="hidden" topLeftCell="A5">
      <selection activeCell="D11" sqref="D11"/>
      <pageMargins left="0.75" right="0.62" top="0.65" bottom="1" header="0.5" footer="0.5"/>
      <pageSetup orientation="portrait" r:id="rId9"/>
      <headerFooter alignWithMargins="0"/>
    </customSheetView>
    <customSheetView guid="{3C00DDA0-7DDE-4169-A739-550DAF5DCF8D}" state="hidden" topLeftCell="A5">
      <selection activeCell="D11" sqref="D11"/>
      <pageMargins left="0.75" right="0.62" top="0.65" bottom="1" header="0.5" footer="0.5"/>
      <pageSetup orientation="portrait" r:id="rId10"/>
      <headerFooter alignWithMargins="0"/>
    </customSheetView>
    <customSheetView guid="{99CA2F10-F926-46DC-8609-4EAE5B9F3585}" state="hidden" topLeftCell="A5">
      <selection activeCell="D11" sqref="D11"/>
      <pageMargins left="0.75" right="0.62" top="0.65" bottom="1" header="0.5" footer="0.5"/>
      <pageSetup orientation="portrait" r:id="rId11"/>
      <headerFooter alignWithMargins="0"/>
    </customSheetView>
    <customSheetView guid="{63D51328-7CBC-4A1E-B96D-BAE91416501B}" state="hidden" topLeftCell="A5">
      <selection activeCell="D11" sqref="D11"/>
      <pageMargins left="0.75" right="0.62" top="0.65" bottom="1" header="0.5" footer="0.5"/>
      <pageSetup orientation="portrait" r:id="rId12"/>
      <headerFooter alignWithMargins="0"/>
    </customSheetView>
    <customSheetView guid="{112647D2-7580-431B-99B5-DD512E2AD50E}" state="hidden" topLeftCell="A5">
      <selection activeCell="D11" sqref="D11"/>
      <pageMargins left="0.75" right="0.62" top="0.65" bottom="1" header="0.5" footer="0.5"/>
      <pageSetup orientation="portrait" r:id="rId13"/>
      <headerFooter alignWithMargins="0"/>
    </customSheetView>
    <customSheetView guid="{BDFA0401-0547-4E51-8BD2-84F711B066CA}" state="hidden" topLeftCell="A5">
      <selection activeCell="D11" sqref="D11"/>
      <pageMargins left="0.75" right="0.62" top="0.65" bottom="1" header="0.5" footer="0.5"/>
      <pageSetup orientation="portrait" r:id="rId14"/>
      <headerFooter alignWithMargins="0"/>
    </customSheetView>
    <customSheetView guid="{84F40905-A9D3-43A5-987A-8A757D486A94}"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view="pageBreakPreview" topLeftCell="A55" zoomScaleNormal="100" zoomScaleSheetLayoutView="100" workbookViewId="0">
      <selection activeCell="F51" sqref="F51"/>
    </sheetView>
  </sheetViews>
  <sheetFormatPr defaultColWidth="9.109375" defaultRowHeight="14.4"/>
  <cols>
    <col min="1" max="1" width="10.6640625" style="218" customWidth="1"/>
    <col min="2" max="2" width="15.33203125" style="224" customWidth="1"/>
    <col min="3" max="3" width="16.33203125" style="218" customWidth="1"/>
    <col min="4" max="4" width="20.6640625" style="218" customWidth="1"/>
    <col min="5" max="5" width="12.6640625" style="218" customWidth="1"/>
    <col min="6" max="6" width="34.109375" style="218" customWidth="1"/>
    <col min="7" max="7" width="9.109375" style="218" customWidth="1"/>
    <col min="8" max="8" width="12" style="218" hidden="1" customWidth="1"/>
    <col min="9" max="18" width="9.109375" style="219" hidden="1" customWidth="1"/>
    <col min="19" max="19" width="8" style="219" hidden="1" customWidth="1"/>
    <col min="20" max="20" width="9.109375" style="219" hidden="1" customWidth="1"/>
    <col min="21" max="21" width="7.6640625" style="219" hidden="1" customWidth="1"/>
    <col min="22" max="22" width="9.109375" style="219" hidden="1" customWidth="1"/>
    <col min="23" max="23" width="5.5546875" style="219" hidden="1" customWidth="1"/>
    <col min="24" max="24" width="4.88671875" style="219" hidden="1" customWidth="1"/>
    <col min="25" max="25" width="9.109375" style="219" hidden="1" customWidth="1"/>
    <col min="26" max="26" width="66.6640625" style="220" hidden="1" customWidth="1"/>
    <col min="27" max="27" width="17.5546875" style="220" hidden="1" customWidth="1"/>
    <col min="28" max="28" width="20" style="220" hidden="1" customWidth="1"/>
    <col min="29" max="29" width="13.88671875" style="220" hidden="1" customWidth="1"/>
    <col min="30" max="30" width="9.109375" style="221" hidden="1" customWidth="1"/>
    <col min="31" max="31" width="9.109375" style="222" hidden="1" customWidth="1"/>
    <col min="32" max="32" width="13.6640625" style="222" hidden="1" customWidth="1"/>
    <col min="33" max="35" width="9.109375" style="221" hidden="1" customWidth="1"/>
    <col min="36" max="36" width="10.44140625" style="221" hidden="1" customWidth="1"/>
    <col min="37" max="41" width="9.109375" style="221" hidden="1" customWidth="1"/>
    <col min="42" max="16384" width="9.109375" style="219"/>
  </cols>
  <sheetData>
    <row r="1" spans="1:36" ht="24.75" customHeight="1">
      <c r="A1" s="215" t="str">
        <f>Cover!B3</f>
        <v>Spec. No: CC/NT/W-RT/DOM/A00/22/00726</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399999999999999">
      <c r="A3" s="959" t="s">
        <v>213</v>
      </c>
      <c r="B3" s="959"/>
      <c r="C3" s="959"/>
      <c r="D3" s="959"/>
      <c r="E3" s="959"/>
      <c r="F3" s="959"/>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60"/>
      <c r="D5" s="960"/>
      <c r="E5" s="960"/>
      <c r="F5" s="960"/>
      <c r="AE5" s="222">
        <v>5</v>
      </c>
      <c r="AF5" s="222" t="s">
        <v>216</v>
      </c>
      <c r="AI5" s="222">
        <v>5</v>
      </c>
      <c r="AJ5" s="221" t="s">
        <v>219</v>
      </c>
    </row>
    <row r="6" spans="1:36">
      <c r="A6" s="224" t="s">
        <v>220</v>
      </c>
      <c r="B6" s="951" t="str">
        <f>'Names of Bidder'!D27&amp;'Names of Bidder'!E27&amp;'Names of Bidder'!F27</f>
        <v/>
      </c>
      <c r="C6" s="951"/>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06.5" customHeight="1">
      <c r="A15" s="582" t="s">
        <v>228</v>
      </c>
      <c r="B15" s="583"/>
      <c r="C15" s="961"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D15" s="961"/>
      <c r="E15" s="961"/>
      <c r="F15" s="961"/>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57"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7"/>
      <c r="D17" s="957"/>
      <c r="E17" s="957"/>
      <c r="F17" s="957"/>
      <c r="H17" s="675" t="s">
        <v>302</v>
      </c>
      <c r="Z17" s="233"/>
      <c r="AA17" s="234"/>
      <c r="AB17" s="235"/>
      <c r="AC17" s="236"/>
      <c r="AE17" s="222">
        <v>17</v>
      </c>
      <c r="AF17" s="222" t="s">
        <v>216</v>
      </c>
    </row>
    <row r="18" spans="1:41" ht="24.75" customHeight="1">
      <c r="A18" s="232"/>
      <c r="B18" s="957"/>
      <c r="C18" s="957"/>
      <c r="D18" s="957"/>
      <c r="E18" s="957"/>
      <c r="F18" s="957"/>
      <c r="H18" s="676">
        <f>ROUND('Sch-6 (After Discount)'!D28,2)</f>
        <v>0</v>
      </c>
      <c r="I18" s="219" t="s">
        <v>471</v>
      </c>
      <c r="Z18" s="233"/>
      <c r="AA18" s="234"/>
      <c r="AB18" s="235"/>
      <c r="AC18" s="236"/>
    </row>
    <row r="19" spans="1:41" ht="13.5" customHeight="1">
      <c r="A19" s="232"/>
      <c r="B19" s="957"/>
      <c r="C19" s="957"/>
      <c r="D19" s="957"/>
      <c r="E19" s="957"/>
      <c r="F19" s="957"/>
      <c r="H19" s="677" t="str">
        <f>'N-W (Cr.)'!P4</f>
        <v/>
      </c>
      <c r="N19" s="219" t="s">
        <v>470</v>
      </c>
      <c r="Z19" s="233"/>
      <c r="AA19" s="234"/>
      <c r="AB19" s="235"/>
      <c r="AC19" s="236"/>
    </row>
    <row r="20" spans="1:41" ht="39" customHeight="1">
      <c r="B20" s="958" t="s">
        <v>230</v>
      </c>
      <c r="C20" s="958"/>
      <c r="D20" s="958"/>
      <c r="E20" s="958"/>
      <c r="F20" s="958"/>
      <c r="H20" s="218" t="s">
        <v>301</v>
      </c>
      <c r="AE20" s="222">
        <v>18</v>
      </c>
      <c r="AF20" s="222" t="s">
        <v>216</v>
      </c>
    </row>
    <row r="21" spans="1:41" s="218" customFormat="1" ht="27.75" customHeight="1">
      <c r="A21" s="237">
        <v>2</v>
      </c>
      <c r="B21" s="956" t="s">
        <v>231</v>
      </c>
      <c r="C21" s="956"/>
      <c r="D21" s="956"/>
      <c r="E21" s="956"/>
      <c r="F21" s="956"/>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53" t="s">
        <v>232</v>
      </c>
      <c r="C22" s="953"/>
      <c r="D22" s="953"/>
      <c r="E22" s="953"/>
      <c r="F22" s="953"/>
      <c r="AE22" s="222">
        <v>20</v>
      </c>
      <c r="AF22" s="222" t="s">
        <v>216</v>
      </c>
    </row>
    <row r="23" spans="1:41" ht="36.75" customHeight="1">
      <c r="B23" s="955" t="s">
        <v>233</v>
      </c>
      <c r="C23" s="955"/>
      <c r="D23" s="953" t="s">
        <v>234</v>
      </c>
      <c r="E23" s="953"/>
      <c r="F23" s="953"/>
      <c r="AE23" s="222">
        <v>21</v>
      </c>
      <c r="AF23" s="222" t="s">
        <v>209</v>
      </c>
    </row>
    <row r="24" spans="1:41" ht="33" customHeight="1">
      <c r="B24" s="955" t="s">
        <v>235</v>
      </c>
      <c r="C24" s="955"/>
      <c r="D24" s="231" t="s">
        <v>303</v>
      </c>
      <c r="E24" s="231"/>
      <c r="F24" s="231"/>
      <c r="AE24" s="222">
        <v>22</v>
      </c>
      <c r="AF24" s="222" t="s">
        <v>216</v>
      </c>
    </row>
    <row r="25" spans="1:41" ht="27.9" customHeight="1">
      <c r="B25" s="955" t="s">
        <v>236</v>
      </c>
      <c r="C25" s="955"/>
      <c r="D25" s="231" t="s">
        <v>237</v>
      </c>
      <c r="E25" s="231"/>
      <c r="F25" s="231"/>
      <c r="H25" s="240" t="str">
        <f>'[6]Names of Bidder'!D6</f>
        <v>Sole Bidder</v>
      </c>
      <c r="AE25" s="222">
        <v>23</v>
      </c>
      <c r="AF25" s="222" t="s">
        <v>216</v>
      </c>
    </row>
    <row r="26" spans="1:41" ht="27.9" customHeight="1">
      <c r="B26" s="955" t="s">
        <v>238</v>
      </c>
      <c r="C26" s="955"/>
      <c r="D26" s="231" t="s">
        <v>239</v>
      </c>
      <c r="E26" s="231"/>
      <c r="F26" s="231"/>
      <c r="AE26" s="222">
        <v>24</v>
      </c>
      <c r="AF26" s="222" t="s">
        <v>216</v>
      </c>
    </row>
    <row r="27" spans="1:41" ht="27.9" customHeight="1">
      <c r="B27" s="955" t="s">
        <v>240</v>
      </c>
      <c r="C27" s="955"/>
      <c r="D27" s="231" t="s">
        <v>241</v>
      </c>
      <c r="E27" s="231"/>
      <c r="F27" s="231"/>
      <c r="AE27" s="222">
        <v>25</v>
      </c>
      <c r="AF27" s="222" t="s">
        <v>216</v>
      </c>
    </row>
    <row r="28" spans="1:41" ht="27.9" customHeight="1">
      <c r="B28" s="955" t="s">
        <v>242</v>
      </c>
      <c r="C28" s="955"/>
      <c r="D28" s="231" t="s">
        <v>243</v>
      </c>
      <c r="E28" s="231"/>
      <c r="F28" s="231"/>
      <c r="AE28" s="222">
        <v>26</v>
      </c>
      <c r="AF28" s="222" t="s">
        <v>216</v>
      </c>
    </row>
    <row r="29" spans="1:41" ht="27.9" customHeight="1">
      <c r="B29" s="955" t="s">
        <v>30</v>
      </c>
      <c r="C29" s="955"/>
      <c r="D29" s="231" t="s">
        <v>244</v>
      </c>
      <c r="E29" s="231"/>
      <c r="F29" s="231"/>
      <c r="AE29" s="222">
        <v>27</v>
      </c>
      <c r="AF29" s="222" t="s">
        <v>216</v>
      </c>
    </row>
    <row r="30" spans="1:41" ht="98.25" customHeight="1">
      <c r="A30" s="241">
        <v>2.2000000000000002</v>
      </c>
      <c r="B30" s="953" t="s">
        <v>245</v>
      </c>
      <c r="C30" s="953"/>
      <c r="D30" s="953"/>
      <c r="E30" s="953"/>
      <c r="F30" s="953"/>
      <c r="AE30" s="222">
        <v>28</v>
      </c>
      <c r="AF30" s="222" t="s">
        <v>216</v>
      </c>
    </row>
    <row r="31" spans="1:41" ht="68.25" customHeight="1">
      <c r="A31" s="241">
        <v>2.2999999999999998</v>
      </c>
      <c r="B31" s="953" t="s">
        <v>246</v>
      </c>
      <c r="C31" s="953"/>
      <c r="D31" s="953"/>
      <c r="E31" s="953"/>
      <c r="F31" s="953"/>
      <c r="AE31" s="222">
        <v>29</v>
      </c>
      <c r="AF31" s="222" t="s">
        <v>216</v>
      </c>
    </row>
    <row r="32" spans="1:41" ht="129.75" customHeight="1">
      <c r="A32" s="241">
        <v>2.4</v>
      </c>
      <c r="B32" s="953" t="s">
        <v>247</v>
      </c>
      <c r="C32" s="953"/>
      <c r="D32" s="953"/>
      <c r="E32" s="953"/>
      <c r="F32" s="953"/>
      <c r="AE32" s="222">
        <v>30</v>
      </c>
      <c r="AF32" s="222" t="s">
        <v>216</v>
      </c>
    </row>
    <row r="33" spans="1:32" ht="79.5" customHeight="1">
      <c r="A33" s="241">
        <v>2.5</v>
      </c>
      <c r="B33" s="953" t="s">
        <v>248</v>
      </c>
      <c r="C33" s="953"/>
      <c r="D33" s="953"/>
      <c r="E33" s="953"/>
      <c r="F33" s="953"/>
      <c r="AE33" s="222">
        <v>31</v>
      </c>
      <c r="AF33" s="222" t="s">
        <v>209</v>
      </c>
    </row>
    <row r="34" spans="1:32" ht="81" customHeight="1">
      <c r="A34" s="232">
        <v>3</v>
      </c>
      <c r="B34" s="953" t="s">
        <v>249</v>
      </c>
      <c r="C34" s="953"/>
      <c r="D34" s="953"/>
      <c r="E34" s="953"/>
      <c r="F34" s="953"/>
    </row>
    <row r="35" spans="1:32" ht="63" customHeight="1">
      <c r="A35" s="232">
        <v>3.1</v>
      </c>
      <c r="B35" s="954" t="s">
        <v>304</v>
      </c>
      <c r="C35" s="954"/>
      <c r="D35" s="954"/>
      <c r="E35" s="954"/>
      <c r="F35" s="954"/>
    </row>
    <row r="36" spans="1:32" ht="114" customHeight="1">
      <c r="A36" s="241">
        <v>3.2</v>
      </c>
      <c r="B36" s="953" t="s">
        <v>305</v>
      </c>
      <c r="C36" s="953"/>
      <c r="D36" s="953"/>
      <c r="E36" s="953"/>
      <c r="F36" s="953"/>
    </row>
    <row r="37" spans="1:32" ht="65.25" customHeight="1">
      <c r="A37" s="241">
        <v>3.3</v>
      </c>
      <c r="B37" s="953" t="s">
        <v>306</v>
      </c>
      <c r="C37" s="953"/>
      <c r="D37" s="953"/>
      <c r="E37" s="953"/>
      <c r="F37" s="953"/>
    </row>
    <row r="38" spans="1:32" ht="66" customHeight="1">
      <c r="A38" s="232">
        <v>4</v>
      </c>
      <c r="B38" s="953" t="s">
        <v>250</v>
      </c>
      <c r="C38" s="953"/>
      <c r="D38" s="953"/>
      <c r="E38" s="953"/>
      <c r="F38" s="953"/>
    </row>
    <row r="39" spans="1:32" ht="93" customHeight="1">
      <c r="A39" s="232">
        <v>5</v>
      </c>
      <c r="B39" s="953" t="s">
        <v>251</v>
      </c>
      <c r="C39" s="953"/>
      <c r="D39" s="953"/>
      <c r="E39" s="953"/>
      <c r="F39" s="953"/>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 xml:space="preserve">For and on behalf of  </v>
      </c>
    </row>
    <row r="44" spans="1:32" ht="30" customHeight="1">
      <c r="A44" s="219"/>
      <c r="B44" s="219"/>
      <c r="C44" s="248"/>
      <c r="D44" s="219"/>
      <c r="E44" s="249" t="s">
        <v>252</v>
      </c>
      <c r="F44" s="224"/>
    </row>
    <row r="45" spans="1:32" ht="30" customHeight="1">
      <c r="A45" s="250" t="s">
        <v>182</v>
      </c>
      <c r="B45" s="950" t="str">
        <f>Discount!C39</f>
        <v xml:space="preserve">  </v>
      </c>
      <c r="C45" s="951"/>
      <c r="D45" s="219"/>
      <c r="E45" s="249" t="s">
        <v>183</v>
      </c>
      <c r="F45" s="456">
        <f>Discount!F39</f>
        <v>0</v>
      </c>
    </row>
    <row r="46" spans="1:32" ht="30" customHeight="1">
      <c r="A46" s="250" t="s">
        <v>184</v>
      </c>
      <c r="B46" s="952" t="str">
        <f>Discount!C40</f>
        <v/>
      </c>
      <c r="C46" s="951"/>
      <c r="D46" s="219"/>
      <c r="E46" s="249" t="s">
        <v>185</v>
      </c>
      <c r="F46" s="456">
        <f>Discount!F40</f>
        <v>0</v>
      </c>
    </row>
    <row r="47" spans="1:32" ht="30" customHeight="1">
      <c r="B47" s="218"/>
      <c r="D47" s="219"/>
      <c r="E47" s="249" t="s">
        <v>253</v>
      </c>
    </row>
    <row r="48" spans="1:32" ht="30" customHeight="1">
      <c r="A48" s="949" t="str">
        <f>IF(H25="Sole Bidder", "", "In case of bid from a Joint Venture, name &amp; designation of representative of JV partner is to be provided and Bid Form is also to be signed by him.")</f>
        <v/>
      </c>
      <c r="B48" s="949"/>
      <c r="C48" s="949"/>
      <c r="D48" s="949"/>
      <c r="E48" s="949"/>
      <c r="F48" s="949"/>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46" t="s">
        <v>255</v>
      </c>
      <c r="B55" s="946"/>
      <c r="C55" s="946"/>
      <c r="D55" s="724"/>
      <c r="E55" s="724"/>
      <c r="F55" s="724"/>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48"/>
      <c r="B56" s="948"/>
      <c r="C56" s="948"/>
      <c r="D56" s="724"/>
      <c r="E56" s="724"/>
      <c r="F56" s="724"/>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47"/>
      <c r="B57" s="947"/>
      <c r="C57" s="947"/>
      <c r="D57" s="724"/>
      <c r="E57" s="724"/>
      <c r="F57" s="724"/>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44" t="s">
        <v>256</v>
      </c>
      <c r="B58" s="944"/>
      <c r="C58" s="944"/>
      <c r="D58" s="724"/>
      <c r="E58" s="724"/>
      <c r="F58" s="724"/>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44" t="s">
        <v>257</v>
      </c>
      <c r="B59" s="944"/>
      <c r="C59" s="944"/>
      <c r="D59" s="724"/>
      <c r="E59" s="724"/>
      <c r="F59" s="724"/>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44" t="s">
        <v>258</v>
      </c>
      <c r="B60" s="944"/>
      <c r="C60" s="944"/>
      <c r="D60" s="724"/>
      <c r="E60" s="724"/>
      <c r="F60" s="724"/>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46" t="s">
        <v>259</v>
      </c>
      <c r="B61" s="946"/>
      <c r="C61" s="946"/>
      <c r="D61" s="724"/>
      <c r="E61" s="724"/>
      <c r="F61" s="724"/>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48"/>
      <c r="B62" s="948"/>
      <c r="C62" s="948"/>
      <c r="D62" s="724"/>
      <c r="E62" s="724"/>
      <c r="F62" s="724"/>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47"/>
      <c r="B63" s="947"/>
      <c r="C63" s="947"/>
      <c r="D63" s="724"/>
      <c r="E63" s="724"/>
      <c r="F63" s="724"/>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45" t="s">
        <v>115</v>
      </c>
      <c r="B64" s="945"/>
      <c r="C64" s="945"/>
      <c r="D64" s="945"/>
      <c r="E64" s="945"/>
      <c r="F64" s="945"/>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F8A50AE1-259E-429D-A506-38EB64D134EF}" showPageBreaks="1" showGridLines="0" zeroValues="0" fitToPage="1" printArea="1" hiddenColumns="1" view="pageBreakPreview" topLeftCell="A55">
      <selection activeCell="F51" sqref="F51"/>
      <rowBreaks count="1" manualBreakCount="1">
        <brk id="53" max="5" man="1"/>
      </rowBreaks>
      <pageMargins left="0.75" right="0.77" top="0.62" bottom="0.61" header="0.39" footer="0.32"/>
      <pageSetup scale="81" fitToHeight="3" orientation="portrait" r:id="rId1"/>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5"/>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2"/>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4"/>
      <headerFooter alignWithMargins="0">
        <oddFooter>&amp;R&amp;"Book Antiqua,Bold"&amp;8Bid Form (1st Envelope)  / Page &amp;P of &amp;N</oddFooter>
      </headerFooter>
    </customSheetView>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5"/>
      <headerFooter alignWithMargins="0">
        <oddFooter>&amp;R&amp;"Book Antiqua,Bold"&amp;8Bid Form (1st Envelope)  / Page &amp;P of &amp;N</oddFooter>
      </headerFooter>
    </customSheetView>
  </customSheetViews>
  <mergeCells count="39">
    <mergeCell ref="B17:F19"/>
    <mergeCell ref="B20:F20"/>
    <mergeCell ref="A3:F3"/>
    <mergeCell ref="C5:F5"/>
    <mergeCell ref="B6:C6"/>
    <mergeCell ref="C15:F15"/>
    <mergeCell ref="B26:C26"/>
    <mergeCell ref="B29:C29"/>
    <mergeCell ref="B30:F30"/>
    <mergeCell ref="B21:F21"/>
    <mergeCell ref="B22:F22"/>
    <mergeCell ref="B25:C25"/>
    <mergeCell ref="D23:F23"/>
    <mergeCell ref="B27:C27"/>
    <mergeCell ref="B28:C28"/>
    <mergeCell ref="B23:C23"/>
    <mergeCell ref="B24:C24"/>
    <mergeCell ref="B31:F31"/>
    <mergeCell ref="B38:F38"/>
    <mergeCell ref="B39:F39"/>
    <mergeCell ref="B35:F35"/>
    <mergeCell ref="B32:F32"/>
    <mergeCell ref="B33:F33"/>
    <mergeCell ref="B34:F34"/>
    <mergeCell ref="B36:F36"/>
    <mergeCell ref="B37:F37"/>
    <mergeCell ref="A48:F48"/>
    <mergeCell ref="A56:C56"/>
    <mergeCell ref="A57:C57"/>
    <mergeCell ref="B45:C45"/>
    <mergeCell ref="A58:C58"/>
    <mergeCell ref="A55:C55"/>
    <mergeCell ref="B46:C46"/>
    <mergeCell ref="A59:C59"/>
    <mergeCell ref="A64:F64"/>
    <mergeCell ref="A60:C60"/>
    <mergeCell ref="A61:C61"/>
    <mergeCell ref="A63:C63"/>
    <mergeCell ref="A62:C62"/>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1"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tabSelected="1" zoomScaleNormal="100" workbookViewId="0">
      <selection activeCell="C4" sqref="C4:E4"/>
    </sheetView>
  </sheetViews>
  <sheetFormatPr defaultColWidth="9.109375" defaultRowHeight="13.8"/>
  <cols>
    <col min="1" max="1" width="9.88671875" style="58" customWidth="1"/>
    <col min="2" max="2" width="12.6640625" style="58" customWidth="1"/>
    <col min="3" max="4" width="44.109375" style="58" customWidth="1"/>
    <col min="5" max="5" width="12.88671875" style="58" customWidth="1"/>
    <col min="6" max="6" width="9.88671875" style="45" customWidth="1"/>
    <col min="7" max="9" width="9.109375" style="45" customWidth="1"/>
    <col min="10" max="16384" width="9.109375" style="41"/>
  </cols>
  <sheetData>
    <row r="1" spans="1:10" ht="30.75" customHeight="1">
      <c r="A1" s="36"/>
      <c r="B1" s="757"/>
      <c r="C1" s="758"/>
      <c r="D1" s="758"/>
      <c r="E1" s="759"/>
      <c r="F1" s="37"/>
      <c r="G1" s="38"/>
      <c r="H1" s="39"/>
      <c r="I1" s="39"/>
      <c r="J1" s="40"/>
    </row>
    <row r="2" spans="1:10" ht="75.75" customHeight="1">
      <c r="A2" s="760" t="s">
        <v>44</v>
      </c>
      <c r="B2" s="763" t="str">
        <f>Basic!B1</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C2" s="764"/>
      <c r="D2" s="764"/>
      <c r="E2" s="765"/>
      <c r="F2" s="766" t="str">
        <f>Basic!B3</f>
        <v>RT24</v>
      </c>
      <c r="G2" s="38"/>
      <c r="H2" s="39"/>
      <c r="I2" s="39"/>
      <c r="J2" s="40"/>
    </row>
    <row r="3" spans="1:10" ht="23.25" customHeight="1">
      <c r="A3" s="761"/>
      <c r="B3" s="769" t="str">
        <f>Basic!B5</f>
        <v>Spec. No: CC/NT/W-RT/DOM/A00/22/00726</v>
      </c>
      <c r="C3" s="770"/>
      <c r="D3" s="770"/>
      <c r="E3" s="771"/>
      <c r="F3" s="767"/>
      <c r="G3" s="38"/>
      <c r="H3" s="39"/>
      <c r="I3" s="39"/>
      <c r="J3" s="40"/>
    </row>
    <row r="4" spans="1:10" ht="39.9" customHeight="1">
      <c r="A4" s="761"/>
      <c r="B4" s="42">
        <v>1</v>
      </c>
      <c r="C4" s="772" t="s">
        <v>45</v>
      </c>
      <c r="D4" s="772"/>
      <c r="E4" s="773"/>
      <c r="F4" s="767"/>
      <c r="G4" s="43"/>
      <c r="H4" s="44" t="s">
        <v>46</v>
      </c>
      <c r="I4" s="39"/>
      <c r="J4" s="40"/>
    </row>
    <row r="5" spans="1:10" ht="30" customHeight="1">
      <c r="A5" s="761"/>
      <c r="B5" s="42">
        <v>2</v>
      </c>
      <c r="C5" s="772" t="s">
        <v>47</v>
      </c>
      <c r="D5" s="772"/>
      <c r="E5" s="773"/>
      <c r="F5" s="767"/>
      <c r="G5" s="38"/>
      <c r="H5" s="39"/>
      <c r="I5" s="39"/>
      <c r="J5" s="40"/>
    </row>
    <row r="6" spans="1:10" s="45" customFormat="1" ht="30" customHeight="1">
      <c r="A6" s="761"/>
      <c r="B6" s="42">
        <v>3</v>
      </c>
      <c r="C6" s="772" t="s">
        <v>48</v>
      </c>
      <c r="D6" s="772"/>
      <c r="E6" s="773"/>
      <c r="F6" s="767"/>
      <c r="G6" s="38"/>
      <c r="H6" s="39"/>
      <c r="I6" s="39"/>
      <c r="J6" s="39"/>
    </row>
    <row r="7" spans="1:10" ht="52.5" hidden="1" customHeight="1">
      <c r="A7" s="761"/>
      <c r="B7" s="42">
        <v>4</v>
      </c>
      <c r="C7" s="772" t="s">
        <v>49</v>
      </c>
      <c r="D7" s="772"/>
      <c r="E7" s="773"/>
      <c r="F7" s="767"/>
      <c r="G7" s="38"/>
      <c r="H7" s="39"/>
      <c r="I7" s="39"/>
      <c r="J7" s="40"/>
    </row>
    <row r="8" spans="1:10" ht="9.75" customHeight="1">
      <c r="A8" s="761"/>
      <c r="B8" s="46"/>
      <c r="C8" s="47"/>
      <c r="D8" s="47"/>
      <c r="E8" s="48"/>
      <c r="F8" s="767"/>
      <c r="G8" s="38"/>
      <c r="H8" s="39"/>
      <c r="I8" s="39"/>
      <c r="J8" s="40"/>
    </row>
    <row r="9" spans="1:10" ht="23.25" customHeight="1">
      <c r="A9" s="761"/>
      <c r="B9" s="774"/>
      <c r="C9" s="775"/>
      <c r="D9" s="775"/>
      <c r="E9" s="776"/>
      <c r="F9" s="767"/>
      <c r="G9" s="38"/>
      <c r="H9" s="39"/>
      <c r="I9" s="39"/>
      <c r="J9" s="40"/>
    </row>
    <row r="10" spans="1:10" ht="10.5" customHeight="1">
      <c r="A10" s="761"/>
      <c r="B10" s="49"/>
      <c r="C10" s="50"/>
      <c r="D10" s="50"/>
      <c r="E10" s="51"/>
      <c r="F10" s="767"/>
      <c r="G10" s="38"/>
      <c r="H10" s="39"/>
      <c r="I10" s="39"/>
      <c r="J10" s="40"/>
    </row>
    <row r="11" spans="1:10" ht="24" customHeight="1">
      <c r="A11" s="761"/>
      <c r="B11" s="777" t="s">
        <v>50</v>
      </c>
      <c r="C11" s="778"/>
      <c r="D11" s="778"/>
      <c r="E11" s="52"/>
      <c r="F11" s="767"/>
    </row>
    <row r="12" spans="1:10" ht="15.9" customHeight="1">
      <c r="A12" s="762"/>
      <c r="B12" s="779" t="s">
        <v>51</v>
      </c>
      <c r="C12" s="780"/>
      <c r="D12" s="780"/>
      <c r="E12" s="53"/>
      <c r="F12" s="768"/>
      <c r="G12" s="38"/>
      <c r="H12" s="39"/>
      <c r="I12" s="39"/>
      <c r="J12" s="40"/>
    </row>
    <row r="13" spans="1:10" ht="24" customHeight="1">
      <c r="A13" s="751"/>
      <c r="B13" s="752" t="s">
        <v>52</v>
      </c>
      <c r="C13" s="753"/>
      <c r="D13" s="753"/>
      <c r="E13" s="52"/>
      <c r="F13" s="754"/>
      <c r="G13" s="54"/>
      <c r="H13" s="54"/>
      <c r="I13" s="54"/>
      <c r="J13" s="54"/>
    </row>
    <row r="14" spans="1:10" ht="15.9" customHeight="1">
      <c r="A14" s="751"/>
      <c r="B14" s="755" t="s">
        <v>53</v>
      </c>
      <c r="C14" s="756"/>
      <c r="D14" s="756"/>
      <c r="E14" s="55"/>
      <c r="F14" s="754"/>
      <c r="G14" s="54"/>
      <c r="H14" s="54"/>
      <c r="I14" s="54"/>
      <c r="J14" s="54"/>
    </row>
    <row r="15" spans="1:10" ht="15.6">
      <c r="A15" s="56"/>
      <c r="B15" s="57"/>
      <c r="C15" s="57"/>
      <c r="D15" s="57"/>
      <c r="E15" s="57"/>
      <c r="F15" s="39"/>
      <c r="G15" s="39"/>
      <c r="H15" s="39"/>
      <c r="I15" s="39"/>
      <c r="J15" s="40"/>
    </row>
    <row r="16" spans="1:10" ht="15.6">
      <c r="A16" s="56"/>
      <c r="B16" s="47"/>
      <c r="C16" s="47"/>
      <c r="D16" s="47"/>
      <c r="E16" s="47"/>
      <c r="F16" s="39"/>
      <c r="G16" s="39"/>
      <c r="H16" s="39"/>
      <c r="I16" s="39"/>
      <c r="J16" s="40"/>
    </row>
    <row r="17" spans="1:10" ht="15.6">
      <c r="A17" s="56"/>
      <c r="B17" s="56"/>
      <c r="C17" s="56"/>
      <c r="D17" s="56"/>
      <c r="E17" s="56"/>
      <c r="F17" s="39"/>
      <c r="G17" s="39"/>
      <c r="H17" s="39"/>
      <c r="I17" s="39"/>
      <c r="J17" s="40"/>
    </row>
  </sheetData>
  <sheetProtection password="CC6F" sheet="1" selectLockedCells="1"/>
  <customSheetViews>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281</v>
      </c>
    </row>
    <row r="2" spans="1:9" ht="15.6">
      <c r="A2" s="336"/>
      <c r="B2" s="337"/>
      <c r="C2" s="338"/>
      <c r="D2" s="339"/>
      <c r="E2" s="340"/>
      <c r="F2" s="384"/>
      <c r="G2" s="384"/>
      <c r="H2" s="320"/>
      <c r="I2" s="341"/>
    </row>
    <row r="3" spans="1:9" ht="15.6">
      <c r="A3" s="309"/>
      <c r="B3" s="310" t="s">
        <v>268</v>
      </c>
      <c r="C3" s="311"/>
      <c r="D3" s="312"/>
      <c r="E3" s="342"/>
      <c r="F3" s="384"/>
      <c r="G3" s="384"/>
      <c r="H3" s="343">
        <f>SUMIF(I1:I2,"Direct",H1:H2)</f>
        <v>0</v>
      </c>
      <c r="I3" s="313"/>
    </row>
    <row r="4" spans="1:9" ht="31.2">
      <c r="A4" s="309"/>
      <c r="B4" s="310" t="s">
        <v>269</v>
      </c>
      <c r="C4" s="311"/>
      <c r="D4" s="312"/>
      <c r="E4" s="342"/>
      <c r="F4" s="384"/>
      <c r="G4" s="384"/>
      <c r="H4" s="343">
        <f>SUMIF(J1:J2,"Bought-Out",H1:H2)</f>
        <v>0</v>
      </c>
      <c r="I4" s="313"/>
    </row>
    <row r="5" spans="1:9" ht="15.6">
      <c r="A5" s="314"/>
      <c r="B5" s="310" t="s">
        <v>270</v>
      </c>
      <c r="C5" s="315"/>
      <c r="D5" s="316"/>
      <c r="E5" s="317"/>
      <c r="F5" s="317"/>
      <c r="G5" s="317"/>
      <c r="H5" s="344">
        <f>H3+H4</f>
        <v>0</v>
      </c>
      <c r="I5" s="318"/>
    </row>
    <row r="6" spans="1:9" ht="15.6">
      <c r="A6" s="319"/>
      <c r="B6" s="962" t="s">
        <v>271</v>
      </c>
      <c r="C6" s="962"/>
      <c r="D6" s="962"/>
      <c r="E6" s="320"/>
      <c r="F6" s="384"/>
      <c r="G6" s="384"/>
      <c r="H6" s="343" t="e">
        <f>'Sch-7'!#REF!</f>
        <v>#REF!</v>
      </c>
      <c r="I6" s="321"/>
    </row>
    <row r="7" spans="1:9" ht="16.2" thickBot="1">
      <c r="A7" s="322"/>
      <c r="B7" s="963" t="s">
        <v>272</v>
      </c>
      <c r="C7" s="963"/>
      <c r="D7" s="963"/>
      <c r="E7" s="323"/>
      <c r="F7" s="323"/>
      <c r="G7" s="323"/>
      <c r="H7" s="345" t="e">
        <f>H5+H6</f>
        <v>#REF!</v>
      </c>
      <c r="I7" s="324"/>
    </row>
    <row r="8" spans="1:9" ht="15.6">
      <c r="A8" s="964"/>
      <c r="B8" s="964"/>
      <c r="C8" s="964"/>
      <c r="D8" s="964"/>
      <c r="E8" s="964"/>
      <c r="F8" s="964"/>
      <c r="G8" s="964"/>
    </row>
    <row r="9" spans="1:9" ht="15.6">
      <c r="A9" s="4"/>
      <c r="B9" s="965"/>
      <c r="C9" s="965"/>
      <c r="D9" s="965"/>
      <c r="E9" s="965"/>
      <c r="F9" s="965"/>
      <c r="G9" s="965"/>
    </row>
    <row r="10" spans="1:9" ht="15.6">
      <c r="A10" s="325"/>
      <c r="B10" s="325"/>
      <c r="C10" s="325"/>
      <c r="D10" s="325"/>
      <c r="E10" s="325"/>
      <c r="F10" s="325"/>
      <c r="G10" s="325"/>
    </row>
    <row r="11" spans="1:9" ht="90" customHeight="1">
      <c r="A11" s="326" t="s">
        <v>273</v>
      </c>
      <c r="B11" s="966" t="s">
        <v>274</v>
      </c>
      <c r="C11" s="966"/>
      <c r="D11" s="966"/>
      <c r="E11" s="966"/>
      <c r="F11" s="966"/>
      <c r="G11" s="966"/>
      <c r="H11" s="966"/>
      <c r="I11" s="966"/>
    </row>
    <row r="12" spans="1:9" ht="116.25" customHeight="1">
      <c r="A12" s="327" t="s">
        <v>275</v>
      </c>
      <c r="B12" s="967" t="s">
        <v>276</v>
      </c>
      <c r="C12" s="967"/>
      <c r="D12" s="967"/>
      <c r="E12" s="967"/>
      <c r="F12" s="967"/>
      <c r="G12" s="967"/>
      <c r="H12" s="967"/>
      <c r="I12" s="967"/>
    </row>
    <row r="13" spans="1:9" ht="15.6">
      <c r="A13" s="327"/>
      <c r="B13" s="967"/>
      <c r="C13" s="967"/>
      <c r="D13" s="967"/>
      <c r="E13" s="967"/>
      <c r="F13" s="967"/>
      <c r="G13" s="967"/>
    </row>
    <row r="14" spans="1:9" ht="15.6">
      <c r="A14" s="328" t="s">
        <v>162</v>
      </c>
      <c r="B14" s="329" t="str">
        <f>'Names of Bidder'!D$27&amp;"-"&amp; 'Names of Bidder'!E$27&amp;"-" &amp;'Names of Bidder'!F$27</f>
        <v>--</v>
      </c>
      <c r="C14" s="330"/>
      <c r="D14" s="331"/>
      <c r="E14" s="3"/>
      <c r="F14" s="3"/>
      <c r="G14" s="332"/>
    </row>
    <row r="15" spans="1:9" ht="15.6">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5.6">
      <c r="A16" s="333"/>
      <c r="B16" s="334"/>
      <c r="C16" s="335"/>
      <c r="D16" s="331" t="s">
        <v>146</v>
      </c>
      <c r="E16" s="332" t="str">
        <f>IF('Names of Bidder'!D$25=0, "", 'Names of Bidder'!D$25)</f>
        <v/>
      </c>
      <c r="F16" s="335"/>
      <c r="G16" s="335"/>
    </row>
    <row r="18" spans="1:11">
      <c r="A18" t="s">
        <v>282</v>
      </c>
    </row>
    <row r="20" spans="1:11" ht="16.2" thickBot="1">
      <c r="A20" s="346"/>
      <c r="B20" s="347" t="s">
        <v>283</v>
      </c>
      <c r="C20" s="348"/>
      <c r="D20" s="347"/>
      <c r="E20" s="323"/>
      <c r="F20" s="323"/>
      <c r="G20" s="323"/>
      <c r="H20" s="349" t="s">
        <v>297</v>
      </c>
    </row>
    <row r="21" spans="1:11" ht="16.2" thickBot="1">
      <c r="A21" s="350"/>
      <c r="B21" s="968"/>
      <c r="C21" s="968"/>
      <c r="D21" s="968"/>
      <c r="E21" s="968"/>
      <c r="F21" s="968"/>
    </row>
    <row r="22" spans="1:11" ht="15.6">
      <c r="A22" s="351"/>
      <c r="B22" s="969"/>
      <c r="C22" s="969"/>
      <c r="D22" s="969"/>
      <c r="E22" s="969"/>
      <c r="F22" s="969"/>
    </row>
    <row r="23" spans="1:11" ht="15.6">
      <c r="A23" s="328" t="s">
        <v>162</v>
      </c>
      <c r="B23" s="329" t="s">
        <v>262</v>
      </c>
      <c r="C23" s="352"/>
      <c r="D23" s="331"/>
      <c r="E23" s="3"/>
      <c r="F23" s="3"/>
    </row>
    <row r="24" spans="1:11" ht="15.6">
      <c r="A24" s="328" t="s">
        <v>163</v>
      </c>
      <c r="B24" s="329" t="s">
        <v>263</v>
      </c>
      <c r="C24" s="4"/>
      <c r="D24" s="331" t="s">
        <v>144</v>
      </c>
      <c r="E24" s="332" t="s">
        <v>284</v>
      </c>
      <c r="F24" s="3"/>
    </row>
    <row r="25" spans="1:11" ht="15.6">
      <c r="A25" s="333"/>
      <c r="B25" s="334"/>
      <c r="C25" s="333"/>
      <c r="D25" s="331" t="s">
        <v>146</v>
      </c>
      <c r="E25" s="332" t="s">
        <v>285</v>
      </c>
      <c r="F25" s="335"/>
    </row>
    <row r="27" spans="1:11">
      <c r="A27" t="s">
        <v>286</v>
      </c>
    </row>
    <row r="29" spans="1:11" ht="15.6">
      <c r="A29" s="353"/>
      <c r="B29" s="354" t="s">
        <v>287</v>
      </c>
      <c r="C29" s="354"/>
      <c r="D29" s="354"/>
      <c r="E29" s="355"/>
      <c r="F29" s="355"/>
      <c r="G29" s="355"/>
      <c r="H29" s="355"/>
      <c r="I29" s="355"/>
      <c r="J29" s="355"/>
      <c r="K29" s="356" t="e">
        <f>SUM(#REF!)</f>
        <v>#REF!</v>
      </c>
    </row>
    <row r="30" spans="1:11" ht="15.6">
      <c r="A30" s="351"/>
      <c r="B30" s="970"/>
      <c r="C30" s="965"/>
      <c r="D30" s="965"/>
      <c r="E30" s="965"/>
      <c r="F30" s="965"/>
      <c r="G30" s="965"/>
    </row>
    <row r="31" spans="1:11" ht="15.6">
      <c r="A31" s="357" t="s">
        <v>162</v>
      </c>
      <c r="B31" s="358" t="s">
        <v>262</v>
      </c>
      <c r="C31" s="359"/>
      <c r="D31" s="360"/>
      <c r="E31" s="361"/>
      <c r="F31" s="361"/>
      <c r="G31" s="7"/>
    </row>
    <row r="32" spans="1:11" ht="15.6">
      <c r="A32" s="357" t="s">
        <v>163</v>
      </c>
      <c r="B32" s="358" t="s">
        <v>263</v>
      </c>
      <c r="C32" s="361"/>
      <c r="D32" s="360" t="s">
        <v>144</v>
      </c>
      <c r="E32" s="362" t="s">
        <v>284</v>
      </c>
      <c r="F32" s="361"/>
      <c r="G32" s="7"/>
    </row>
    <row r="33" spans="1:8" ht="15.6">
      <c r="A33" s="363"/>
      <c r="B33" s="364"/>
      <c r="C33" s="365"/>
      <c r="D33" s="360" t="s">
        <v>146</v>
      </c>
      <c r="E33" s="362" t="s">
        <v>285</v>
      </c>
      <c r="F33" s="365"/>
      <c r="G33" s="7"/>
    </row>
    <row r="35" spans="1:8">
      <c r="A35" t="s">
        <v>290</v>
      </c>
    </row>
    <row r="37" spans="1:8">
      <c r="A37" s="366" t="s">
        <v>162</v>
      </c>
      <c r="B37" s="367" t="s">
        <v>260</v>
      </c>
      <c r="C37" s="368"/>
      <c r="D37" s="906" t="s">
        <v>288</v>
      </c>
      <c r="E37" s="906"/>
      <c r="F37" s="971"/>
    </row>
    <row r="38" spans="1:8">
      <c r="A38" s="366" t="s">
        <v>163</v>
      </c>
      <c r="B38" s="367" t="s">
        <v>261</v>
      </c>
      <c r="C38" s="24"/>
      <c r="D38" s="906" t="s">
        <v>289</v>
      </c>
      <c r="E38" s="906"/>
      <c r="F38" s="971"/>
    </row>
    <row r="40" spans="1:8">
      <c r="A40" t="s">
        <v>291</v>
      </c>
    </row>
    <row r="42" spans="1:8" ht="15.6">
      <c r="A42" s="369"/>
      <c r="B42" s="370" t="s">
        <v>292</v>
      </c>
      <c r="C42" s="370"/>
      <c r="D42" s="370"/>
      <c r="E42" s="370"/>
      <c r="F42" s="370"/>
      <c r="G42" s="370"/>
      <c r="H42" s="371" t="s">
        <v>298</v>
      </c>
    </row>
    <row r="43" spans="1:8">
      <c r="A43" s="372"/>
      <c r="B43" s="373"/>
      <c r="C43" s="373"/>
      <c r="D43" s="373"/>
      <c r="E43" s="373"/>
      <c r="F43" s="373"/>
      <c r="G43" s="374"/>
    </row>
    <row r="44" spans="1:8">
      <c r="A44" s="373"/>
      <c r="B44" s="373"/>
      <c r="C44" s="373"/>
      <c r="D44" s="373"/>
      <c r="E44" s="373"/>
      <c r="F44" s="373"/>
      <c r="G44" s="375"/>
    </row>
    <row r="45" spans="1:8">
      <c r="A45" s="905"/>
      <c r="B45" s="905"/>
      <c r="C45" s="905"/>
      <c r="D45" s="905"/>
      <c r="E45" s="905"/>
      <c r="F45" s="905"/>
      <c r="G45" s="905"/>
    </row>
    <row r="46" spans="1:8">
      <c r="A46" s="376"/>
      <c r="B46" s="376"/>
      <c r="C46" s="906"/>
      <c r="D46" s="906"/>
      <c r="E46" s="906"/>
      <c r="F46" s="906"/>
      <c r="G46" s="906"/>
    </row>
    <row r="47" spans="1:8">
      <c r="A47" s="377" t="s">
        <v>162</v>
      </c>
      <c r="B47" s="378" t="s">
        <v>262</v>
      </c>
      <c r="C47" s="906" t="s">
        <v>293</v>
      </c>
      <c r="D47" s="906"/>
      <c r="E47" s="906"/>
      <c r="F47" s="906"/>
      <c r="G47" s="906"/>
    </row>
    <row r="48" spans="1:8">
      <c r="A48" s="377" t="s">
        <v>163</v>
      </c>
      <c r="B48" s="379" t="s">
        <v>263</v>
      </c>
      <c r="C48" s="906" t="s">
        <v>294</v>
      </c>
      <c r="D48" s="906"/>
      <c r="E48" s="906"/>
      <c r="F48" s="906"/>
      <c r="G48" s="906"/>
    </row>
    <row r="49" spans="1:7">
      <c r="A49" s="23"/>
      <c r="B49" s="22"/>
      <c r="C49" s="906"/>
      <c r="D49" s="906"/>
      <c r="E49" s="906"/>
      <c r="F49" s="906"/>
      <c r="G49" s="906"/>
    </row>
    <row r="50" spans="1:7">
      <c r="A50" s="23"/>
      <c r="B50" s="22"/>
      <c r="C50" s="380"/>
      <c r="D50" s="380"/>
      <c r="E50" s="380"/>
      <c r="F50" s="380"/>
      <c r="G50" s="380"/>
    </row>
    <row r="51" spans="1:7">
      <c r="A51" s="381" t="s">
        <v>295</v>
      </c>
      <c r="B51" s="908" t="s">
        <v>296</v>
      </c>
      <c r="C51" s="908"/>
      <c r="D51" s="908"/>
      <c r="E51" s="908"/>
      <c r="F51" s="908"/>
      <c r="G51" s="382"/>
    </row>
    <row r="52" spans="1:7">
      <c r="A52" s="383"/>
      <c r="B52" s="26"/>
      <c r="C52" s="26"/>
      <c r="D52" s="26"/>
      <c r="E52" s="26"/>
      <c r="F52" s="26"/>
      <c r="G52" s="26"/>
    </row>
    <row r="60" spans="1:7">
      <c r="B60" t="s">
        <v>264</v>
      </c>
    </row>
    <row r="61" spans="1:7">
      <c r="B61" t="s">
        <v>265</v>
      </c>
    </row>
  </sheetData>
  <customSheetViews>
    <customSheetView guid="{F8A50AE1-259E-429D-A506-38EB64D134EF}" state="hidden">
      <selection activeCell="H42" sqref="H42"/>
      <pageMargins left="0.7" right="0.7" top="0.75" bottom="0.75" header="0.3" footer="0.3"/>
      <pageSetup orientation="portrait" r:id="rId1"/>
    </customSheetView>
    <customSheetView guid="{C44C314C-9BEB-403F-A933-6B948E5C1171}" state="hidden">
      <selection activeCell="H42" sqref="H42"/>
      <pageMargins left="0.7" right="0.7" top="0.75" bottom="0.75" header="0.3" footer="0.3"/>
      <pageSetup orientation="portrait" r:id="rId2"/>
    </customSheetView>
    <customSheetView guid="{AD0333DF-5B33-49B5-B063-72505D20EFE4}" state="hidden">
      <selection activeCell="H42" sqref="H42"/>
      <pageMargins left="0.7" right="0.7" top="0.75" bottom="0.75" header="0.3" footer="0.3"/>
      <pageSetup orientation="portrait" r:id="rId3"/>
    </customSheetView>
    <customSheetView guid="{BE68641D-0C1E-4F8D-890A-A660C199187C}" state="hidden">
      <selection activeCell="H42" sqref="H42"/>
      <pageMargins left="0.7" right="0.7" top="0.75" bottom="0.75" header="0.3" footer="0.3"/>
      <pageSetup orientation="portrait" r:id="rId4"/>
    </customSheetView>
    <customSheetView guid="{F658ED72-5E54-4C5B-BB2C-7A2962080984}" state="hidden">
      <selection activeCell="H42" sqref="H42"/>
      <pageMargins left="0.7" right="0.7" top="0.75" bottom="0.75" header="0.3" footer="0.3"/>
      <pageSetup orientation="portrait" r:id="rId5"/>
    </customSheetView>
    <customSheetView guid="{DEF6DCE2-4A74-4BE5-B5D5-8143DC3F770A}" state="hidden">
      <selection activeCell="H42" sqref="H42"/>
      <pageMargins left="0.7" right="0.7" top="0.75" bottom="0.75" header="0.3" footer="0.3"/>
      <pageSetup orientation="portrait" r:id="rId6"/>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112647D2-7580-431B-99B5-DD512E2AD50E}" state="hidden">
      <selection activeCell="H42" sqref="H42"/>
      <pageMargins left="0.7" right="0.7" top="0.75" bottom="0.75" header="0.3" footer="0.3"/>
      <pageSetup orientation="portrait" r:id="rId7"/>
    </customSheetView>
    <customSheetView guid="{BDFA0401-0547-4E51-8BD2-84F711B066CA}" state="hidden">
      <selection activeCell="H42" sqref="H42"/>
      <pageMargins left="0.7" right="0.7" top="0.75" bottom="0.75" header="0.3" footer="0.3"/>
      <pageSetup orientation="portrait" r:id="rId8"/>
    </customSheetView>
    <customSheetView guid="{84F40905-A9D3-43A5-987A-8A757D486A94}" state="hidden">
      <selection activeCell="H42" sqref="H42"/>
      <pageMargins left="0.7" right="0.7" top="0.75" bottom="0.75" header="0.3" footer="0.3"/>
      <pageSetup orientation="portrait" r:id="rId9"/>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F8A50AE1-259E-429D-A506-38EB64D134EF}" state="hidden">
      <pageMargins left="0.7" right="0.7" top="0.75" bottom="0.75" header="0.3" footer="0.3"/>
      <pageSetup orientation="portrait" r:id="rId1"/>
    </customSheetView>
    <customSheetView guid="{C44C314C-9BEB-403F-A933-6B948E5C1171}" state="hidden">
      <pageMargins left="0.7" right="0.7" top="0.75" bottom="0.75" header="0.3" footer="0.3"/>
      <pageSetup orientation="portrait" r:id="rId2"/>
    </customSheetView>
    <customSheetView guid="{AD0333DF-5B33-49B5-B063-72505D20EFE4}" state="hidden">
      <pageMargins left="0.7" right="0.7" top="0.75" bottom="0.75" header="0.3" footer="0.3"/>
      <pageSetup orientation="portrait" r:id="rId3"/>
    </customSheetView>
    <customSheetView guid="{BE68641D-0C1E-4F8D-890A-A660C199187C}" state="hidden">
      <pageMargins left="0.7" right="0.7" top="0.75" bottom="0.75" header="0.3" footer="0.3"/>
      <pageSetup orientation="portrait" r:id="rId4"/>
    </customSheetView>
    <customSheetView guid="{F658ED72-5E54-4C5B-BB2C-7A2962080984}" state="hidden">
      <pageMargins left="0.7" right="0.7" top="0.75" bottom="0.75" header="0.3" footer="0.3"/>
      <pageSetup orientation="portrait" r:id="rId5"/>
    </customSheetView>
    <customSheetView guid="{DEF6DCE2-4A74-4BE5-B5D5-8143DC3F770A}" state="hidden">
      <pageMargins left="0.7" right="0.7" top="0.75" bottom="0.75" header="0.3" footer="0.3"/>
      <pageSetup orientation="portrait" r:id="rId6"/>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112647D2-7580-431B-99B5-DD512E2AD50E}" state="hidden">
      <pageMargins left="0.7" right="0.7" top="0.75" bottom="0.75" header="0.3" footer="0.3"/>
      <pageSetup orientation="portrait" r:id="rId7"/>
    </customSheetView>
    <customSheetView guid="{BDFA0401-0547-4E51-8BD2-84F711B066CA}" state="hidden">
      <pageMargins left="0.7" right="0.7" top="0.75" bottom="0.75" header="0.3" footer="0.3"/>
      <pageSetup orientation="portrait" r:id="rId8"/>
    </customSheetView>
    <customSheetView guid="{84F40905-A9D3-43A5-987A-8A757D486A94}" state="hidden">
      <pageMargins left="0.7" right="0.7" top="0.75" bottom="0.75" header="0.3" footer="0.3"/>
      <pageSetup orientation="portrait" r:id="rId9"/>
    </customSheetView>
  </customSheetViews>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662" hidden="1" customWidth="1"/>
    <col min="2" max="2" width="13.33203125" style="662" hidden="1" customWidth="1"/>
    <col min="3" max="3" width="0" style="662" hidden="1" customWidth="1"/>
    <col min="4" max="4" width="10.33203125" style="662" hidden="1" customWidth="1"/>
    <col min="5" max="5" width="3.44140625" style="662" hidden="1" customWidth="1"/>
    <col min="6" max="6" width="5.5546875" style="662" hidden="1" customWidth="1"/>
    <col min="7" max="7" width="11.44140625" style="662" hidden="1" customWidth="1"/>
    <col min="8" max="8" width="0" style="662" hidden="1" customWidth="1"/>
    <col min="9" max="9" width="10" style="662" hidden="1" customWidth="1"/>
    <col min="10" max="10" width="3.33203125" style="662" hidden="1" customWidth="1"/>
    <col min="11" max="11" width="5" style="662" hidden="1" customWidth="1"/>
    <col min="12" max="12" width="11.33203125" style="662" hidden="1" customWidth="1"/>
    <col min="13" max="13" width="0" style="662" hidden="1" customWidth="1"/>
    <col min="14" max="14" width="10.33203125" style="662" hidden="1" customWidth="1"/>
    <col min="15" max="15" width="3.6640625" style="662" hidden="1" customWidth="1"/>
    <col min="16" max="16" width="6.44140625" style="662" customWidth="1"/>
    <col min="17" max="17" width="14.88671875" style="662" customWidth="1"/>
    <col min="18" max="18" width="9.109375" style="662" customWidth="1"/>
    <col min="19" max="19" width="12" style="662" customWidth="1"/>
    <col min="20" max="20" width="3.33203125" style="662" hidden="1" customWidth="1"/>
    <col min="21" max="21" width="6.109375" style="662" hidden="1" customWidth="1"/>
    <col min="22" max="22" width="8.5546875" style="662" hidden="1" customWidth="1"/>
    <col min="23" max="23" width="8.44140625" style="662" hidden="1" customWidth="1"/>
    <col min="24" max="24" width="8.88671875" style="662" hidden="1" customWidth="1"/>
    <col min="25" max="116" width="0" style="662" hidden="1" customWidth="1"/>
    <col min="117" max="16384" width="9.109375" style="662"/>
  </cols>
  <sheetData>
    <row r="1" spans="1:27" ht="13.8" thickBot="1">
      <c r="A1" s="983" t="e">
        <v>#REF!</v>
      </c>
      <c r="B1" s="984"/>
      <c r="C1" s="642"/>
      <c r="D1" s="643"/>
      <c r="E1" s="667"/>
      <c r="F1" s="983">
        <v>0</v>
      </c>
      <c r="G1" s="984"/>
      <c r="H1" s="642"/>
      <c r="I1" s="643"/>
      <c r="K1" s="983" t="e">
        <v>#REF!</v>
      </c>
      <c r="L1" s="984"/>
      <c r="M1" s="642"/>
      <c r="N1" s="643"/>
      <c r="P1" s="983">
        <f>'Sch-6 (After Discount)'!D28</f>
        <v>0</v>
      </c>
      <c r="Q1" s="984"/>
      <c r="R1" s="642"/>
      <c r="S1" s="643"/>
      <c r="U1" s="666" t="e">
        <v>#REF!</v>
      </c>
    </row>
    <row r="2" spans="1:27">
      <c r="A2" s="978"/>
      <c r="B2" s="979"/>
      <c r="C2" s="642"/>
      <c r="D2" s="643"/>
      <c r="E2" s="667"/>
      <c r="F2" s="644"/>
      <c r="G2" s="642"/>
      <c r="H2" s="642"/>
      <c r="I2" s="643"/>
      <c r="K2" s="644"/>
      <c r="L2" s="642"/>
      <c r="M2" s="642"/>
      <c r="N2" s="643"/>
      <c r="P2" s="644"/>
      <c r="Q2" s="642"/>
      <c r="R2" s="642"/>
      <c r="S2" s="643"/>
      <c r="U2" s="666" t="e">
        <v>#REF!</v>
      </c>
    </row>
    <row r="3" spans="1:27">
      <c r="A3" s="644"/>
      <c r="B3" s="645"/>
      <c r="C3" s="645"/>
      <c r="D3" s="646"/>
      <c r="E3" s="668"/>
      <c r="F3" s="644"/>
      <c r="G3" s="645"/>
      <c r="H3" s="645"/>
      <c r="I3" s="646"/>
      <c r="K3" s="644"/>
      <c r="L3" s="645"/>
      <c r="M3" s="645"/>
      <c r="N3" s="646"/>
      <c r="P3" s="644"/>
      <c r="Q3" s="645"/>
      <c r="R3" s="645"/>
      <c r="S3" s="646"/>
      <c r="U3" s="666" t="s">
        <v>464</v>
      </c>
    </row>
    <row r="4" spans="1:27" ht="66.75" customHeight="1" thickBot="1">
      <c r="A4" s="980" t="e">
        <f>IF(OR((A1&gt;9999999999),(A1&lt;0)),"Invalid Entry - More than 1000 crore OR -ve value",IF(A1=0, "",+CONCATENATE(#REF!,B11,D11,B10,D10,B9,D9,B8,D8,B7,D7,B6," Only")))</f>
        <v>#REF!</v>
      </c>
      <c r="B4" s="981"/>
      <c r="C4" s="981"/>
      <c r="D4" s="982"/>
      <c r="E4" s="669"/>
      <c r="F4" s="980" t="str">
        <f>IF(OR((F1&gt;9999999999),(F1&lt;0)),"Invalid Entry - More than 1000 crore OR -ve value",IF(F1=0, "",+CONCATENATE(U1, G11,I11,G10,I10,G9,I9,G8,I8,G7,I7,G6," Only")))</f>
        <v/>
      </c>
      <c r="G4" s="981"/>
      <c r="H4" s="981"/>
      <c r="I4" s="982"/>
      <c r="J4" s="669"/>
      <c r="K4" s="980" t="e">
        <f>IF(OR((K1&gt;9999999999),(K1&lt;0)),"Invalid Entry - More than 1000 crore OR -ve value",IF(K1=0, "",+CONCATENATE(U2, L11,N11,L10,N10,L9,N9,L8,N8,L7,N7,L6," Only")))</f>
        <v>#REF!</v>
      </c>
      <c r="L4" s="981"/>
      <c r="M4" s="981"/>
      <c r="N4" s="982"/>
      <c r="P4" s="980" t="str">
        <f>IF(OR((P1&gt;9999999999),(P1&lt;0)),"Invalid Entry - More than 1000 crore OR -ve value",IF(P1=0, "",+CONCATENATE(U3, Q11,S11,Q10,S10,Q9,S9,Q8,S8,Q7,S7,Q6," Only")))</f>
        <v/>
      </c>
      <c r="Q4" s="981"/>
      <c r="R4" s="981"/>
      <c r="S4" s="982"/>
      <c r="U4" s="972" t="e">
        <f>VLOOKUP(1,T28:Y43,6,FALSE)</f>
        <v>#N/A</v>
      </c>
      <c r="V4" s="972"/>
      <c r="W4" s="972"/>
      <c r="X4" s="972"/>
      <c r="Y4" s="972"/>
      <c r="Z4" s="972"/>
      <c r="AA4" s="972"/>
    </row>
    <row r="5" spans="1:27" ht="18.75" customHeight="1" thickBot="1">
      <c r="A5" s="644"/>
      <c r="B5" s="645"/>
      <c r="C5" s="645"/>
      <c r="D5" s="646"/>
      <c r="E5" s="668"/>
      <c r="F5" s="644"/>
      <c r="G5" s="645"/>
      <c r="H5" s="645"/>
      <c r="I5" s="646"/>
      <c r="K5" s="644"/>
      <c r="L5" s="645"/>
      <c r="M5" s="645"/>
      <c r="N5" s="646"/>
      <c r="P5" s="644"/>
      <c r="Q5" s="645"/>
      <c r="R5" s="645"/>
      <c r="S5" s="646"/>
      <c r="U5" s="973" t="e">
        <f>VLOOKUP(1,T8:Y23,6,FALSE)</f>
        <v>#N/A</v>
      </c>
      <c r="V5" s="974"/>
      <c r="W5" s="974"/>
      <c r="X5" s="974"/>
      <c r="Y5" s="974"/>
      <c r="Z5" s="974"/>
      <c r="AA5" s="975"/>
    </row>
    <row r="6" spans="1:27">
      <c r="A6" s="647" t="e">
        <f>-INT(A1/100)*100+ROUND(A1,0)</f>
        <v>#REF!</v>
      </c>
      <c r="B6" s="645" t="e">
        <f t="shared" ref="B6:B11" si="0">IF(A6=0,"",LOOKUP(A6,$A$13:$A$112,$B$13:$B$112))</f>
        <v>#REF!</v>
      </c>
      <c r="C6" s="645"/>
      <c r="D6" s="648"/>
      <c r="E6" s="668"/>
      <c r="F6" s="647">
        <f>-INT(F1/100)*100+ROUND(F1,0)</f>
        <v>0</v>
      </c>
      <c r="G6" s="645" t="str">
        <f t="shared" ref="G6:G11" si="1">IF(F6=0,"",LOOKUP(F6,$A$13:$A$112,$B$13:$B$112))</f>
        <v/>
      </c>
      <c r="H6" s="645"/>
      <c r="I6" s="648"/>
      <c r="K6" s="647" t="e">
        <f>-INT(K1/100)*100+ROUND(K1,0)</f>
        <v>#REF!</v>
      </c>
      <c r="L6" s="645" t="e">
        <f t="shared" ref="L6:L11" si="2">IF(K6=0,"",LOOKUP(K6,$A$13:$A$112,$B$13:$B$112))</f>
        <v>#REF!</v>
      </c>
      <c r="M6" s="645"/>
      <c r="N6" s="648"/>
      <c r="P6" s="647">
        <f>-INT(P1/100)*100+ROUND(P1,0)</f>
        <v>0</v>
      </c>
      <c r="Q6" s="645" t="str">
        <f t="shared" ref="Q6:Q11" si="3">IF(P6=0,"",LOOKUP(P6,$A$13:$A$112,$B$13:$B$112))</f>
        <v/>
      </c>
      <c r="R6" s="645"/>
      <c r="S6" s="648"/>
    </row>
    <row r="7" spans="1:27">
      <c r="A7" s="647" t="e">
        <f>-INT(A1/1000)*10+INT(A1/100)</f>
        <v>#REF!</v>
      </c>
      <c r="B7" s="645" t="e">
        <f t="shared" si="0"/>
        <v>#REF!</v>
      </c>
      <c r="C7" s="645"/>
      <c r="D7" s="648" t="e">
        <f>+IF(B7="",""," Hundred ")</f>
        <v>#REF!</v>
      </c>
      <c r="E7" s="668"/>
      <c r="F7" s="647">
        <f>-INT(F1/1000)*10+INT(F1/100)</f>
        <v>0</v>
      </c>
      <c r="G7" s="645" t="str">
        <f t="shared" si="1"/>
        <v/>
      </c>
      <c r="H7" s="645"/>
      <c r="I7" s="648" t="str">
        <f>+IF(G7="",""," Hundred ")</f>
        <v/>
      </c>
      <c r="K7" s="647" t="e">
        <f>-INT(K1/1000)*10+INT(K1/100)</f>
        <v>#REF!</v>
      </c>
      <c r="L7" s="645" t="e">
        <f t="shared" si="2"/>
        <v>#REF!</v>
      </c>
      <c r="M7" s="645"/>
      <c r="N7" s="648" t="e">
        <f>+IF(L7="",""," Hundred ")</f>
        <v>#REF!</v>
      </c>
      <c r="P7" s="647">
        <f>-INT(P1/1000)*10+INT(P1/100)</f>
        <v>0</v>
      </c>
      <c r="Q7" s="645" t="str">
        <f t="shared" si="3"/>
        <v/>
      </c>
      <c r="R7" s="645"/>
      <c r="S7" s="648" t="str">
        <f>+IF(Q7="",""," Hundred ")</f>
        <v/>
      </c>
    </row>
    <row r="8" spans="1:27">
      <c r="A8" s="647" t="e">
        <f>-INT(A1/100000)*100+INT(A1/1000)</f>
        <v>#REF!</v>
      </c>
      <c r="B8" s="645" t="e">
        <f t="shared" si="0"/>
        <v>#REF!</v>
      </c>
      <c r="C8" s="645"/>
      <c r="D8" s="648" t="e">
        <f>IF((B8=""),IF(C8="",""," Thousand ")," Thousand ")</f>
        <v>#REF!</v>
      </c>
      <c r="E8" s="668"/>
      <c r="F8" s="647">
        <f>-INT(F1/100000)*100+INT(F1/1000)</f>
        <v>0</v>
      </c>
      <c r="G8" s="645" t="str">
        <f t="shared" si="1"/>
        <v/>
      </c>
      <c r="H8" s="645"/>
      <c r="I8" s="648" t="str">
        <f>IF((G8=""),IF(H8="",""," Thousand ")," Thousand ")</f>
        <v/>
      </c>
      <c r="K8" s="647" t="e">
        <f>-INT(K1/100000)*100+INT(K1/1000)</f>
        <v>#REF!</v>
      </c>
      <c r="L8" s="645" t="e">
        <f t="shared" si="2"/>
        <v>#REF!</v>
      </c>
      <c r="M8" s="645"/>
      <c r="N8" s="648" t="e">
        <f>IF((L8=""),IF(M8="",""," Thousand ")," Thousand ")</f>
        <v>#REF!</v>
      </c>
      <c r="P8" s="647">
        <f>-INT(P1/100000)*100+INT(P1/1000)</f>
        <v>0</v>
      </c>
      <c r="Q8" s="645" t="str">
        <f t="shared" si="3"/>
        <v/>
      </c>
      <c r="R8" s="645"/>
      <c r="S8" s="648" t="str">
        <f>IF((Q8=""),IF(R8="",""," Thousand ")," Thousand ")</f>
        <v/>
      </c>
      <c r="T8" s="670" t="e">
        <f>IF(Y8="",0, 1)</f>
        <v>#REF!</v>
      </c>
      <c r="U8" s="662">
        <v>0</v>
      </c>
      <c r="V8" s="662">
        <v>0</v>
      </c>
      <c r="W8" s="662">
        <v>0</v>
      </c>
      <c r="X8" s="662">
        <v>0</v>
      </c>
      <c r="Y8" s="671" t="e">
        <f>IF(AND($A$1=0,$F$1=0,$K$1=0,$P$1=0)," Zero only", "")</f>
        <v>#REF!</v>
      </c>
      <c r="AA8" s="662" t="s">
        <v>465</v>
      </c>
    </row>
    <row r="9" spans="1:27">
      <c r="A9" s="647" t="e">
        <f>-INT(A1/10000000)*100+INT(A1/100000)</f>
        <v>#REF!</v>
      </c>
      <c r="B9" s="645" t="e">
        <f t="shared" si="0"/>
        <v>#REF!</v>
      </c>
      <c r="C9" s="645"/>
      <c r="D9" s="648" t="e">
        <f>IF((B9=""),IF(C9="",""," Lac ")," Lac ")</f>
        <v>#REF!</v>
      </c>
      <c r="E9" s="668"/>
      <c r="F9" s="647">
        <f>-INT(F1/10000000)*100+INT(F1/100000)</f>
        <v>0</v>
      </c>
      <c r="G9" s="645" t="str">
        <f t="shared" si="1"/>
        <v/>
      </c>
      <c r="H9" s="645"/>
      <c r="I9" s="648" t="str">
        <f>IF((G9=""),IF(H9="",""," Lac ")," Lac ")</f>
        <v/>
      </c>
      <c r="K9" s="647" t="e">
        <f>-INT(K1/10000000)*100+INT(K1/100000)</f>
        <v>#REF!</v>
      </c>
      <c r="L9" s="645" t="e">
        <f t="shared" si="2"/>
        <v>#REF!</v>
      </c>
      <c r="M9" s="645"/>
      <c r="N9" s="648" t="e">
        <f>IF((L9=""),IF(M9="",""," Lac ")," Lac ")</f>
        <v>#REF!</v>
      </c>
      <c r="P9" s="647">
        <f>-INT(P1/10000000)*100+INT(P1/100000)</f>
        <v>0</v>
      </c>
      <c r="Q9" s="645" t="str">
        <f t="shared" si="3"/>
        <v/>
      </c>
      <c r="R9" s="645"/>
      <c r="S9" s="648" t="str">
        <f>IF((Q9=""),IF(R9="",""," Lac ")," Lac ")</f>
        <v/>
      </c>
      <c r="T9" s="670" t="e">
        <f t="shared" ref="T9:T23" si="4">IF(Y9="",0, 1)</f>
        <v>#REF!</v>
      </c>
      <c r="U9" s="662">
        <v>0</v>
      </c>
      <c r="V9" s="662">
        <v>0</v>
      </c>
      <c r="W9" s="662">
        <v>0</v>
      </c>
      <c r="X9" s="662">
        <v>1</v>
      </c>
      <c r="Y9" s="672" t="e">
        <f>IF(AND($A$1=0,$F$1=0,$K$1=0,$P$1&gt;0),$P$4, "")</f>
        <v>#REF!</v>
      </c>
    </row>
    <row r="10" spans="1:27">
      <c r="A10" s="647" t="e">
        <f>-INT(A1/1000000000)*100+INT(A1/10000000)</f>
        <v>#REF!</v>
      </c>
      <c r="B10" s="649" t="e">
        <f t="shared" si="0"/>
        <v>#REF!</v>
      </c>
      <c r="C10" s="645"/>
      <c r="D10" s="648" t="e">
        <f>IF((B10=""),IF(C10="",""," Crore ")," Crore ")</f>
        <v>#REF!</v>
      </c>
      <c r="E10" s="668"/>
      <c r="F10" s="647">
        <f>-INT(F1/1000000000)*100+INT(F1/10000000)</f>
        <v>0</v>
      </c>
      <c r="G10" s="649" t="str">
        <f t="shared" si="1"/>
        <v/>
      </c>
      <c r="H10" s="645"/>
      <c r="I10" s="648" t="str">
        <f>IF((G10=""),IF(H10="",""," Crore ")," Crore ")</f>
        <v/>
      </c>
      <c r="K10" s="647" t="e">
        <f>-INT(K1/1000000000)*100+INT(K1/10000000)</f>
        <v>#REF!</v>
      </c>
      <c r="L10" s="649" t="e">
        <f t="shared" si="2"/>
        <v>#REF!</v>
      </c>
      <c r="M10" s="645"/>
      <c r="N10" s="648" t="e">
        <f>IF((L10=""),IF(M10="",""," Crore ")," Crore ")</f>
        <v>#REF!</v>
      </c>
      <c r="P10" s="647">
        <f>-INT(P1/1000000000)*100+INT(P1/10000000)</f>
        <v>0</v>
      </c>
      <c r="Q10" s="649" t="str">
        <f t="shared" si="3"/>
        <v/>
      </c>
      <c r="R10" s="645"/>
      <c r="S10" s="648" t="str">
        <f>IF((Q10=""),IF(R10="",""," Crore ")," Crore ")</f>
        <v/>
      </c>
      <c r="T10" s="670" t="e">
        <f t="shared" si="4"/>
        <v>#REF!</v>
      </c>
      <c r="U10" s="662">
        <v>0</v>
      </c>
      <c r="V10" s="662">
        <v>0</v>
      </c>
      <c r="W10" s="662">
        <v>1</v>
      </c>
      <c r="X10" s="662">
        <v>0</v>
      </c>
      <c r="Y10" s="672" t="e">
        <f>IF(AND($A$1=0,$F$1=0,$K$1&gt;0,$P$1=0),$K$4, "")</f>
        <v>#REF!</v>
      </c>
    </row>
    <row r="11" spans="1:27">
      <c r="A11" s="650" t="e">
        <f>-INT(A1/10000000000)*1000+INT(A1/1000000000)</f>
        <v>#REF!</v>
      </c>
      <c r="B11" s="649" t="e">
        <f t="shared" si="0"/>
        <v>#REF!</v>
      </c>
      <c r="C11" s="645"/>
      <c r="D11" s="648" t="e">
        <f>IF((B11=""),IF(C11="",""," Hundred ")," Hundred ")</f>
        <v>#REF!</v>
      </c>
      <c r="E11" s="668"/>
      <c r="F11" s="650">
        <f>-INT(F1/10000000000)*1000+INT(F1/1000000000)</f>
        <v>0</v>
      </c>
      <c r="G11" s="649" t="str">
        <f t="shared" si="1"/>
        <v/>
      </c>
      <c r="H11" s="645"/>
      <c r="I11" s="648" t="str">
        <f>IF((G11=""),IF(H11="",""," Hundred ")," Hundred ")</f>
        <v/>
      </c>
      <c r="K11" s="650" t="e">
        <f>-INT(K1/10000000000)*1000+INT(K1/1000000000)</f>
        <v>#REF!</v>
      </c>
      <c r="L11" s="649" t="e">
        <f t="shared" si="2"/>
        <v>#REF!</v>
      </c>
      <c r="M11" s="645"/>
      <c r="N11" s="648" t="e">
        <f>IF((L11=""),IF(M11="",""," Hundred ")," Hundred ")</f>
        <v>#REF!</v>
      </c>
      <c r="P11" s="650">
        <f>-INT(P1/10000000000)*1000+INT(P1/1000000000)</f>
        <v>0</v>
      </c>
      <c r="Q11" s="649" t="str">
        <f t="shared" si="3"/>
        <v/>
      </c>
      <c r="R11" s="645"/>
      <c r="S11" s="648" t="str">
        <f>IF((Q11=""),IF(R11="",""," Hundred ")," Hundred ")</f>
        <v/>
      </c>
      <c r="T11" s="670" t="e">
        <f t="shared" si="4"/>
        <v>#REF!</v>
      </c>
      <c r="U11" s="662">
        <v>0</v>
      </c>
      <c r="V11" s="662">
        <v>0</v>
      </c>
      <c r="W11" s="662">
        <v>1</v>
      </c>
      <c r="X11" s="662">
        <v>1</v>
      </c>
      <c r="Y11" s="672" t="e">
        <f>IF(AND($A$1=0,$F$1=0,$K$1&gt;0,$P$1&gt;0),$K$4&amp;$AA$8&amp;$P$4, "")</f>
        <v>#REF!</v>
      </c>
    </row>
    <row r="12" spans="1:27">
      <c r="A12" s="651"/>
      <c r="B12" s="645"/>
      <c r="C12" s="645"/>
      <c r="D12" s="646"/>
      <c r="E12" s="668"/>
      <c r="F12" s="651"/>
      <c r="G12" s="645"/>
      <c r="H12" s="645"/>
      <c r="I12" s="646"/>
      <c r="K12" s="651"/>
      <c r="L12" s="645"/>
      <c r="M12" s="645"/>
      <c r="N12" s="646"/>
      <c r="P12" s="651"/>
      <c r="Q12" s="645"/>
      <c r="R12" s="645"/>
      <c r="S12" s="646"/>
      <c r="T12" s="670" t="e">
        <f t="shared" si="4"/>
        <v>#REF!</v>
      </c>
      <c r="U12" s="662">
        <v>0</v>
      </c>
      <c r="V12" s="662">
        <v>1</v>
      </c>
      <c r="W12" s="662">
        <v>0</v>
      </c>
      <c r="X12" s="662">
        <v>0</v>
      </c>
      <c r="Y12" s="672" t="e">
        <f>IF(AND($A$1=0,$F$1&gt;0,$K$1=0,$P$1=0),$F$4, "")</f>
        <v>#REF!</v>
      </c>
    </row>
    <row r="13" spans="1:27">
      <c r="A13" s="652">
        <v>1</v>
      </c>
      <c r="B13" s="653" t="s">
        <v>364</v>
      </c>
      <c r="C13" s="645"/>
      <c r="D13" s="646"/>
      <c r="E13" s="668"/>
      <c r="F13" s="652">
        <v>1</v>
      </c>
      <c r="G13" s="653" t="s">
        <v>364</v>
      </c>
      <c r="H13" s="645"/>
      <c r="I13" s="646"/>
      <c r="K13" s="652">
        <v>1</v>
      </c>
      <c r="L13" s="653" t="s">
        <v>364</v>
      </c>
      <c r="M13" s="645"/>
      <c r="N13" s="646"/>
      <c r="P13" s="652">
        <v>1</v>
      </c>
      <c r="Q13" s="653" t="s">
        <v>364</v>
      </c>
      <c r="R13" s="645"/>
      <c r="S13" s="646"/>
      <c r="T13" s="670" t="e">
        <f t="shared" si="4"/>
        <v>#REF!</v>
      </c>
      <c r="U13" s="662">
        <v>0</v>
      </c>
      <c r="V13" s="662">
        <v>1</v>
      </c>
      <c r="W13" s="662">
        <v>0</v>
      </c>
      <c r="X13" s="662">
        <v>1</v>
      </c>
      <c r="Y13" s="672" t="e">
        <f>IF(AND($A$1=0,$F$1&gt;0,$K$1=0,$P$1&gt;0),$F$4&amp;$AA$8&amp;$P$4, "")</f>
        <v>#REF!</v>
      </c>
    </row>
    <row r="14" spans="1:27">
      <c r="A14" s="652">
        <v>2</v>
      </c>
      <c r="B14" s="653" t="s">
        <v>365</v>
      </c>
      <c r="C14" s="645"/>
      <c r="D14" s="646"/>
      <c r="E14" s="668"/>
      <c r="F14" s="652">
        <v>2</v>
      </c>
      <c r="G14" s="653" t="s">
        <v>365</v>
      </c>
      <c r="H14" s="645"/>
      <c r="I14" s="646"/>
      <c r="K14" s="652">
        <v>2</v>
      </c>
      <c r="L14" s="653" t="s">
        <v>365</v>
      </c>
      <c r="M14" s="645"/>
      <c r="N14" s="646"/>
      <c r="P14" s="652">
        <v>2</v>
      </c>
      <c r="Q14" s="653" t="s">
        <v>365</v>
      </c>
      <c r="R14" s="645"/>
      <c r="S14" s="646"/>
      <c r="T14" s="670" t="e">
        <f t="shared" si="4"/>
        <v>#REF!</v>
      </c>
      <c r="U14" s="662">
        <v>0</v>
      </c>
      <c r="V14" s="662">
        <v>1</v>
      </c>
      <c r="W14" s="662">
        <v>1</v>
      </c>
      <c r="X14" s="662">
        <v>0</v>
      </c>
      <c r="Y14" s="672" t="e">
        <f>IF(AND($A$1=0,$F$1&gt;0,$K$1&gt;0,$P$1=0),$F$4&amp;$AA$8&amp;$K$4, "")</f>
        <v>#REF!</v>
      </c>
    </row>
    <row r="15" spans="1:27">
      <c r="A15" s="652">
        <v>3</v>
      </c>
      <c r="B15" s="653" t="s">
        <v>366</v>
      </c>
      <c r="C15" s="645"/>
      <c r="D15" s="646"/>
      <c r="E15" s="668"/>
      <c r="F15" s="652">
        <v>3</v>
      </c>
      <c r="G15" s="653" t="s">
        <v>366</v>
      </c>
      <c r="H15" s="645"/>
      <c r="I15" s="646"/>
      <c r="K15" s="652">
        <v>3</v>
      </c>
      <c r="L15" s="653" t="s">
        <v>366</v>
      </c>
      <c r="M15" s="645"/>
      <c r="N15" s="646"/>
      <c r="P15" s="652">
        <v>3</v>
      </c>
      <c r="Q15" s="653" t="s">
        <v>366</v>
      </c>
      <c r="R15" s="645"/>
      <c r="S15" s="646"/>
      <c r="T15" s="670" t="e">
        <f t="shared" si="4"/>
        <v>#REF!</v>
      </c>
      <c r="U15" s="662">
        <v>0</v>
      </c>
      <c r="V15" s="662">
        <v>1</v>
      </c>
      <c r="W15" s="662">
        <v>1</v>
      </c>
      <c r="X15" s="662">
        <v>1</v>
      </c>
      <c r="Y15" s="673" t="e">
        <f>IF(AND($A$1=0,$F$1&gt;0,$K$1&gt;0,$P$1&gt;0),$F$4&amp;$AA$8&amp;$K$4&amp;$AA$8&amp;$P$4, "")</f>
        <v>#REF!</v>
      </c>
    </row>
    <row r="16" spans="1:27">
      <c r="A16" s="652">
        <v>4</v>
      </c>
      <c r="B16" s="653" t="s">
        <v>367</v>
      </c>
      <c r="C16" s="645"/>
      <c r="D16" s="646"/>
      <c r="E16" s="668"/>
      <c r="F16" s="652">
        <v>4</v>
      </c>
      <c r="G16" s="653" t="s">
        <v>367</v>
      </c>
      <c r="H16" s="645"/>
      <c r="I16" s="646"/>
      <c r="K16" s="652">
        <v>4</v>
      </c>
      <c r="L16" s="653" t="s">
        <v>367</v>
      </c>
      <c r="M16" s="645"/>
      <c r="N16" s="646"/>
      <c r="P16" s="652">
        <v>4</v>
      </c>
      <c r="Q16" s="653" t="s">
        <v>367</v>
      </c>
      <c r="R16" s="645"/>
      <c r="S16" s="646"/>
      <c r="T16" s="670" t="e">
        <f t="shared" si="4"/>
        <v>#REF!</v>
      </c>
      <c r="U16" s="662">
        <v>1</v>
      </c>
      <c r="V16" s="662">
        <v>0</v>
      </c>
      <c r="W16" s="662">
        <v>0</v>
      </c>
      <c r="X16" s="662">
        <v>0</v>
      </c>
      <c r="Y16" s="671" t="e">
        <f>IF(AND($A$1&gt;0,$F$1=0,$K$1=0,$P$1=0), $A$4, "")</f>
        <v>#REF!</v>
      </c>
    </row>
    <row r="17" spans="1:27">
      <c r="A17" s="652">
        <v>5</v>
      </c>
      <c r="B17" s="653" t="s">
        <v>368</v>
      </c>
      <c r="C17" s="645"/>
      <c r="D17" s="646"/>
      <c r="E17" s="668"/>
      <c r="F17" s="652">
        <v>5</v>
      </c>
      <c r="G17" s="653" t="s">
        <v>368</v>
      </c>
      <c r="H17" s="645"/>
      <c r="I17" s="646"/>
      <c r="K17" s="652">
        <v>5</v>
      </c>
      <c r="L17" s="653" t="s">
        <v>368</v>
      </c>
      <c r="M17" s="645"/>
      <c r="N17" s="646"/>
      <c r="P17" s="652">
        <v>5</v>
      </c>
      <c r="Q17" s="653" t="s">
        <v>368</v>
      </c>
      <c r="R17" s="645"/>
      <c r="S17" s="646"/>
      <c r="T17" s="670" t="e">
        <f t="shared" si="4"/>
        <v>#REF!</v>
      </c>
      <c r="U17" s="662">
        <v>1</v>
      </c>
      <c r="V17" s="662">
        <v>0</v>
      </c>
      <c r="W17" s="662">
        <v>0</v>
      </c>
      <c r="X17" s="662">
        <v>1</v>
      </c>
      <c r="Y17" s="672" t="e">
        <f>IF(AND($A$1&gt;0,$F$1=0,$K$1=0,$P$1&gt;0),$A$4&amp;$AA$8&amp;$P$4, "")</f>
        <v>#REF!</v>
      </c>
    </row>
    <row r="18" spans="1:27">
      <c r="A18" s="652">
        <v>6</v>
      </c>
      <c r="B18" s="653" t="s">
        <v>369</v>
      </c>
      <c r="C18" s="645"/>
      <c r="D18" s="646"/>
      <c r="E18" s="668"/>
      <c r="F18" s="652">
        <v>6</v>
      </c>
      <c r="G18" s="653" t="s">
        <v>369</v>
      </c>
      <c r="H18" s="645"/>
      <c r="I18" s="646"/>
      <c r="K18" s="652">
        <v>6</v>
      </c>
      <c r="L18" s="653" t="s">
        <v>369</v>
      </c>
      <c r="M18" s="645"/>
      <c r="N18" s="646"/>
      <c r="P18" s="652">
        <v>6</v>
      </c>
      <c r="Q18" s="653" t="s">
        <v>369</v>
      </c>
      <c r="R18" s="645"/>
      <c r="S18" s="646"/>
      <c r="T18" s="670" t="e">
        <f t="shared" si="4"/>
        <v>#REF!</v>
      </c>
      <c r="U18" s="662">
        <v>1</v>
      </c>
      <c r="V18" s="662">
        <v>0</v>
      </c>
      <c r="W18" s="662">
        <v>1</v>
      </c>
      <c r="X18" s="662">
        <v>0</v>
      </c>
      <c r="Y18" s="672" t="e">
        <f>IF(AND($A$1&gt;0,$F$1=0,$K$1&gt;0,$P$1=0),$A$4&amp;$AA$8&amp;$K$4, "")</f>
        <v>#REF!</v>
      </c>
    </row>
    <row r="19" spans="1:27">
      <c r="A19" s="652">
        <v>7</v>
      </c>
      <c r="B19" s="653" t="s">
        <v>370</v>
      </c>
      <c r="C19" s="645"/>
      <c r="D19" s="646"/>
      <c r="E19" s="668"/>
      <c r="F19" s="652">
        <v>7</v>
      </c>
      <c r="G19" s="653" t="s">
        <v>370</v>
      </c>
      <c r="H19" s="645"/>
      <c r="I19" s="646"/>
      <c r="K19" s="652">
        <v>7</v>
      </c>
      <c r="L19" s="653" t="s">
        <v>370</v>
      </c>
      <c r="M19" s="645"/>
      <c r="N19" s="646"/>
      <c r="P19" s="652">
        <v>7</v>
      </c>
      <c r="Q19" s="653" t="s">
        <v>370</v>
      </c>
      <c r="R19" s="645"/>
      <c r="S19" s="646"/>
      <c r="T19" s="670" t="e">
        <f t="shared" si="4"/>
        <v>#REF!</v>
      </c>
      <c r="U19" s="662">
        <v>1</v>
      </c>
      <c r="V19" s="662">
        <v>0</v>
      </c>
      <c r="W19" s="662">
        <v>1</v>
      </c>
      <c r="X19" s="662">
        <v>1</v>
      </c>
      <c r="Y19" s="672" t="e">
        <f>IF(AND($A$1&gt;0,$F$1=0,$K$1&gt;0,$P$1&gt;0),$A$4&amp;$AA$8&amp;$K$4&amp;$AA$8&amp;$P$4, "")</f>
        <v>#REF!</v>
      </c>
    </row>
    <row r="20" spans="1:27">
      <c r="A20" s="652">
        <v>8</v>
      </c>
      <c r="B20" s="653" t="s">
        <v>371</v>
      </c>
      <c r="C20" s="645"/>
      <c r="D20" s="646"/>
      <c r="E20" s="668"/>
      <c r="F20" s="652">
        <v>8</v>
      </c>
      <c r="G20" s="653" t="s">
        <v>371</v>
      </c>
      <c r="H20" s="645"/>
      <c r="I20" s="646"/>
      <c r="K20" s="652">
        <v>8</v>
      </c>
      <c r="L20" s="653" t="s">
        <v>371</v>
      </c>
      <c r="M20" s="645"/>
      <c r="N20" s="646"/>
      <c r="P20" s="652">
        <v>8</v>
      </c>
      <c r="Q20" s="653" t="s">
        <v>371</v>
      </c>
      <c r="R20" s="645"/>
      <c r="S20" s="646"/>
      <c r="T20" s="670" t="e">
        <f t="shared" si="4"/>
        <v>#REF!</v>
      </c>
      <c r="U20" s="662">
        <v>1</v>
      </c>
      <c r="V20" s="662">
        <v>1</v>
      </c>
      <c r="W20" s="662">
        <v>0</v>
      </c>
      <c r="X20" s="662">
        <v>0</v>
      </c>
      <c r="Y20" s="672" t="e">
        <f>IF(AND($A$1&gt;0,$F$1&gt;0,$K$1=0,$P$1=0),$A$4&amp;$AA$8&amp;$F$4, "")</f>
        <v>#REF!</v>
      </c>
    </row>
    <row r="21" spans="1:27">
      <c r="A21" s="652">
        <v>9</v>
      </c>
      <c r="B21" s="653" t="s">
        <v>372</v>
      </c>
      <c r="C21" s="645"/>
      <c r="D21" s="646"/>
      <c r="E21" s="668"/>
      <c r="F21" s="652">
        <v>9</v>
      </c>
      <c r="G21" s="653" t="s">
        <v>372</v>
      </c>
      <c r="H21" s="645"/>
      <c r="I21" s="646"/>
      <c r="K21" s="652">
        <v>9</v>
      </c>
      <c r="L21" s="653" t="s">
        <v>372</v>
      </c>
      <c r="M21" s="645"/>
      <c r="N21" s="646"/>
      <c r="P21" s="652">
        <v>9</v>
      </c>
      <c r="Q21" s="653" t="s">
        <v>372</v>
      </c>
      <c r="R21" s="645"/>
      <c r="S21" s="646"/>
      <c r="T21" s="670" t="e">
        <f t="shared" si="4"/>
        <v>#REF!</v>
      </c>
      <c r="U21" s="662">
        <v>1</v>
      </c>
      <c r="V21" s="662">
        <v>1</v>
      </c>
      <c r="W21" s="662">
        <v>0</v>
      </c>
      <c r="X21" s="662">
        <v>1</v>
      </c>
      <c r="Y21" s="672" t="e">
        <f>IF(AND($A$1&gt;0,$F$1&gt;0,$K$1=0,$P$1&gt;0),$A$4&amp;$AA$8&amp;$F$4&amp;$AA$8&amp;$P$4, "")</f>
        <v>#REF!</v>
      </c>
    </row>
    <row r="22" spans="1:27">
      <c r="A22" s="652">
        <v>10</v>
      </c>
      <c r="B22" s="653" t="s">
        <v>373</v>
      </c>
      <c r="C22" s="645"/>
      <c r="D22" s="646"/>
      <c r="E22" s="668"/>
      <c r="F22" s="652">
        <v>10</v>
      </c>
      <c r="G22" s="653" t="s">
        <v>373</v>
      </c>
      <c r="H22" s="645"/>
      <c r="I22" s="646"/>
      <c r="K22" s="652">
        <v>10</v>
      </c>
      <c r="L22" s="653" t="s">
        <v>373</v>
      </c>
      <c r="M22" s="645"/>
      <c r="N22" s="646"/>
      <c r="P22" s="652">
        <v>10</v>
      </c>
      <c r="Q22" s="653" t="s">
        <v>373</v>
      </c>
      <c r="R22" s="645"/>
      <c r="S22" s="646"/>
      <c r="T22" s="670" t="e">
        <f t="shared" si="4"/>
        <v>#REF!</v>
      </c>
      <c r="U22" s="662">
        <v>1</v>
      </c>
      <c r="V22" s="662">
        <v>1</v>
      </c>
      <c r="W22" s="662">
        <v>1</v>
      </c>
      <c r="X22" s="662">
        <v>0</v>
      </c>
      <c r="Y22" s="672" t="e">
        <f>IF(AND($A$1&gt;0,$F$1&gt;0,$K$1&gt;0,$P$1=0),$A$4&amp;$AA$8&amp;$F$4&amp;$AA$8&amp;$K$4, "")</f>
        <v>#REF!</v>
      </c>
    </row>
    <row r="23" spans="1:27">
      <c r="A23" s="652">
        <v>11</v>
      </c>
      <c r="B23" s="653" t="s">
        <v>374</v>
      </c>
      <c r="C23" s="645"/>
      <c r="D23" s="646"/>
      <c r="E23" s="668"/>
      <c r="F23" s="652">
        <v>11</v>
      </c>
      <c r="G23" s="653" t="s">
        <v>374</v>
      </c>
      <c r="H23" s="645"/>
      <c r="I23" s="646"/>
      <c r="K23" s="652">
        <v>11</v>
      </c>
      <c r="L23" s="653" t="s">
        <v>374</v>
      </c>
      <c r="M23" s="645"/>
      <c r="N23" s="646"/>
      <c r="P23" s="652">
        <v>11</v>
      </c>
      <c r="Q23" s="653" t="s">
        <v>374</v>
      </c>
      <c r="R23" s="645"/>
      <c r="S23" s="646"/>
      <c r="T23" s="670" t="e">
        <f t="shared" si="4"/>
        <v>#REF!</v>
      </c>
      <c r="U23" s="662">
        <v>1</v>
      </c>
      <c r="V23" s="662">
        <v>1</v>
      </c>
      <c r="W23" s="662">
        <v>1</v>
      </c>
      <c r="X23" s="662">
        <v>1</v>
      </c>
      <c r="Y23" s="673" t="e">
        <f>IF(AND($A$1&gt;0,$F$1&gt;0,$K$1&gt;0,$P$1&gt;0),$A$4&amp;$AA$8&amp;$F$4&amp;$AA$8&amp;$K$4&amp;$AA$8&amp;$P$4, "")</f>
        <v>#REF!</v>
      </c>
    </row>
    <row r="24" spans="1:27">
      <c r="A24" s="652">
        <v>12</v>
      </c>
      <c r="B24" s="653" t="s">
        <v>375</v>
      </c>
      <c r="C24" s="645"/>
      <c r="D24" s="646"/>
      <c r="E24" s="668"/>
      <c r="F24" s="652">
        <v>12</v>
      </c>
      <c r="G24" s="653" t="s">
        <v>375</v>
      </c>
      <c r="H24" s="645"/>
      <c r="I24" s="646"/>
      <c r="K24" s="652">
        <v>12</v>
      </c>
      <c r="L24" s="653" t="s">
        <v>375</v>
      </c>
      <c r="M24" s="645"/>
      <c r="N24" s="646"/>
      <c r="P24" s="652">
        <v>12</v>
      </c>
      <c r="Q24" s="653" t="s">
        <v>375</v>
      </c>
      <c r="R24" s="645"/>
      <c r="S24" s="646"/>
    </row>
    <row r="25" spans="1:27">
      <c r="A25" s="652">
        <v>13</v>
      </c>
      <c r="B25" s="653" t="s">
        <v>376</v>
      </c>
      <c r="C25" s="645"/>
      <c r="D25" s="646"/>
      <c r="E25" s="668"/>
      <c r="F25" s="652">
        <v>13</v>
      </c>
      <c r="G25" s="653" t="s">
        <v>376</v>
      </c>
      <c r="H25" s="645"/>
      <c r="I25" s="646"/>
      <c r="K25" s="652">
        <v>13</v>
      </c>
      <c r="L25" s="653" t="s">
        <v>376</v>
      </c>
      <c r="M25" s="645"/>
      <c r="N25" s="646"/>
      <c r="P25" s="652">
        <v>13</v>
      </c>
      <c r="Q25" s="653" t="s">
        <v>376</v>
      </c>
      <c r="R25" s="645"/>
      <c r="S25" s="646"/>
    </row>
    <row r="26" spans="1:27">
      <c r="A26" s="652">
        <v>14</v>
      </c>
      <c r="B26" s="653" t="s">
        <v>377</v>
      </c>
      <c r="C26" s="645"/>
      <c r="D26" s="646"/>
      <c r="E26" s="668"/>
      <c r="F26" s="652">
        <v>14</v>
      </c>
      <c r="G26" s="653" t="s">
        <v>377</v>
      </c>
      <c r="H26" s="645"/>
      <c r="I26" s="646"/>
      <c r="K26" s="652">
        <v>14</v>
      </c>
      <c r="L26" s="653" t="s">
        <v>377</v>
      </c>
      <c r="M26" s="645"/>
      <c r="N26" s="646"/>
      <c r="P26" s="652">
        <v>14</v>
      </c>
      <c r="Q26" s="653" t="s">
        <v>377</v>
      </c>
      <c r="R26" s="645"/>
      <c r="S26" s="646"/>
    </row>
    <row r="27" spans="1:27">
      <c r="A27" s="652">
        <v>15</v>
      </c>
      <c r="B27" s="653" t="s">
        <v>378</v>
      </c>
      <c r="C27" s="645"/>
      <c r="D27" s="646"/>
      <c r="E27" s="668"/>
      <c r="F27" s="652">
        <v>15</v>
      </c>
      <c r="G27" s="653" t="s">
        <v>378</v>
      </c>
      <c r="H27" s="645"/>
      <c r="I27" s="646"/>
      <c r="K27" s="652">
        <v>15</v>
      </c>
      <c r="L27" s="653" t="s">
        <v>378</v>
      </c>
      <c r="M27" s="645"/>
      <c r="N27" s="646"/>
      <c r="P27" s="652">
        <v>15</v>
      </c>
      <c r="Q27" s="653" t="s">
        <v>378</v>
      </c>
      <c r="R27" s="645"/>
      <c r="S27" s="646"/>
    </row>
    <row r="28" spans="1:27">
      <c r="A28" s="652">
        <v>16</v>
      </c>
      <c r="B28" s="653" t="s">
        <v>379</v>
      </c>
      <c r="C28" s="645"/>
      <c r="D28" s="646"/>
      <c r="E28" s="668"/>
      <c r="F28" s="652">
        <v>16</v>
      </c>
      <c r="G28" s="653" t="s">
        <v>379</v>
      </c>
      <c r="H28" s="645"/>
      <c r="I28" s="646"/>
      <c r="K28" s="652">
        <v>16</v>
      </c>
      <c r="L28" s="653" t="s">
        <v>379</v>
      </c>
      <c r="M28" s="645"/>
      <c r="N28" s="646"/>
      <c r="P28" s="652">
        <v>16</v>
      </c>
      <c r="Q28" s="653" t="s">
        <v>379</v>
      </c>
      <c r="R28" s="645"/>
      <c r="S28" s="646"/>
      <c r="T28" s="670" t="e">
        <f>IF(Y28="",0, 1)</f>
        <v>#REF!</v>
      </c>
      <c r="U28" s="662">
        <v>0</v>
      </c>
      <c r="V28" s="662">
        <v>0</v>
      </c>
      <c r="W28" s="662">
        <v>0</v>
      </c>
      <c r="X28" s="662">
        <v>0</v>
      </c>
      <c r="Y28" s="671" t="e">
        <f>IF(AND($A$1=0,$F$1=0,$K$1=0,$P$1=0)," 0/-", "")</f>
        <v>#REF!</v>
      </c>
      <c r="AA28" s="662" t="s">
        <v>466</v>
      </c>
    </row>
    <row r="29" spans="1:27">
      <c r="A29" s="652">
        <v>17</v>
      </c>
      <c r="B29" s="653" t="s">
        <v>380</v>
      </c>
      <c r="C29" s="645"/>
      <c r="D29" s="646"/>
      <c r="E29" s="668"/>
      <c r="F29" s="652">
        <v>17</v>
      </c>
      <c r="G29" s="653" t="s">
        <v>380</v>
      </c>
      <c r="H29" s="645"/>
      <c r="I29" s="646"/>
      <c r="K29" s="652">
        <v>17</v>
      </c>
      <c r="L29" s="653" t="s">
        <v>380</v>
      </c>
      <c r="M29" s="645"/>
      <c r="N29" s="646"/>
      <c r="P29" s="652">
        <v>17</v>
      </c>
      <c r="Q29" s="653" t="s">
        <v>380</v>
      </c>
      <c r="R29" s="645"/>
      <c r="S29" s="646"/>
      <c r="T29" s="670" t="e">
        <f t="shared" ref="T29:T43" si="5">IF(Y29="",0, 1)</f>
        <v>#REF!</v>
      </c>
      <c r="U29" s="662">
        <v>0</v>
      </c>
      <c r="V29" s="662">
        <v>0</v>
      </c>
      <c r="W29" s="662">
        <v>0</v>
      </c>
      <c r="X29" s="662">
        <v>1</v>
      </c>
      <c r="Y29" s="672" t="e">
        <f>IF(AND($A$1=0,$F$1=0,$K$1=0,$P$1&gt;0),$U$3&amp;$P$1&amp;$AA$30, "")</f>
        <v>#REF!</v>
      </c>
      <c r="AA29" s="662" t="s">
        <v>467</v>
      </c>
    </row>
    <row r="30" spans="1:27">
      <c r="A30" s="652">
        <v>18</v>
      </c>
      <c r="B30" s="653" t="s">
        <v>381</v>
      </c>
      <c r="C30" s="645"/>
      <c r="D30" s="646"/>
      <c r="E30" s="668"/>
      <c r="F30" s="652">
        <v>18</v>
      </c>
      <c r="G30" s="653" t="s">
        <v>381</v>
      </c>
      <c r="H30" s="645"/>
      <c r="I30" s="646"/>
      <c r="K30" s="652">
        <v>18</v>
      </c>
      <c r="L30" s="653" t="s">
        <v>381</v>
      </c>
      <c r="M30" s="645"/>
      <c r="N30" s="646"/>
      <c r="P30" s="652">
        <v>18</v>
      </c>
      <c r="Q30" s="653" t="s">
        <v>381</v>
      </c>
      <c r="R30" s="645"/>
      <c r="S30" s="646"/>
      <c r="T30" s="670" t="e">
        <f t="shared" si="5"/>
        <v>#REF!</v>
      </c>
      <c r="U30" s="662">
        <v>0</v>
      </c>
      <c r="V30" s="662">
        <v>0</v>
      </c>
      <c r="W30" s="662">
        <v>1</v>
      </c>
      <c r="X30" s="662">
        <v>0</v>
      </c>
      <c r="Y30" s="672" t="e">
        <f>IF(AND($A$1=0,$F$1=0,$K$1&gt;0,$P$1=0),$U$2&amp;$K$1&amp;$AA$30, "")</f>
        <v>#REF!</v>
      </c>
      <c r="AA30" s="662" t="s">
        <v>468</v>
      </c>
    </row>
    <row r="31" spans="1:27">
      <c r="A31" s="652">
        <v>19</v>
      </c>
      <c r="B31" s="653" t="s">
        <v>382</v>
      </c>
      <c r="C31" s="645"/>
      <c r="D31" s="646"/>
      <c r="E31" s="668"/>
      <c r="F31" s="652">
        <v>19</v>
      </c>
      <c r="G31" s="653" t="s">
        <v>382</v>
      </c>
      <c r="H31" s="645"/>
      <c r="I31" s="646"/>
      <c r="K31" s="652">
        <v>19</v>
      </c>
      <c r="L31" s="653" t="s">
        <v>382</v>
      </c>
      <c r="M31" s="645"/>
      <c r="N31" s="646"/>
      <c r="P31" s="652">
        <v>19</v>
      </c>
      <c r="Q31" s="653" t="s">
        <v>382</v>
      </c>
      <c r="R31" s="645"/>
      <c r="S31" s="646"/>
      <c r="T31" s="670" t="e">
        <f t="shared" si="5"/>
        <v>#REF!</v>
      </c>
      <c r="U31" s="662">
        <v>0</v>
      </c>
      <c r="V31" s="662">
        <v>0</v>
      </c>
      <c r="W31" s="662">
        <v>1</v>
      </c>
      <c r="X31" s="662">
        <v>1</v>
      </c>
      <c r="Y31" s="672" t="e">
        <f>IF(AND($A$1=0,$F$1=0,$K$1&gt;0,$P$1&gt;0),$U$2&amp;$K$1&amp;$AA$29&amp;$U$3&amp;$P$1&amp;$AA$30, "")</f>
        <v>#REF!</v>
      </c>
    </row>
    <row r="32" spans="1:27">
      <c r="A32" s="652">
        <v>20</v>
      </c>
      <c r="B32" s="653" t="s">
        <v>383</v>
      </c>
      <c r="C32" s="645"/>
      <c r="D32" s="646"/>
      <c r="E32" s="668"/>
      <c r="F32" s="652">
        <v>20</v>
      </c>
      <c r="G32" s="653" t="s">
        <v>383</v>
      </c>
      <c r="H32" s="645"/>
      <c r="I32" s="646"/>
      <c r="K32" s="652">
        <v>20</v>
      </c>
      <c r="L32" s="653" t="s">
        <v>383</v>
      </c>
      <c r="M32" s="645"/>
      <c r="N32" s="646"/>
      <c r="P32" s="652">
        <v>20</v>
      </c>
      <c r="Q32" s="653" t="s">
        <v>383</v>
      </c>
      <c r="R32" s="645"/>
      <c r="S32" s="646"/>
      <c r="T32" s="670" t="e">
        <f t="shared" si="5"/>
        <v>#REF!</v>
      </c>
      <c r="U32" s="662">
        <v>0</v>
      </c>
      <c r="V32" s="662">
        <v>1</v>
      </c>
      <c r="W32" s="662">
        <v>0</v>
      </c>
      <c r="X32" s="662">
        <v>0</v>
      </c>
      <c r="Y32" s="672" t="e">
        <f>IF(AND($A$1=0,$F$1&gt;0,$K$1=0,$P$1=0),$U$1&amp;$F$1&amp;$AA$30, "")</f>
        <v>#REF!</v>
      </c>
    </row>
    <row r="33" spans="1:25">
      <c r="A33" s="652">
        <v>21</v>
      </c>
      <c r="B33" s="653" t="s">
        <v>384</v>
      </c>
      <c r="C33" s="645"/>
      <c r="D33" s="646"/>
      <c r="E33" s="668"/>
      <c r="F33" s="652">
        <v>21</v>
      </c>
      <c r="G33" s="653" t="s">
        <v>384</v>
      </c>
      <c r="H33" s="645"/>
      <c r="I33" s="646"/>
      <c r="K33" s="652">
        <v>21</v>
      </c>
      <c r="L33" s="653" t="s">
        <v>384</v>
      </c>
      <c r="M33" s="645"/>
      <c r="N33" s="646"/>
      <c r="P33" s="652">
        <v>21</v>
      </c>
      <c r="Q33" s="653" t="s">
        <v>384</v>
      </c>
      <c r="R33" s="645"/>
      <c r="S33" s="646"/>
      <c r="T33" s="670" t="e">
        <f t="shared" si="5"/>
        <v>#REF!</v>
      </c>
      <c r="U33" s="662">
        <v>0</v>
      </c>
      <c r="V33" s="662">
        <v>1</v>
      </c>
      <c r="W33" s="662">
        <v>0</v>
      </c>
      <c r="X33" s="662">
        <v>1</v>
      </c>
      <c r="Y33" s="672" t="e">
        <f>IF(AND($A$1=0,$F$1&gt;0,$K$1=0,$P$1&gt;0),$U$1&amp;$F$1&amp;$AA$29&amp;$U$3&amp;$P$1&amp;$AA$30, "")</f>
        <v>#REF!</v>
      </c>
    </row>
    <row r="34" spans="1:25">
      <c r="A34" s="652">
        <v>22</v>
      </c>
      <c r="B34" s="653" t="s">
        <v>385</v>
      </c>
      <c r="C34" s="645"/>
      <c r="D34" s="646"/>
      <c r="E34" s="668"/>
      <c r="F34" s="652">
        <v>22</v>
      </c>
      <c r="G34" s="653" t="s">
        <v>385</v>
      </c>
      <c r="H34" s="645"/>
      <c r="I34" s="646"/>
      <c r="K34" s="652">
        <v>22</v>
      </c>
      <c r="L34" s="653" t="s">
        <v>385</v>
      </c>
      <c r="M34" s="645"/>
      <c r="N34" s="646"/>
      <c r="P34" s="652">
        <v>22</v>
      </c>
      <c r="Q34" s="653" t="s">
        <v>385</v>
      </c>
      <c r="R34" s="645"/>
      <c r="S34" s="646"/>
      <c r="T34" s="670" t="e">
        <f t="shared" si="5"/>
        <v>#REF!</v>
      </c>
      <c r="U34" s="662">
        <v>0</v>
      </c>
      <c r="V34" s="662">
        <v>1</v>
      </c>
      <c r="W34" s="662">
        <v>1</v>
      </c>
      <c r="X34" s="662">
        <v>0</v>
      </c>
      <c r="Y34" s="672" t="e">
        <f>IF(AND($A$1=0,$F$1&gt;0,$K$1&gt;0,$P$1=0),$U$1&amp;$F$1&amp;$AA$29&amp;$U$2&amp;$K$1, "")</f>
        <v>#REF!</v>
      </c>
    </row>
    <row r="35" spans="1:25">
      <c r="A35" s="652">
        <v>23</v>
      </c>
      <c r="B35" s="653" t="s">
        <v>386</v>
      </c>
      <c r="C35" s="645"/>
      <c r="D35" s="646"/>
      <c r="E35" s="668"/>
      <c r="F35" s="652">
        <v>23</v>
      </c>
      <c r="G35" s="653" t="s">
        <v>386</v>
      </c>
      <c r="H35" s="645"/>
      <c r="I35" s="646"/>
      <c r="K35" s="652">
        <v>23</v>
      </c>
      <c r="L35" s="653" t="s">
        <v>386</v>
      </c>
      <c r="M35" s="645"/>
      <c r="N35" s="646"/>
      <c r="P35" s="652">
        <v>23</v>
      </c>
      <c r="Q35" s="653" t="s">
        <v>386</v>
      </c>
      <c r="R35" s="645"/>
      <c r="S35" s="646"/>
      <c r="T35" s="670" t="e">
        <f t="shared" si="5"/>
        <v>#REF!</v>
      </c>
      <c r="U35" s="662">
        <v>0</v>
      </c>
      <c r="V35" s="662">
        <v>1</v>
      </c>
      <c r="W35" s="662">
        <v>1</v>
      </c>
      <c r="X35" s="662">
        <v>1</v>
      </c>
      <c r="Y35" s="673" t="e">
        <f>IF(AND($A$1=0,$F$1&gt;0,$K$1&gt;0,$P$1&gt;0),$U$1&amp;$F$1&amp;$AA$29&amp;$U$2&amp;$K$1&amp;$AA$29&amp;$U$3&amp;$P$1&amp;$AA$30, "")</f>
        <v>#REF!</v>
      </c>
    </row>
    <row r="36" spans="1:25">
      <c r="A36" s="652">
        <v>24</v>
      </c>
      <c r="B36" s="653" t="s">
        <v>387</v>
      </c>
      <c r="C36" s="645"/>
      <c r="D36" s="646"/>
      <c r="E36" s="668"/>
      <c r="F36" s="652">
        <v>24</v>
      </c>
      <c r="G36" s="653" t="s">
        <v>387</v>
      </c>
      <c r="H36" s="645"/>
      <c r="I36" s="646"/>
      <c r="K36" s="652">
        <v>24</v>
      </c>
      <c r="L36" s="653" t="s">
        <v>387</v>
      </c>
      <c r="M36" s="645"/>
      <c r="N36" s="646"/>
      <c r="P36" s="652">
        <v>24</v>
      </c>
      <c r="Q36" s="653" t="s">
        <v>387</v>
      </c>
      <c r="R36" s="645"/>
      <c r="S36" s="646"/>
      <c r="T36" s="670" t="e">
        <f t="shared" si="5"/>
        <v>#REF!</v>
      </c>
      <c r="U36" s="662">
        <v>1</v>
      </c>
      <c r="V36" s="662">
        <v>0</v>
      </c>
      <c r="W36" s="662">
        <v>0</v>
      </c>
      <c r="X36" s="662">
        <v>0</v>
      </c>
      <c r="Y36" s="671" t="e">
        <f>IF(AND($A$1&gt;0,$F$1=0,$K$1=0,$P$1=0),#REF!&amp; $A$1&amp;$AA$30, "")</f>
        <v>#REF!</v>
      </c>
    </row>
    <row r="37" spans="1:25">
      <c r="A37" s="652">
        <v>25</v>
      </c>
      <c r="B37" s="653" t="s">
        <v>388</v>
      </c>
      <c r="C37" s="645"/>
      <c r="D37" s="646"/>
      <c r="E37" s="668"/>
      <c r="F37" s="652">
        <v>25</v>
      </c>
      <c r="G37" s="653" t="s">
        <v>388</v>
      </c>
      <c r="H37" s="645"/>
      <c r="I37" s="646"/>
      <c r="K37" s="652">
        <v>25</v>
      </c>
      <c r="L37" s="653" t="s">
        <v>388</v>
      </c>
      <c r="M37" s="645"/>
      <c r="N37" s="646"/>
      <c r="P37" s="652">
        <v>25</v>
      </c>
      <c r="Q37" s="653" t="s">
        <v>388</v>
      </c>
      <c r="R37" s="645"/>
      <c r="S37" s="646"/>
      <c r="T37" s="670" t="e">
        <f t="shared" si="5"/>
        <v>#REF!</v>
      </c>
      <c r="U37" s="662">
        <v>1</v>
      </c>
      <c r="V37" s="662">
        <v>0</v>
      </c>
      <c r="W37" s="662">
        <v>0</v>
      </c>
      <c r="X37" s="662">
        <v>1</v>
      </c>
      <c r="Y37" s="672" t="e">
        <f>IF(AND($A$1&gt;0,$F$1=0,$K$1=0,$P$1&gt;0),#REF!&amp;$A$1&amp;$AA$29&amp;$U$3&amp;$P$1&amp;$AA$30, "")</f>
        <v>#REF!</v>
      </c>
    </row>
    <row r="38" spans="1:25">
      <c r="A38" s="652">
        <v>26</v>
      </c>
      <c r="B38" s="653" t="s">
        <v>389</v>
      </c>
      <c r="C38" s="645"/>
      <c r="D38" s="646"/>
      <c r="E38" s="668"/>
      <c r="F38" s="652">
        <v>26</v>
      </c>
      <c r="G38" s="653" t="s">
        <v>389</v>
      </c>
      <c r="H38" s="645"/>
      <c r="I38" s="646"/>
      <c r="K38" s="652">
        <v>26</v>
      </c>
      <c r="L38" s="653" t="s">
        <v>389</v>
      </c>
      <c r="M38" s="645"/>
      <c r="N38" s="646"/>
      <c r="P38" s="652">
        <v>26</v>
      </c>
      <c r="Q38" s="653" t="s">
        <v>389</v>
      </c>
      <c r="R38" s="645"/>
      <c r="S38" s="646"/>
      <c r="T38" s="670" t="e">
        <f t="shared" si="5"/>
        <v>#REF!</v>
      </c>
      <c r="U38" s="662">
        <v>1</v>
      </c>
      <c r="V38" s="662">
        <v>0</v>
      </c>
      <c r="W38" s="662">
        <v>1</v>
      </c>
      <c r="X38" s="662">
        <v>0</v>
      </c>
      <c r="Y38" s="672" t="e">
        <f>IF(AND($A$1&gt;0,$F$1=0,$K$1&gt;0,$P$1=0),#REF!&amp;$A$1&amp;$AA$29&amp;$U$2&amp;$K$1, "")</f>
        <v>#REF!</v>
      </c>
    </row>
    <row r="39" spans="1:25">
      <c r="A39" s="652">
        <v>27</v>
      </c>
      <c r="B39" s="653" t="s">
        <v>390</v>
      </c>
      <c r="C39" s="645"/>
      <c r="D39" s="646"/>
      <c r="E39" s="668"/>
      <c r="F39" s="652">
        <v>27</v>
      </c>
      <c r="G39" s="653" t="s">
        <v>390</v>
      </c>
      <c r="H39" s="645"/>
      <c r="I39" s="646"/>
      <c r="K39" s="652">
        <v>27</v>
      </c>
      <c r="L39" s="653" t="s">
        <v>390</v>
      </c>
      <c r="M39" s="645"/>
      <c r="N39" s="646"/>
      <c r="P39" s="652">
        <v>27</v>
      </c>
      <c r="Q39" s="653" t="s">
        <v>390</v>
      </c>
      <c r="R39" s="645"/>
      <c r="S39" s="646"/>
      <c r="T39" s="670" t="e">
        <f t="shared" si="5"/>
        <v>#REF!</v>
      </c>
      <c r="U39" s="662">
        <v>1</v>
      </c>
      <c r="V39" s="662">
        <v>0</v>
      </c>
      <c r="W39" s="662">
        <v>1</v>
      </c>
      <c r="X39" s="662">
        <v>1</v>
      </c>
      <c r="Y39" s="672" t="e">
        <f>IF(AND($A$1&gt;0,$F$1=0,$K$1&gt;0,$P$1&gt;0),#REF!&amp;$A$1&amp;$AA$29&amp;$U$2&amp;$K$1&amp;$AA$29&amp;$U$3&amp;$P$1&amp;$AA$30, "")</f>
        <v>#REF!</v>
      </c>
    </row>
    <row r="40" spans="1:25">
      <c r="A40" s="652">
        <v>28</v>
      </c>
      <c r="B40" s="653" t="s">
        <v>391</v>
      </c>
      <c r="C40" s="645"/>
      <c r="D40" s="646"/>
      <c r="E40" s="668"/>
      <c r="F40" s="652">
        <v>28</v>
      </c>
      <c r="G40" s="653" t="s">
        <v>391</v>
      </c>
      <c r="H40" s="645"/>
      <c r="I40" s="646"/>
      <c r="K40" s="652">
        <v>28</v>
      </c>
      <c r="L40" s="653" t="s">
        <v>391</v>
      </c>
      <c r="M40" s="645"/>
      <c r="N40" s="646"/>
      <c r="P40" s="652">
        <v>28</v>
      </c>
      <c r="Q40" s="653" t="s">
        <v>391</v>
      </c>
      <c r="R40" s="645"/>
      <c r="S40" s="646"/>
      <c r="T40" s="670" t="e">
        <f t="shared" si="5"/>
        <v>#REF!</v>
      </c>
      <c r="U40" s="662">
        <v>1</v>
      </c>
      <c r="V40" s="662">
        <v>1</v>
      </c>
      <c r="W40" s="662">
        <v>0</v>
      </c>
      <c r="X40" s="662">
        <v>0</v>
      </c>
      <c r="Y40" s="672" t="e">
        <f>IF(AND($A$1&gt;0,$F$1&gt;0,$K$1=0,$P$1=0),#REF!&amp;$A$1&amp;$AA$29&amp;$U$1&amp;$F$1, "")</f>
        <v>#REF!</v>
      </c>
    </row>
    <row r="41" spans="1:25">
      <c r="A41" s="652">
        <v>29</v>
      </c>
      <c r="B41" s="653" t="s">
        <v>392</v>
      </c>
      <c r="C41" s="645"/>
      <c r="D41" s="646"/>
      <c r="E41" s="668"/>
      <c r="F41" s="652">
        <v>29</v>
      </c>
      <c r="G41" s="653" t="s">
        <v>392</v>
      </c>
      <c r="H41" s="645"/>
      <c r="I41" s="646"/>
      <c r="K41" s="652">
        <v>29</v>
      </c>
      <c r="L41" s="653" t="s">
        <v>392</v>
      </c>
      <c r="M41" s="645"/>
      <c r="N41" s="646"/>
      <c r="P41" s="652">
        <v>29</v>
      </c>
      <c r="Q41" s="653" t="s">
        <v>392</v>
      </c>
      <c r="R41" s="645"/>
      <c r="S41" s="646"/>
      <c r="T41" s="670" t="e">
        <f t="shared" si="5"/>
        <v>#REF!</v>
      </c>
      <c r="U41" s="662">
        <v>1</v>
      </c>
      <c r="V41" s="662">
        <v>1</v>
      </c>
      <c r="W41" s="662">
        <v>0</v>
      </c>
      <c r="X41" s="662">
        <v>1</v>
      </c>
      <c r="Y41" s="672" t="e">
        <f>IF(AND($A$1&gt;0,$F$1&gt;0,$K$1=0,$P$1&gt;0),#REF!&amp;$A$1&amp;$AA$29&amp;$U$1&amp;$F$1&amp;$AA$29&amp;$U$3&amp;$P$1&amp;$AA$30, "")</f>
        <v>#REF!</v>
      </c>
    </row>
    <row r="42" spans="1:25">
      <c r="A42" s="652">
        <v>30</v>
      </c>
      <c r="B42" s="653" t="s">
        <v>393</v>
      </c>
      <c r="C42" s="645"/>
      <c r="D42" s="646"/>
      <c r="E42" s="668"/>
      <c r="F42" s="652">
        <v>30</v>
      </c>
      <c r="G42" s="653" t="s">
        <v>393</v>
      </c>
      <c r="H42" s="645"/>
      <c r="I42" s="646"/>
      <c r="K42" s="652">
        <v>30</v>
      </c>
      <c r="L42" s="653" t="s">
        <v>393</v>
      </c>
      <c r="M42" s="645"/>
      <c r="N42" s="646"/>
      <c r="P42" s="652">
        <v>30</v>
      </c>
      <c r="Q42" s="653" t="s">
        <v>393</v>
      </c>
      <c r="R42" s="645"/>
      <c r="S42" s="646"/>
      <c r="T42" s="670" t="e">
        <f t="shared" si="5"/>
        <v>#REF!</v>
      </c>
      <c r="U42" s="662">
        <v>1</v>
      </c>
      <c r="V42" s="662">
        <v>1</v>
      </c>
      <c r="W42" s="662">
        <v>1</v>
      </c>
      <c r="X42" s="662">
        <v>0</v>
      </c>
      <c r="Y42" s="672" t="e">
        <f>IF(AND($A$1&gt;0,$F$1&gt;0,$K$1&gt;0,$P$1=0),#REF!&amp;$A$1&amp;$AA$29&amp;$U$1&amp;$F$1&amp;$AA$29&amp;$U$2&amp;$K$1, "")</f>
        <v>#REF!</v>
      </c>
    </row>
    <row r="43" spans="1:25">
      <c r="A43" s="652">
        <v>31</v>
      </c>
      <c r="B43" s="653" t="s">
        <v>394</v>
      </c>
      <c r="C43" s="645"/>
      <c r="D43" s="646"/>
      <c r="E43" s="668"/>
      <c r="F43" s="652">
        <v>31</v>
      </c>
      <c r="G43" s="653" t="s">
        <v>394</v>
      </c>
      <c r="H43" s="645"/>
      <c r="I43" s="646"/>
      <c r="K43" s="652">
        <v>31</v>
      </c>
      <c r="L43" s="653" t="s">
        <v>394</v>
      </c>
      <c r="M43" s="645"/>
      <c r="N43" s="646"/>
      <c r="P43" s="652">
        <v>31</v>
      </c>
      <c r="Q43" s="653" t="s">
        <v>394</v>
      </c>
      <c r="R43" s="645"/>
      <c r="S43" s="646"/>
      <c r="T43" s="670" t="e">
        <f t="shared" si="5"/>
        <v>#REF!</v>
      </c>
      <c r="U43" s="662">
        <v>1</v>
      </c>
      <c r="V43" s="662">
        <v>1</v>
      </c>
      <c r="W43" s="662">
        <v>1</v>
      </c>
      <c r="X43" s="662">
        <v>1</v>
      </c>
      <c r="Y43" s="673" t="e">
        <f>IF(AND($A$1&gt;0,$F$1&gt;0,$K$1&gt;0,$P$1&gt;0),#REF!&amp;$A$1&amp;$AA$29&amp;$U$1&amp;$F$1&amp;$AA$29&amp;$U$2&amp;$K$1&amp;$AA$29&amp;$U$3&amp;$P$1&amp;$AA$30, "")</f>
        <v>#REF!</v>
      </c>
    </row>
    <row r="44" spans="1:25">
      <c r="A44" s="652">
        <v>32</v>
      </c>
      <c r="B44" s="653" t="s">
        <v>395</v>
      </c>
      <c r="C44" s="645"/>
      <c r="D44" s="646"/>
      <c r="E44" s="668"/>
      <c r="F44" s="652">
        <v>32</v>
      </c>
      <c r="G44" s="653" t="s">
        <v>395</v>
      </c>
      <c r="H44" s="645"/>
      <c r="I44" s="646"/>
      <c r="K44" s="652">
        <v>32</v>
      </c>
      <c r="L44" s="653" t="s">
        <v>395</v>
      </c>
      <c r="M44" s="645"/>
      <c r="N44" s="646"/>
      <c r="P44" s="652">
        <v>32</v>
      </c>
      <c r="Q44" s="653" t="s">
        <v>395</v>
      </c>
      <c r="R44" s="645"/>
      <c r="S44" s="646"/>
    </row>
    <row r="45" spans="1:25">
      <c r="A45" s="652">
        <v>33</v>
      </c>
      <c r="B45" s="653" t="s">
        <v>396</v>
      </c>
      <c r="C45" s="645"/>
      <c r="D45" s="646"/>
      <c r="E45" s="668"/>
      <c r="F45" s="652">
        <v>33</v>
      </c>
      <c r="G45" s="653" t="s">
        <v>396</v>
      </c>
      <c r="H45" s="645"/>
      <c r="I45" s="646"/>
      <c r="K45" s="652">
        <v>33</v>
      </c>
      <c r="L45" s="653" t="s">
        <v>396</v>
      </c>
      <c r="M45" s="645"/>
      <c r="N45" s="646"/>
      <c r="P45" s="652">
        <v>33</v>
      </c>
      <c r="Q45" s="653" t="s">
        <v>396</v>
      </c>
      <c r="R45" s="645"/>
      <c r="S45" s="646"/>
    </row>
    <row r="46" spans="1:25">
      <c r="A46" s="652">
        <v>34</v>
      </c>
      <c r="B46" s="653" t="s">
        <v>397</v>
      </c>
      <c r="C46" s="645"/>
      <c r="D46" s="646"/>
      <c r="E46" s="668"/>
      <c r="F46" s="652">
        <v>34</v>
      </c>
      <c r="G46" s="653" t="s">
        <v>397</v>
      </c>
      <c r="H46" s="645"/>
      <c r="I46" s="646"/>
      <c r="K46" s="652">
        <v>34</v>
      </c>
      <c r="L46" s="653" t="s">
        <v>397</v>
      </c>
      <c r="M46" s="645"/>
      <c r="N46" s="646"/>
      <c r="P46" s="652">
        <v>34</v>
      </c>
      <c r="Q46" s="653" t="s">
        <v>397</v>
      </c>
      <c r="R46" s="645"/>
      <c r="S46" s="646"/>
    </row>
    <row r="47" spans="1:25">
      <c r="A47" s="652">
        <v>35</v>
      </c>
      <c r="B47" s="653" t="s">
        <v>398</v>
      </c>
      <c r="C47" s="645"/>
      <c r="D47" s="646"/>
      <c r="E47" s="668"/>
      <c r="F47" s="652">
        <v>35</v>
      </c>
      <c r="G47" s="653" t="s">
        <v>398</v>
      </c>
      <c r="H47" s="645"/>
      <c r="I47" s="646"/>
      <c r="K47" s="652">
        <v>35</v>
      </c>
      <c r="L47" s="653" t="s">
        <v>398</v>
      </c>
      <c r="M47" s="645"/>
      <c r="N47" s="646"/>
      <c r="P47" s="652">
        <v>35</v>
      </c>
      <c r="Q47" s="653" t="s">
        <v>398</v>
      </c>
      <c r="R47" s="645"/>
      <c r="S47" s="646"/>
    </row>
    <row r="48" spans="1:25">
      <c r="A48" s="652">
        <v>36</v>
      </c>
      <c r="B48" s="653" t="s">
        <v>399</v>
      </c>
      <c r="C48" s="645"/>
      <c r="D48" s="646"/>
      <c r="E48" s="668"/>
      <c r="F48" s="652">
        <v>36</v>
      </c>
      <c r="G48" s="653" t="s">
        <v>399</v>
      </c>
      <c r="H48" s="645"/>
      <c r="I48" s="646"/>
      <c r="K48" s="652">
        <v>36</v>
      </c>
      <c r="L48" s="653" t="s">
        <v>399</v>
      </c>
      <c r="M48" s="645"/>
      <c r="N48" s="646"/>
      <c r="P48" s="652">
        <v>36</v>
      </c>
      <c r="Q48" s="653" t="s">
        <v>399</v>
      </c>
      <c r="R48" s="645"/>
      <c r="S48" s="646"/>
    </row>
    <row r="49" spans="1:19">
      <c r="A49" s="652">
        <v>37</v>
      </c>
      <c r="B49" s="653" t="s">
        <v>400</v>
      </c>
      <c r="C49" s="645"/>
      <c r="D49" s="646"/>
      <c r="E49" s="668"/>
      <c r="F49" s="652">
        <v>37</v>
      </c>
      <c r="G49" s="653" t="s">
        <v>400</v>
      </c>
      <c r="H49" s="645"/>
      <c r="I49" s="646"/>
      <c r="K49" s="652">
        <v>37</v>
      </c>
      <c r="L49" s="653" t="s">
        <v>400</v>
      </c>
      <c r="M49" s="645"/>
      <c r="N49" s="646"/>
      <c r="P49" s="652">
        <v>37</v>
      </c>
      <c r="Q49" s="653" t="s">
        <v>400</v>
      </c>
      <c r="R49" s="645"/>
      <c r="S49" s="646"/>
    </row>
    <row r="50" spans="1:19">
      <c r="A50" s="652">
        <v>38</v>
      </c>
      <c r="B50" s="653" t="s">
        <v>401</v>
      </c>
      <c r="C50" s="645"/>
      <c r="D50" s="646"/>
      <c r="E50" s="668"/>
      <c r="F50" s="652">
        <v>38</v>
      </c>
      <c r="G50" s="653" t="s">
        <v>401</v>
      </c>
      <c r="H50" s="645"/>
      <c r="I50" s="646"/>
      <c r="K50" s="652">
        <v>38</v>
      </c>
      <c r="L50" s="653" t="s">
        <v>401</v>
      </c>
      <c r="M50" s="645"/>
      <c r="N50" s="646"/>
      <c r="P50" s="652">
        <v>38</v>
      </c>
      <c r="Q50" s="653" t="s">
        <v>401</v>
      </c>
      <c r="R50" s="645"/>
      <c r="S50" s="646"/>
    </row>
    <row r="51" spans="1:19">
      <c r="A51" s="652">
        <v>39</v>
      </c>
      <c r="B51" s="653" t="s">
        <v>402</v>
      </c>
      <c r="C51" s="645"/>
      <c r="D51" s="646"/>
      <c r="E51" s="668"/>
      <c r="F51" s="652">
        <v>39</v>
      </c>
      <c r="G51" s="653" t="s">
        <v>402</v>
      </c>
      <c r="H51" s="645"/>
      <c r="I51" s="646"/>
      <c r="K51" s="652">
        <v>39</v>
      </c>
      <c r="L51" s="653" t="s">
        <v>402</v>
      </c>
      <c r="M51" s="645"/>
      <c r="N51" s="646"/>
      <c r="P51" s="652">
        <v>39</v>
      </c>
      <c r="Q51" s="653" t="s">
        <v>402</v>
      </c>
      <c r="R51" s="645"/>
      <c r="S51" s="646"/>
    </row>
    <row r="52" spans="1:19">
      <c r="A52" s="652">
        <v>40</v>
      </c>
      <c r="B52" s="653" t="s">
        <v>403</v>
      </c>
      <c r="C52" s="645"/>
      <c r="D52" s="646"/>
      <c r="E52" s="668"/>
      <c r="F52" s="652">
        <v>40</v>
      </c>
      <c r="G52" s="653" t="s">
        <v>403</v>
      </c>
      <c r="H52" s="645"/>
      <c r="I52" s="646"/>
      <c r="K52" s="652">
        <v>40</v>
      </c>
      <c r="L52" s="653" t="s">
        <v>403</v>
      </c>
      <c r="M52" s="645"/>
      <c r="N52" s="646"/>
      <c r="P52" s="652">
        <v>40</v>
      </c>
      <c r="Q52" s="653" t="s">
        <v>403</v>
      </c>
      <c r="R52" s="645"/>
      <c r="S52" s="646"/>
    </row>
    <row r="53" spans="1:19">
      <c r="A53" s="652">
        <v>41</v>
      </c>
      <c r="B53" s="653" t="s">
        <v>404</v>
      </c>
      <c r="C53" s="645"/>
      <c r="D53" s="646"/>
      <c r="E53" s="668"/>
      <c r="F53" s="652">
        <v>41</v>
      </c>
      <c r="G53" s="653" t="s">
        <v>404</v>
      </c>
      <c r="H53" s="645"/>
      <c r="I53" s="646"/>
      <c r="K53" s="652">
        <v>41</v>
      </c>
      <c r="L53" s="653" t="s">
        <v>404</v>
      </c>
      <c r="M53" s="645"/>
      <c r="N53" s="646"/>
      <c r="P53" s="652">
        <v>41</v>
      </c>
      <c r="Q53" s="653" t="s">
        <v>404</v>
      </c>
      <c r="R53" s="645"/>
      <c r="S53" s="646"/>
    </row>
    <row r="54" spans="1:19">
      <c r="A54" s="652">
        <v>42</v>
      </c>
      <c r="B54" s="653" t="s">
        <v>405</v>
      </c>
      <c r="C54" s="645"/>
      <c r="D54" s="646"/>
      <c r="E54" s="668"/>
      <c r="F54" s="652">
        <v>42</v>
      </c>
      <c r="G54" s="653" t="s">
        <v>405</v>
      </c>
      <c r="H54" s="645"/>
      <c r="I54" s="646"/>
      <c r="K54" s="652">
        <v>42</v>
      </c>
      <c r="L54" s="653" t="s">
        <v>405</v>
      </c>
      <c r="M54" s="645"/>
      <c r="N54" s="646"/>
      <c r="P54" s="652">
        <v>42</v>
      </c>
      <c r="Q54" s="653" t="s">
        <v>405</v>
      </c>
      <c r="R54" s="645"/>
      <c r="S54" s="646"/>
    </row>
    <row r="55" spans="1:19">
      <c r="A55" s="652">
        <v>43</v>
      </c>
      <c r="B55" s="653" t="s">
        <v>406</v>
      </c>
      <c r="C55" s="645"/>
      <c r="D55" s="646"/>
      <c r="E55" s="668"/>
      <c r="F55" s="652">
        <v>43</v>
      </c>
      <c r="G55" s="653" t="s">
        <v>406</v>
      </c>
      <c r="H55" s="645"/>
      <c r="I55" s="646"/>
      <c r="K55" s="652">
        <v>43</v>
      </c>
      <c r="L55" s="653" t="s">
        <v>406</v>
      </c>
      <c r="M55" s="645"/>
      <c r="N55" s="646"/>
      <c r="P55" s="652">
        <v>43</v>
      </c>
      <c r="Q55" s="653" t="s">
        <v>406</v>
      </c>
      <c r="R55" s="645"/>
      <c r="S55" s="646"/>
    </row>
    <row r="56" spans="1:19">
      <c r="A56" s="652">
        <v>44</v>
      </c>
      <c r="B56" s="653" t="s">
        <v>407</v>
      </c>
      <c r="C56" s="645"/>
      <c r="D56" s="646"/>
      <c r="E56" s="668"/>
      <c r="F56" s="652">
        <v>44</v>
      </c>
      <c r="G56" s="653" t="s">
        <v>407</v>
      </c>
      <c r="H56" s="645"/>
      <c r="I56" s="646"/>
      <c r="K56" s="652">
        <v>44</v>
      </c>
      <c r="L56" s="653" t="s">
        <v>407</v>
      </c>
      <c r="M56" s="645"/>
      <c r="N56" s="646"/>
      <c r="P56" s="652">
        <v>44</v>
      </c>
      <c r="Q56" s="653" t="s">
        <v>407</v>
      </c>
      <c r="R56" s="645"/>
      <c r="S56" s="646"/>
    </row>
    <row r="57" spans="1:19">
      <c r="A57" s="652">
        <v>45</v>
      </c>
      <c r="B57" s="653" t="s">
        <v>408</v>
      </c>
      <c r="C57" s="645"/>
      <c r="D57" s="646"/>
      <c r="E57" s="668"/>
      <c r="F57" s="652">
        <v>45</v>
      </c>
      <c r="G57" s="653" t="s">
        <v>408</v>
      </c>
      <c r="H57" s="645"/>
      <c r="I57" s="646"/>
      <c r="K57" s="652">
        <v>45</v>
      </c>
      <c r="L57" s="653" t="s">
        <v>408</v>
      </c>
      <c r="M57" s="645"/>
      <c r="N57" s="646"/>
      <c r="P57" s="652">
        <v>45</v>
      </c>
      <c r="Q57" s="653" t="s">
        <v>408</v>
      </c>
      <c r="R57" s="645"/>
      <c r="S57" s="646"/>
    </row>
    <row r="58" spans="1:19">
      <c r="A58" s="652">
        <v>46</v>
      </c>
      <c r="B58" s="653" t="s">
        <v>409</v>
      </c>
      <c r="C58" s="645"/>
      <c r="D58" s="646"/>
      <c r="E58" s="668"/>
      <c r="F58" s="652">
        <v>46</v>
      </c>
      <c r="G58" s="653" t="s">
        <v>409</v>
      </c>
      <c r="H58" s="645"/>
      <c r="I58" s="646"/>
      <c r="K58" s="652">
        <v>46</v>
      </c>
      <c r="L58" s="653" t="s">
        <v>409</v>
      </c>
      <c r="M58" s="645"/>
      <c r="N58" s="646"/>
      <c r="P58" s="652">
        <v>46</v>
      </c>
      <c r="Q58" s="653" t="s">
        <v>409</v>
      </c>
      <c r="R58" s="645"/>
      <c r="S58" s="646"/>
    </row>
    <row r="59" spans="1:19">
      <c r="A59" s="652">
        <v>47</v>
      </c>
      <c r="B59" s="653" t="s">
        <v>410</v>
      </c>
      <c r="C59" s="645"/>
      <c r="D59" s="646"/>
      <c r="E59" s="668"/>
      <c r="F59" s="652">
        <v>47</v>
      </c>
      <c r="G59" s="653" t="s">
        <v>410</v>
      </c>
      <c r="H59" s="645"/>
      <c r="I59" s="646"/>
      <c r="K59" s="652">
        <v>47</v>
      </c>
      <c r="L59" s="653" t="s">
        <v>410</v>
      </c>
      <c r="M59" s="645"/>
      <c r="N59" s="646"/>
      <c r="P59" s="652">
        <v>47</v>
      </c>
      <c r="Q59" s="653" t="s">
        <v>410</v>
      </c>
      <c r="R59" s="645"/>
      <c r="S59" s="646"/>
    </row>
    <row r="60" spans="1:19">
      <c r="A60" s="652">
        <v>48</v>
      </c>
      <c r="B60" s="653" t="s">
        <v>411</v>
      </c>
      <c r="C60" s="645"/>
      <c r="D60" s="646"/>
      <c r="E60" s="668"/>
      <c r="F60" s="652">
        <v>48</v>
      </c>
      <c r="G60" s="653" t="s">
        <v>411</v>
      </c>
      <c r="H60" s="645"/>
      <c r="I60" s="646"/>
      <c r="K60" s="652">
        <v>48</v>
      </c>
      <c r="L60" s="653" t="s">
        <v>411</v>
      </c>
      <c r="M60" s="645"/>
      <c r="N60" s="646"/>
      <c r="P60" s="652">
        <v>48</v>
      </c>
      <c r="Q60" s="653" t="s">
        <v>411</v>
      </c>
      <c r="R60" s="645"/>
      <c r="S60" s="646"/>
    </row>
    <row r="61" spans="1:19">
      <c r="A61" s="652">
        <v>49</v>
      </c>
      <c r="B61" s="653" t="s">
        <v>412</v>
      </c>
      <c r="C61" s="645"/>
      <c r="D61" s="646"/>
      <c r="E61" s="668"/>
      <c r="F61" s="652">
        <v>49</v>
      </c>
      <c r="G61" s="653" t="s">
        <v>412</v>
      </c>
      <c r="H61" s="645"/>
      <c r="I61" s="646"/>
      <c r="K61" s="652">
        <v>49</v>
      </c>
      <c r="L61" s="653" t="s">
        <v>412</v>
      </c>
      <c r="M61" s="645"/>
      <c r="N61" s="646"/>
      <c r="P61" s="652">
        <v>49</v>
      </c>
      <c r="Q61" s="653" t="s">
        <v>412</v>
      </c>
      <c r="R61" s="645"/>
      <c r="S61" s="646"/>
    </row>
    <row r="62" spans="1:19">
      <c r="A62" s="652">
        <v>50</v>
      </c>
      <c r="B62" s="653" t="s">
        <v>413</v>
      </c>
      <c r="C62" s="645"/>
      <c r="D62" s="646"/>
      <c r="E62" s="668"/>
      <c r="F62" s="652">
        <v>50</v>
      </c>
      <c r="G62" s="653" t="s">
        <v>413</v>
      </c>
      <c r="H62" s="645"/>
      <c r="I62" s="646"/>
      <c r="K62" s="652">
        <v>50</v>
      </c>
      <c r="L62" s="653" t="s">
        <v>413</v>
      </c>
      <c r="M62" s="645"/>
      <c r="N62" s="646"/>
      <c r="P62" s="652">
        <v>50</v>
      </c>
      <c r="Q62" s="653" t="s">
        <v>413</v>
      </c>
      <c r="R62" s="645"/>
      <c r="S62" s="646"/>
    </row>
    <row r="63" spans="1:19">
      <c r="A63" s="652">
        <v>51</v>
      </c>
      <c r="B63" s="653" t="s">
        <v>414</v>
      </c>
      <c r="C63" s="645"/>
      <c r="D63" s="646"/>
      <c r="E63" s="668"/>
      <c r="F63" s="652">
        <v>51</v>
      </c>
      <c r="G63" s="653" t="s">
        <v>414</v>
      </c>
      <c r="H63" s="645"/>
      <c r="I63" s="646"/>
      <c r="K63" s="652">
        <v>51</v>
      </c>
      <c r="L63" s="653" t="s">
        <v>414</v>
      </c>
      <c r="M63" s="645"/>
      <c r="N63" s="646"/>
      <c r="P63" s="652">
        <v>51</v>
      </c>
      <c r="Q63" s="653" t="s">
        <v>414</v>
      </c>
      <c r="R63" s="645"/>
      <c r="S63" s="646"/>
    </row>
    <row r="64" spans="1:19">
      <c r="A64" s="652">
        <v>52</v>
      </c>
      <c r="B64" s="653" t="s">
        <v>415</v>
      </c>
      <c r="C64" s="645"/>
      <c r="D64" s="646"/>
      <c r="E64" s="668"/>
      <c r="F64" s="652">
        <v>52</v>
      </c>
      <c r="G64" s="653" t="s">
        <v>415</v>
      </c>
      <c r="H64" s="645"/>
      <c r="I64" s="646"/>
      <c r="K64" s="652">
        <v>52</v>
      </c>
      <c r="L64" s="653" t="s">
        <v>415</v>
      </c>
      <c r="M64" s="645"/>
      <c r="N64" s="646"/>
      <c r="P64" s="652">
        <v>52</v>
      </c>
      <c r="Q64" s="653" t="s">
        <v>415</v>
      </c>
      <c r="R64" s="645"/>
      <c r="S64" s="646"/>
    </row>
    <row r="65" spans="1:19">
      <c r="A65" s="652">
        <v>53</v>
      </c>
      <c r="B65" s="653" t="s">
        <v>416</v>
      </c>
      <c r="C65" s="645"/>
      <c r="D65" s="646"/>
      <c r="E65" s="668"/>
      <c r="F65" s="652">
        <v>53</v>
      </c>
      <c r="G65" s="653" t="s">
        <v>416</v>
      </c>
      <c r="H65" s="645"/>
      <c r="I65" s="646"/>
      <c r="K65" s="652">
        <v>53</v>
      </c>
      <c r="L65" s="653" t="s">
        <v>416</v>
      </c>
      <c r="M65" s="645"/>
      <c r="N65" s="646"/>
      <c r="P65" s="652">
        <v>53</v>
      </c>
      <c r="Q65" s="653" t="s">
        <v>416</v>
      </c>
      <c r="R65" s="645"/>
      <c r="S65" s="646"/>
    </row>
    <row r="66" spans="1:19">
      <c r="A66" s="652">
        <v>54</v>
      </c>
      <c r="B66" s="653" t="s">
        <v>417</v>
      </c>
      <c r="C66" s="645"/>
      <c r="D66" s="646"/>
      <c r="E66" s="668"/>
      <c r="F66" s="652">
        <v>54</v>
      </c>
      <c r="G66" s="653" t="s">
        <v>417</v>
      </c>
      <c r="H66" s="645"/>
      <c r="I66" s="646"/>
      <c r="K66" s="652">
        <v>54</v>
      </c>
      <c r="L66" s="653" t="s">
        <v>417</v>
      </c>
      <c r="M66" s="645"/>
      <c r="N66" s="646"/>
      <c r="P66" s="652">
        <v>54</v>
      </c>
      <c r="Q66" s="653" t="s">
        <v>417</v>
      </c>
      <c r="R66" s="645"/>
      <c r="S66" s="646"/>
    </row>
    <row r="67" spans="1:19">
      <c r="A67" s="652">
        <v>55</v>
      </c>
      <c r="B67" s="653" t="s">
        <v>418</v>
      </c>
      <c r="C67" s="645"/>
      <c r="D67" s="646"/>
      <c r="E67" s="668"/>
      <c r="F67" s="652">
        <v>55</v>
      </c>
      <c r="G67" s="653" t="s">
        <v>418</v>
      </c>
      <c r="H67" s="645"/>
      <c r="I67" s="646"/>
      <c r="K67" s="652">
        <v>55</v>
      </c>
      <c r="L67" s="653" t="s">
        <v>418</v>
      </c>
      <c r="M67" s="645"/>
      <c r="N67" s="646"/>
      <c r="P67" s="652">
        <v>55</v>
      </c>
      <c r="Q67" s="653" t="s">
        <v>418</v>
      </c>
      <c r="R67" s="645"/>
      <c r="S67" s="646"/>
    </row>
    <row r="68" spans="1:19">
      <c r="A68" s="652">
        <v>56</v>
      </c>
      <c r="B68" s="653" t="s">
        <v>419</v>
      </c>
      <c r="C68" s="645"/>
      <c r="D68" s="646"/>
      <c r="E68" s="668"/>
      <c r="F68" s="652">
        <v>56</v>
      </c>
      <c r="G68" s="653" t="s">
        <v>419</v>
      </c>
      <c r="H68" s="645"/>
      <c r="I68" s="646"/>
      <c r="K68" s="652">
        <v>56</v>
      </c>
      <c r="L68" s="653" t="s">
        <v>419</v>
      </c>
      <c r="M68" s="645"/>
      <c r="N68" s="646"/>
      <c r="P68" s="652">
        <v>56</v>
      </c>
      <c r="Q68" s="653" t="s">
        <v>419</v>
      </c>
      <c r="R68" s="645"/>
      <c r="S68" s="646"/>
    </row>
    <row r="69" spans="1:19">
      <c r="A69" s="652">
        <v>57</v>
      </c>
      <c r="B69" s="653" t="s">
        <v>420</v>
      </c>
      <c r="C69" s="645"/>
      <c r="D69" s="646"/>
      <c r="E69" s="668"/>
      <c r="F69" s="652">
        <v>57</v>
      </c>
      <c r="G69" s="653" t="s">
        <v>420</v>
      </c>
      <c r="H69" s="645"/>
      <c r="I69" s="646"/>
      <c r="K69" s="652">
        <v>57</v>
      </c>
      <c r="L69" s="653" t="s">
        <v>420</v>
      </c>
      <c r="M69" s="645"/>
      <c r="N69" s="646"/>
      <c r="P69" s="652">
        <v>57</v>
      </c>
      <c r="Q69" s="653" t="s">
        <v>420</v>
      </c>
      <c r="R69" s="645"/>
      <c r="S69" s="646"/>
    </row>
    <row r="70" spans="1:19">
      <c r="A70" s="652">
        <v>58</v>
      </c>
      <c r="B70" s="653" t="s">
        <v>421</v>
      </c>
      <c r="C70" s="645"/>
      <c r="D70" s="646"/>
      <c r="E70" s="668"/>
      <c r="F70" s="652">
        <v>58</v>
      </c>
      <c r="G70" s="653" t="s">
        <v>421</v>
      </c>
      <c r="H70" s="645"/>
      <c r="I70" s="646"/>
      <c r="K70" s="652">
        <v>58</v>
      </c>
      <c r="L70" s="653" t="s">
        <v>421</v>
      </c>
      <c r="M70" s="645"/>
      <c r="N70" s="646"/>
      <c r="P70" s="652">
        <v>58</v>
      </c>
      <c r="Q70" s="653" t="s">
        <v>421</v>
      </c>
      <c r="R70" s="645"/>
      <c r="S70" s="646"/>
    </row>
    <row r="71" spans="1:19">
      <c r="A71" s="652">
        <v>59</v>
      </c>
      <c r="B71" s="653" t="s">
        <v>422</v>
      </c>
      <c r="C71" s="645"/>
      <c r="D71" s="646"/>
      <c r="E71" s="668"/>
      <c r="F71" s="652">
        <v>59</v>
      </c>
      <c r="G71" s="653" t="s">
        <v>422</v>
      </c>
      <c r="H71" s="645"/>
      <c r="I71" s="646"/>
      <c r="K71" s="652">
        <v>59</v>
      </c>
      <c r="L71" s="653" t="s">
        <v>422</v>
      </c>
      <c r="M71" s="645"/>
      <c r="N71" s="646"/>
      <c r="P71" s="652">
        <v>59</v>
      </c>
      <c r="Q71" s="653" t="s">
        <v>422</v>
      </c>
      <c r="R71" s="645"/>
      <c r="S71" s="646"/>
    </row>
    <row r="72" spans="1:19">
      <c r="A72" s="652">
        <v>60</v>
      </c>
      <c r="B72" s="653" t="s">
        <v>423</v>
      </c>
      <c r="C72" s="645"/>
      <c r="D72" s="646"/>
      <c r="E72" s="668"/>
      <c r="F72" s="652">
        <v>60</v>
      </c>
      <c r="G72" s="653" t="s">
        <v>423</v>
      </c>
      <c r="H72" s="645"/>
      <c r="I72" s="646"/>
      <c r="K72" s="652">
        <v>60</v>
      </c>
      <c r="L72" s="653" t="s">
        <v>423</v>
      </c>
      <c r="M72" s="645"/>
      <c r="N72" s="646"/>
      <c r="P72" s="652">
        <v>60</v>
      </c>
      <c r="Q72" s="653" t="s">
        <v>423</v>
      </c>
      <c r="R72" s="645"/>
      <c r="S72" s="646"/>
    </row>
    <row r="73" spans="1:19">
      <c r="A73" s="652">
        <v>61</v>
      </c>
      <c r="B73" s="653" t="s">
        <v>424</v>
      </c>
      <c r="C73" s="645"/>
      <c r="D73" s="646"/>
      <c r="E73" s="668"/>
      <c r="F73" s="652">
        <v>61</v>
      </c>
      <c r="G73" s="653" t="s">
        <v>424</v>
      </c>
      <c r="H73" s="645"/>
      <c r="I73" s="646"/>
      <c r="K73" s="652">
        <v>61</v>
      </c>
      <c r="L73" s="653" t="s">
        <v>424</v>
      </c>
      <c r="M73" s="645"/>
      <c r="N73" s="646"/>
      <c r="P73" s="652">
        <v>61</v>
      </c>
      <c r="Q73" s="653" t="s">
        <v>424</v>
      </c>
      <c r="R73" s="645"/>
      <c r="S73" s="646"/>
    </row>
    <row r="74" spans="1:19">
      <c r="A74" s="652">
        <v>62</v>
      </c>
      <c r="B74" s="653" t="s">
        <v>425</v>
      </c>
      <c r="C74" s="645"/>
      <c r="D74" s="646"/>
      <c r="E74" s="668"/>
      <c r="F74" s="652">
        <v>62</v>
      </c>
      <c r="G74" s="653" t="s">
        <v>425</v>
      </c>
      <c r="H74" s="645"/>
      <c r="I74" s="646"/>
      <c r="K74" s="652">
        <v>62</v>
      </c>
      <c r="L74" s="653" t="s">
        <v>425</v>
      </c>
      <c r="M74" s="645"/>
      <c r="N74" s="646"/>
      <c r="P74" s="652">
        <v>62</v>
      </c>
      <c r="Q74" s="653" t="s">
        <v>425</v>
      </c>
      <c r="R74" s="645"/>
      <c r="S74" s="646"/>
    </row>
    <row r="75" spans="1:19">
      <c r="A75" s="652">
        <v>63</v>
      </c>
      <c r="B75" s="654" t="s">
        <v>426</v>
      </c>
      <c r="C75" s="645"/>
      <c r="D75" s="646"/>
      <c r="E75" s="668"/>
      <c r="F75" s="652">
        <v>63</v>
      </c>
      <c r="G75" s="654" t="s">
        <v>426</v>
      </c>
      <c r="H75" s="645"/>
      <c r="I75" s="646"/>
      <c r="K75" s="652">
        <v>63</v>
      </c>
      <c r="L75" s="654" t="s">
        <v>426</v>
      </c>
      <c r="M75" s="645"/>
      <c r="N75" s="646"/>
      <c r="P75" s="652">
        <v>63</v>
      </c>
      <c r="Q75" s="654" t="s">
        <v>426</v>
      </c>
      <c r="R75" s="645"/>
      <c r="S75" s="646"/>
    </row>
    <row r="76" spans="1:19">
      <c r="A76" s="652">
        <v>64</v>
      </c>
      <c r="B76" s="654" t="s">
        <v>427</v>
      </c>
      <c r="C76" s="645"/>
      <c r="D76" s="646"/>
      <c r="E76" s="668"/>
      <c r="F76" s="652">
        <v>64</v>
      </c>
      <c r="G76" s="654" t="s">
        <v>427</v>
      </c>
      <c r="H76" s="645"/>
      <c r="I76" s="646"/>
      <c r="K76" s="652">
        <v>64</v>
      </c>
      <c r="L76" s="654" t="s">
        <v>427</v>
      </c>
      <c r="M76" s="645"/>
      <c r="N76" s="646"/>
      <c r="P76" s="652">
        <v>64</v>
      </c>
      <c r="Q76" s="654" t="s">
        <v>427</v>
      </c>
      <c r="R76" s="645"/>
      <c r="S76" s="646"/>
    </row>
    <row r="77" spans="1:19">
      <c r="A77" s="652">
        <v>65</v>
      </c>
      <c r="B77" s="654" t="s">
        <v>428</v>
      </c>
      <c r="C77" s="645"/>
      <c r="D77" s="646"/>
      <c r="E77" s="668"/>
      <c r="F77" s="652">
        <v>65</v>
      </c>
      <c r="G77" s="654" t="s">
        <v>428</v>
      </c>
      <c r="H77" s="645"/>
      <c r="I77" s="646"/>
      <c r="K77" s="652">
        <v>65</v>
      </c>
      <c r="L77" s="654" t="s">
        <v>428</v>
      </c>
      <c r="M77" s="645"/>
      <c r="N77" s="646"/>
      <c r="P77" s="652">
        <v>65</v>
      </c>
      <c r="Q77" s="654" t="s">
        <v>428</v>
      </c>
      <c r="R77" s="645"/>
      <c r="S77" s="646"/>
    </row>
    <row r="78" spans="1:19">
      <c r="A78" s="652">
        <v>66</v>
      </c>
      <c r="B78" s="654" t="s">
        <v>429</v>
      </c>
      <c r="C78" s="645"/>
      <c r="D78" s="646"/>
      <c r="E78" s="668"/>
      <c r="F78" s="652">
        <v>66</v>
      </c>
      <c r="G78" s="654" t="s">
        <v>429</v>
      </c>
      <c r="H78" s="645"/>
      <c r="I78" s="646"/>
      <c r="K78" s="652">
        <v>66</v>
      </c>
      <c r="L78" s="654" t="s">
        <v>429</v>
      </c>
      <c r="M78" s="645"/>
      <c r="N78" s="646"/>
      <c r="P78" s="652">
        <v>66</v>
      </c>
      <c r="Q78" s="654" t="s">
        <v>429</v>
      </c>
      <c r="R78" s="645"/>
      <c r="S78" s="646"/>
    </row>
    <row r="79" spans="1:19">
      <c r="A79" s="652">
        <v>67</v>
      </c>
      <c r="B79" s="654" t="s">
        <v>430</v>
      </c>
      <c r="C79" s="645"/>
      <c r="D79" s="646"/>
      <c r="E79" s="668"/>
      <c r="F79" s="652">
        <v>67</v>
      </c>
      <c r="G79" s="654" t="s">
        <v>430</v>
      </c>
      <c r="H79" s="645"/>
      <c r="I79" s="646"/>
      <c r="K79" s="652">
        <v>67</v>
      </c>
      <c r="L79" s="654" t="s">
        <v>430</v>
      </c>
      <c r="M79" s="645"/>
      <c r="N79" s="646"/>
      <c r="P79" s="652">
        <v>67</v>
      </c>
      <c r="Q79" s="654" t="s">
        <v>430</v>
      </c>
      <c r="R79" s="645"/>
      <c r="S79" s="646"/>
    </row>
    <row r="80" spans="1:19">
      <c r="A80" s="652">
        <v>68</v>
      </c>
      <c r="B80" s="654" t="s">
        <v>431</v>
      </c>
      <c r="C80" s="645"/>
      <c r="D80" s="646"/>
      <c r="E80" s="668"/>
      <c r="F80" s="652">
        <v>68</v>
      </c>
      <c r="G80" s="654" t="s">
        <v>431</v>
      </c>
      <c r="H80" s="645"/>
      <c r="I80" s="646"/>
      <c r="K80" s="652">
        <v>68</v>
      </c>
      <c r="L80" s="654" t="s">
        <v>431</v>
      </c>
      <c r="M80" s="645"/>
      <c r="N80" s="646"/>
      <c r="P80" s="652">
        <v>68</v>
      </c>
      <c r="Q80" s="654" t="s">
        <v>431</v>
      </c>
      <c r="R80" s="645"/>
      <c r="S80" s="646"/>
    </row>
    <row r="81" spans="1:19">
      <c r="A81" s="652">
        <v>69</v>
      </c>
      <c r="B81" s="654" t="s">
        <v>432</v>
      </c>
      <c r="C81" s="645"/>
      <c r="D81" s="646"/>
      <c r="E81" s="668"/>
      <c r="F81" s="652">
        <v>69</v>
      </c>
      <c r="G81" s="654" t="s">
        <v>432</v>
      </c>
      <c r="H81" s="645"/>
      <c r="I81" s="646"/>
      <c r="K81" s="652">
        <v>69</v>
      </c>
      <c r="L81" s="654" t="s">
        <v>432</v>
      </c>
      <c r="M81" s="645"/>
      <c r="N81" s="646"/>
      <c r="P81" s="652">
        <v>69</v>
      </c>
      <c r="Q81" s="654" t="s">
        <v>432</v>
      </c>
      <c r="R81" s="645"/>
      <c r="S81" s="646"/>
    </row>
    <row r="82" spans="1:19">
      <c r="A82" s="652">
        <v>70</v>
      </c>
      <c r="B82" s="654" t="s">
        <v>433</v>
      </c>
      <c r="C82" s="645"/>
      <c r="D82" s="646"/>
      <c r="E82" s="668"/>
      <c r="F82" s="652">
        <v>70</v>
      </c>
      <c r="G82" s="654" t="s">
        <v>433</v>
      </c>
      <c r="H82" s="645"/>
      <c r="I82" s="646"/>
      <c r="K82" s="652">
        <v>70</v>
      </c>
      <c r="L82" s="654" t="s">
        <v>433</v>
      </c>
      <c r="M82" s="645"/>
      <c r="N82" s="646"/>
      <c r="P82" s="652">
        <v>70</v>
      </c>
      <c r="Q82" s="654" t="s">
        <v>433</v>
      </c>
      <c r="R82" s="645"/>
      <c r="S82" s="646"/>
    </row>
    <row r="83" spans="1:19">
      <c r="A83" s="652">
        <v>71</v>
      </c>
      <c r="B83" s="654" t="s">
        <v>434</v>
      </c>
      <c r="C83" s="645"/>
      <c r="D83" s="646"/>
      <c r="E83" s="668"/>
      <c r="F83" s="652">
        <v>71</v>
      </c>
      <c r="G83" s="654" t="s">
        <v>434</v>
      </c>
      <c r="H83" s="645"/>
      <c r="I83" s="646"/>
      <c r="K83" s="652">
        <v>71</v>
      </c>
      <c r="L83" s="654" t="s">
        <v>434</v>
      </c>
      <c r="M83" s="645"/>
      <c r="N83" s="646"/>
      <c r="P83" s="652">
        <v>71</v>
      </c>
      <c r="Q83" s="654" t="s">
        <v>434</v>
      </c>
      <c r="R83" s="645"/>
      <c r="S83" s="646"/>
    </row>
    <row r="84" spans="1:19">
      <c r="A84" s="652">
        <v>72</v>
      </c>
      <c r="B84" s="654" t="s">
        <v>435</v>
      </c>
      <c r="C84" s="645"/>
      <c r="D84" s="646"/>
      <c r="E84" s="668"/>
      <c r="F84" s="652">
        <v>72</v>
      </c>
      <c r="G84" s="654" t="s">
        <v>435</v>
      </c>
      <c r="H84" s="645"/>
      <c r="I84" s="646"/>
      <c r="K84" s="652">
        <v>72</v>
      </c>
      <c r="L84" s="654" t="s">
        <v>435</v>
      </c>
      <c r="M84" s="645"/>
      <c r="N84" s="646"/>
      <c r="P84" s="652">
        <v>72</v>
      </c>
      <c r="Q84" s="654" t="s">
        <v>435</v>
      </c>
      <c r="R84" s="645"/>
      <c r="S84" s="646"/>
    </row>
    <row r="85" spans="1:19">
      <c r="A85" s="652">
        <v>73</v>
      </c>
      <c r="B85" s="654" t="s">
        <v>436</v>
      </c>
      <c r="C85" s="645"/>
      <c r="D85" s="646"/>
      <c r="E85" s="668"/>
      <c r="F85" s="652">
        <v>73</v>
      </c>
      <c r="G85" s="654" t="s">
        <v>436</v>
      </c>
      <c r="H85" s="645"/>
      <c r="I85" s="646"/>
      <c r="K85" s="652">
        <v>73</v>
      </c>
      <c r="L85" s="654" t="s">
        <v>436</v>
      </c>
      <c r="M85" s="645"/>
      <c r="N85" s="646"/>
      <c r="P85" s="652">
        <v>73</v>
      </c>
      <c r="Q85" s="654" t="s">
        <v>436</v>
      </c>
      <c r="R85" s="645"/>
      <c r="S85" s="646"/>
    </row>
    <row r="86" spans="1:19">
      <c r="A86" s="652">
        <v>74</v>
      </c>
      <c r="B86" s="654" t="s">
        <v>437</v>
      </c>
      <c r="C86" s="645"/>
      <c r="D86" s="646"/>
      <c r="E86" s="668"/>
      <c r="F86" s="652">
        <v>74</v>
      </c>
      <c r="G86" s="654" t="s">
        <v>437</v>
      </c>
      <c r="H86" s="645"/>
      <c r="I86" s="646"/>
      <c r="K86" s="652">
        <v>74</v>
      </c>
      <c r="L86" s="654" t="s">
        <v>437</v>
      </c>
      <c r="M86" s="645"/>
      <c r="N86" s="646"/>
      <c r="P86" s="652">
        <v>74</v>
      </c>
      <c r="Q86" s="654" t="s">
        <v>437</v>
      </c>
      <c r="R86" s="645"/>
      <c r="S86" s="646"/>
    </row>
    <row r="87" spans="1:19">
      <c r="A87" s="652">
        <v>75</v>
      </c>
      <c r="B87" s="654" t="s">
        <v>438</v>
      </c>
      <c r="C87" s="645"/>
      <c r="D87" s="646"/>
      <c r="E87" s="668"/>
      <c r="F87" s="652">
        <v>75</v>
      </c>
      <c r="G87" s="654" t="s">
        <v>438</v>
      </c>
      <c r="H87" s="645"/>
      <c r="I87" s="646"/>
      <c r="K87" s="652">
        <v>75</v>
      </c>
      <c r="L87" s="654" t="s">
        <v>438</v>
      </c>
      <c r="M87" s="645"/>
      <c r="N87" s="646"/>
      <c r="P87" s="652">
        <v>75</v>
      </c>
      <c r="Q87" s="654" t="s">
        <v>438</v>
      </c>
      <c r="R87" s="645"/>
      <c r="S87" s="646"/>
    </row>
    <row r="88" spans="1:19">
      <c r="A88" s="652">
        <v>76</v>
      </c>
      <c r="B88" s="654" t="s">
        <v>439</v>
      </c>
      <c r="C88" s="645"/>
      <c r="D88" s="646"/>
      <c r="E88" s="668"/>
      <c r="F88" s="652">
        <v>76</v>
      </c>
      <c r="G88" s="654" t="s">
        <v>439</v>
      </c>
      <c r="H88" s="645"/>
      <c r="I88" s="646"/>
      <c r="K88" s="652">
        <v>76</v>
      </c>
      <c r="L88" s="654" t="s">
        <v>439</v>
      </c>
      <c r="M88" s="645"/>
      <c r="N88" s="646"/>
      <c r="P88" s="652">
        <v>76</v>
      </c>
      <c r="Q88" s="654" t="s">
        <v>439</v>
      </c>
      <c r="R88" s="645"/>
      <c r="S88" s="646"/>
    </row>
    <row r="89" spans="1:19">
      <c r="A89" s="652">
        <v>77</v>
      </c>
      <c r="B89" s="654" t="s">
        <v>440</v>
      </c>
      <c r="C89" s="645"/>
      <c r="D89" s="646"/>
      <c r="E89" s="668"/>
      <c r="F89" s="652">
        <v>77</v>
      </c>
      <c r="G89" s="654" t="s">
        <v>440</v>
      </c>
      <c r="H89" s="645"/>
      <c r="I89" s="646"/>
      <c r="K89" s="652">
        <v>77</v>
      </c>
      <c r="L89" s="654" t="s">
        <v>440</v>
      </c>
      <c r="M89" s="645"/>
      <c r="N89" s="646"/>
      <c r="P89" s="652">
        <v>77</v>
      </c>
      <c r="Q89" s="654" t="s">
        <v>440</v>
      </c>
      <c r="R89" s="645"/>
      <c r="S89" s="646"/>
    </row>
    <row r="90" spans="1:19">
      <c r="A90" s="652">
        <v>78</v>
      </c>
      <c r="B90" s="654" t="s">
        <v>441</v>
      </c>
      <c r="C90" s="645"/>
      <c r="D90" s="646"/>
      <c r="E90" s="668"/>
      <c r="F90" s="652">
        <v>78</v>
      </c>
      <c r="G90" s="654" t="s">
        <v>441</v>
      </c>
      <c r="H90" s="645"/>
      <c r="I90" s="646"/>
      <c r="K90" s="652">
        <v>78</v>
      </c>
      <c r="L90" s="654" t="s">
        <v>441</v>
      </c>
      <c r="M90" s="645"/>
      <c r="N90" s="646"/>
      <c r="P90" s="652">
        <v>78</v>
      </c>
      <c r="Q90" s="654" t="s">
        <v>441</v>
      </c>
      <c r="R90" s="645"/>
      <c r="S90" s="646"/>
    </row>
    <row r="91" spans="1:19">
      <c r="A91" s="652">
        <v>79</v>
      </c>
      <c r="B91" s="654" t="s">
        <v>442</v>
      </c>
      <c r="C91" s="645"/>
      <c r="D91" s="646"/>
      <c r="E91" s="668"/>
      <c r="F91" s="652">
        <v>79</v>
      </c>
      <c r="G91" s="654" t="s">
        <v>442</v>
      </c>
      <c r="H91" s="645"/>
      <c r="I91" s="646"/>
      <c r="K91" s="652">
        <v>79</v>
      </c>
      <c r="L91" s="654" t="s">
        <v>442</v>
      </c>
      <c r="M91" s="645"/>
      <c r="N91" s="646"/>
      <c r="P91" s="652">
        <v>79</v>
      </c>
      <c r="Q91" s="654" t="s">
        <v>442</v>
      </c>
      <c r="R91" s="645"/>
      <c r="S91" s="646"/>
    </row>
    <row r="92" spans="1:19">
      <c r="A92" s="652">
        <v>80</v>
      </c>
      <c r="B92" s="654" t="s">
        <v>443</v>
      </c>
      <c r="C92" s="645"/>
      <c r="D92" s="646"/>
      <c r="E92" s="668"/>
      <c r="F92" s="652">
        <v>80</v>
      </c>
      <c r="G92" s="654" t="s">
        <v>443</v>
      </c>
      <c r="H92" s="645"/>
      <c r="I92" s="646"/>
      <c r="K92" s="652">
        <v>80</v>
      </c>
      <c r="L92" s="654" t="s">
        <v>443</v>
      </c>
      <c r="M92" s="645"/>
      <c r="N92" s="646"/>
      <c r="P92" s="652">
        <v>80</v>
      </c>
      <c r="Q92" s="654" t="s">
        <v>443</v>
      </c>
      <c r="R92" s="645"/>
      <c r="S92" s="646"/>
    </row>
    <row r="93" spans="1:19">
      <c r="A93" s="652">
        <v>81</v>
      </c>
      <c r="B93" s="654" t="s">
        <v>444</v>
      </c>
      <c r="C93" s="645"/>
      <c r="D93" s="646"/>
      <c r="E93" s="668"/>
      <c r="F93" s="652">
        <v>81</v>
      </c>
      <c r="G93" s="654" t="s">
        <v>444</v>
      </c>
      <c r="H93" s="645"/>
      <c r="I93" s="646"/>
      <c r="K93" s="652">
        <v>81</v>
      </c>
      <c r="L93" s="654" t="s">
        <v>444</v>
      </c>
      <c r="M93" s="645"/>
      <c r="N93" s="646"/>
      <c r="P93" s="652">
        <v>81</v>
      </c>
      <c r="Q93" s="654" t="s">
        <v>444</v>
      </c>
      <c r="R93" s="645"/>
      <c r="S93" s="646"/>
    </row>
    <row r="94" spans="1:19">
      <c r="A94" s="652">
        <v>82</v>
      </c>
      <c r="B94" s="654" t="s">
        <v>445</v>
      </c>
      <c r="C94" s="645"/>
      <c r="D94" s="646"/>
      <c r="E94" s="668"/>
      <c r="F94" s="652">
        <v>82</v>
      </c>
      <c r="G94" s="654" t="s">
        <v>445</v>
      </c>
      <c r="H94" s="645"/>
      <c r="I94" s="646"/>
      <c r="K94" s="652">
        <v>82</v>
      </c>
      <c r="L94" s="654" t="s">
        <v>445</v>
      </c>
      <c r="M94" s="645"/>
      <c r="N94" s="646"/>
      <c r="P94" s="652">
        <v>82</v>
      </c>
      <c r="Q94" s="654" t="s">
        <v>445</v>
      </c>
      <c r="R94" s="645"/>
      <c r="S94" s="646"/>
    </row>
    <row r="95" spans="1:19">
      <c r="A95" s="652">
        <v>83</v>
      </c>
      <c r="B95" s="654" t="s">
        <v>446</v>
      </c>
      <c r="C95" s="645"/>
      <c r="D95" s="646"/>
      <c r="E95" s="668"/>
      <c r="F95" s="652">
        <v>83</v>
      </c>
      <c r="G95" s="654" t="s">
        <v>446</v>
      </c>
      <c r="H95" s="645"/>
      <c r="I95" s="646"/>
      <c r="K95" s="652">
        <v>83</v>
      </c>
      <c r="L95" s="654" t="s">
        <v>446</v>
      </c>
      <c r="M95" s="645"/>
      <c r="N95" s="646"/>
      <c r="P95" s="652">
        <v>83</v>
      </c>
      <c r="Q95" s="654" t="s">
        <v>446</v>
      </c>
      <c r="R95" s="645"/>
      <c r="S95" s="646"/>
    </row>
    <row r="96" spans="1:19">
      <c r="A96" s="652">
        <v>84</v>
      </c>
      <c r="B96" s="654" t="s">
        <v>447</v>
      </c>
      <c r="C96" s="645"/>
      <c r="D96" s="646"/>
      <c r="E96" s="668"/>
      <c r="F96" s="652">
        <v>84</v>
      </c>
      <c r="G96" s="654" t="s">
        <v>447</v>
      </c>
      <c r="H96" s="645"/>
      <c r="I96" s="646"/>
      <c r="K96" s="652">
        <v>84</v>
      </c>
      <c r="L96" s="654" t="s">
        <v>447</v>
      </c>
      <c r="M96" s="645"/>
      <c r="N96" s="646"/>
      <c r="P96" s="652">
        <v>84</v>
      </c>
      <c r="Q96" s="654" t="s">
        <v>447</v>
      </c>
      <c r="R96" s="645"/>
      <c r="S96" s="646"/>
    </row>
    <row r="97" spans="1:19">
      <c r="A97" s="652">
        <v>85</v>
      </c>
      <c r="B97" s="654" t="s">
        <v>448</v>
      </c>
      <c r="C97" s="645"/>
      <c r="D97" s="646"/>
      <c r="E97" s="668"/>
      <c r="F97" s="652">
        <v>85</v>
      </c>
      <c r="G97" s="654" t="s">
        <v>448</v>
      </c>
      <c r="H97" s="645"/>
      <c r="I97" s="646"/>
      <c r="K97" s="652">
        <v>85</v>
      </c>
      <c r="L97" s="654" t="s">
        <v>448</v>
      </c>
      <c r="M97" s="645"/>
      <c r="N97" s="646"/>
      <c r="P97" s="652">
        <v>85</v>
      </c>
      <c r="Q97" s="654" t="s">
        <v>448</v>
      </c>
      <c r="R97" s="645"/>
      <c r="S97" s="646"/>
    </row>
    <row r="98" spans="1:19">
      <c r="A98" s="652">
        <v>86</v>
      </c>
      <c r="B98" s="654" t="s">
        <v>449</v>
      </c>
      <c r="C98" s="645"/>
      <c r="D98" s="646"/>
      <c r="E98" s="668"/>
      <c r="F98" s="652">
        <v>86</v>
      </c>
      <c r="G98" s="654" t="s">
        <v>449</v>
      </c>
      <c r="H98" s="645"/>
      <c r="I98" s="646"/>
      <c r="K98" s="652">
        <v>86</v>
      </c>
      <c r="L98" s="654" t="s">
        <v>449</v>
      </c>
      <c r="M98" s="645"/>
      <c r="N98" s="646"/>
      <c r="P98" s="652">
        <v>86</v>
      </c>
      <c r="Q98" s="654" t="s">
        <v>449</v>
      </c>
      <c r="R98" s="645"/>
      <c r="S98" s="646"/>
    </row>
    <row r="99" spans="1:19">
      <c r="A99" s="652">
        <v>87</v>
      </c>
      <c r="B99" s="654" t="s">
        <v>450</v>
      </c>
      <c r="C99" s="645"/>
      <c r="D99" s="646"/>
      <c r="E99" s="668"/>
      <c r="F99" s="652">
        <v>87</v>
      </c>
      <c r="G99" s="654" t="s">
        <v>450</v>
      </c>
      <c r="H99" s="645"/>
      <c r="I99" s="646"/>
      <c r="K99" s="652">
        <v>87</v>
      </c>
      <c r="L99" s="654" t="s">
        <v>450</v>
      </c>
      <c r="M99" s="645"/>
      <c r="N99" s="646"/>
      <c r="P99" s="652">
        <v>87</v>
      </c>
      <c r="Q99" s="654" t="s">
        <v>450</v>
      </c>
      <c r="R99" s="645"/>
      <c r="S99" s="646"/>
    </row>
    <row r="100" spans="1:19">
      <c r="A100" s="652">
        <v>88</v>
      </c>
      <c r="B100" s="654" t="s">
        <v>451</v>
      </c>
      <c r="C100" s="645"/>
      <c r="D100" s="646"/>
      <c r="E100" s="668"/>
      <c r="F100" s="652">
        <v>88</v>
      </c>
      <c r="G100" s="654" t="s">
        <v>451</v>
      </c>
      <c r="H100" s="645"/>
      <c r="I100" s="646"/>
      <c r="K100" s="652">
        <v>88</v>
      </c>
      <c r="L100" s="654" t="s">
        <v>451</v>
      </c>
      <c r="M100" s="645"/>
      <c r="N100" s="646"/>
      <c r="P100" s="652">
        <v>88</v>
      </c>
      <c r="Q100" s="654" t="s">
        <v>451</v>
      </c>
      <c r="R100" s="645"/>
      <c r="S100" s="646"/>
    </row>
    <row r="101" spans="1:19">
      <c r="A101" s="652">
        <v>89</v>
      </c>
      <c r="B101" s="654" t="s">
        <v>452</v>
      </c>
      <c r="C101" s="645"/>
      <c r="D101" s="646"/>
      <c r="E101" s="668"/>
      <c r="F101" s="652">
        <v>89</v>
      </c>
      <c r="G101" s="654" t="s">
        <v>452</v>
      </c>
      <c r="H101" s="645"/>
      <c r="I101" s="646"/>
      <c r="K101" s="652">
        <v>89</v>
      </c>
      <c r="L101" s="654" t="s">
        <v>452</v>
      </c>
      <c r="M101" s="645"/>
      <c r="N101" s="646"/>
      <c r="P101" s="652">
        <v>89</v>
      </c>
      <c r="Q101" s="654" t="s">
        <v>452</v>
      </c>
      <c r="R101" s="645"/>
      <c r="S101" s="646"/>
    </row>
    <row r="102" spans="1:19">
      <c r="A102" s="652">
        <v>90</v>
      </c>
      <c r="B102" s="654" t="s">
        <v>453</v>
      </c>
      <c r="C102" s="645"/>
      <c r="D102" s="646"/>
      <c r="E102" s="668"/>
      <c r="F102" s="652">
        <v>90</v>
      </c>
      <c r="G102" s="654" t="s">
        <v>453</v>
      </c>
      <c r="H102" s="645"/>
      <c r="I102" s="646"/>
      <c r="K102" s="652">
        <v>90</v>
      </c>
      <c r="L102" s="654" t="s">
        <v>453</v>
      </c>
      <c r="M102" s="645"/>
      <c r="N102" s="646"/>
      <c r="P102" s="652">
        <v>90</v>
      </c>
      <c r="Q102" s="654" t="s">
        <v>453</v>
      </c>
      <c r="R102" s="645"/>
      <c r="S102" s="646"/>
    </row>
    <row r="103" spans="1:19">
      <c r="A103" s="652">
        <v>91</v>
      </c>
      <c r="B103" s="654" t="s">
        <v>454</v>
      </c>
      <c r="C103" s="645"/>
      <c r="D103" s="646"/>
      <c r="E103" s="668"/>
      <c r="F103" s="652">
        <v>91</v>
      </c>
      <c r="G103" s="654" t="s">
        <v>454</v>
      </c>
      <c r="H103" s="645"/>
      <c r="I103" s="646"/>
      <c r="K103" s="652">
        <v>91</v>
      </c>
      <c r="L103" s="654" t="s">
        <v>454</v>
      </c>
      <c r="M103" s="645"/>
      <c r="N103" s="646"/>
      <c r="P103" s="652">
        <v>91</v>
      </c>
      <c r="Q103" s="654" t="s">
        <v>454</v>
      </c>
      <c r="R103" s="645"/>
      <c r="S103" s="646"/>
    </row>
    <row r="104" spans="1:19">
      <c r="A104" s="652">
        <v>92</v>
      </c>
      <c r="B104" s="654" t="s">
        <v>455</v>
      </c>
      <c r="C104" s="645"/>
      <c r="D104" s="646"/>
      <c r="E104" s="668"/>
      <c r="F104" s="652">
        <v>92</v>
      </c>
      <c r="G104" s="654" t="s">
        <v>455</v>
      </c>
      <c r="H104" s="645"/>
      <c r="I104" s="646"/>
      <c r="K104" s="652">
        <v>92</v>
      </c>
      <c r="L104" s="654" t="s">
        <v>455</v>
      </c>
      <c r="M104" s="645"/>
      <c r="N104" s="646"/>
      <c r="P104" s="652">
        <v>92</v>
      </c>
      <c r="Q104" s="654" t="s">
        <v>455</v>
      </c>
      <c r="R104" s="645"/>
      <c r="S104" s="646"/>
    </row>
    <row r="105" spans="1:19">
      <c r="A105" s="652">
        <v>93</v>
      </c>
      <c r="B105" s="654" t="s">
        <v>456</v>
      </c>
      <c r="C105" s="645"/>
      <c r="D105" s="646"/>
      <c r="E105" s="668"/>
      <c r="F105" s="652">
        <v>93</v>
      </c>
      <c r="G105" s="654" t="s">
        <v>456</v>
      </c>
      <c r="H105" s="645"/>
      <c r="I105" s="646"/>
      <c r="K105" s="652">
        <v>93</v>
      </c>
      <c r="L105" s="654" t="s">
        <v>456</v>
      </c>
      <c r="M105" s="645"/>
      <c r="N105" s="646"/>
      <c r="P105" s="652">
        <v>93</v>
      </c>
      <c r="Q105" s="654" t="s">
        <v>456</v>
      </c>
      <c r="R105" s="645"/>
      <c r="S105" s="646"/>
    </row>
    <row r="106" spans="1:19">
      <c r="A106" s="652">
        <v>94</v>
      </c>
      <c r="B106" s="654" t="s">
        <v>457</v>
      </c>
      <c r="C106" s="645"/>
      <c r="D106" s="646"/>
      <c r="E106" s="668"/>
      <c r="F106" s="652">
        <v>94</v>
      </c>
      <c r="G106" s="654" t="s">
        <v>457</v>
      </c>
      <c r="H106" s="645"/>
      <c r="I106" s="646"/>
      <c r="K106" s="652">
        <v>94</v>
      </c>
      <c r="L106" s="654" t="s">
        <v>457</v>
      </c>
      <c r="M106" s="645"/>
      <c r="N106" s="646"/>
      <c r="P106" s="652">
        <v>94</v>
      </c>
      <c r="Q106" s="654" t="s">
        <v>457</v>
      </c>
      <c r="R106" s="645"/>
      <c r="S106" s="646"/>
    </row>
    <row r="107" spans="1:19">
      <c r="A107" s="652">
        <v>95</v>
      </c>
      <c r="B107" s="654" t="s">
        <v>458</v>
      </c>
      <c r="C107" s="645"/>
      <c r="D107" s="646"/>
      <c r="E107" s="668"/>
      <c r="F107" s="652">
        <v>95</v>
      </c>
      <c r="G107" s="654" t="s">
        <v>458</v>
      </c>
      <c r="H107" s="645"/>
      <c r="I107" s="646"/>
      <c r="K107" s="652">
        <v>95</v>
      </c>
      <c r="L107" s="654" t="s">
        <v>458</v>
      </c>
      <c r="M107" s="645"/>
      <c r="N107" s="646"/>
      <c r="P107" s="652">
        <v>95</v>
      </c>
      <c r="Q107" s="654" t="s">
        <v>458</v>
      </c>
      <c r="R107" s="645"/>
      <c r="S107" s="646"/>
    </row>
    <row r="108" spans="1:19">
      <c r="A108" s="652">
        <v>96</v>
      </c>
      <c r="B108" s="654" t="s">
        <v>459</v>
      </c>
      <c r="C108" s="645"/>
      <c r="D108" s="646"/>
      <c r="E108" s="668"/>
      <c r="F108" s="652">
        <v>96</v>
      </c>
      <c r="G108" s="654" t="s">
        <v>459</v>
      </c>
      <c r="H108" s="645"/>
      <c r="I108" s="646"/>
      <c r="K108" s="652">
        <v>96</v>
      </c>
      <c r="L108" s="654" t="s">
        <v>459</v>
      </c>
      <c r="M108" s="645"/>
      <c r="N108" s="646"/>
      <c r="P108" s="652">
        <v>96</v>
      </c>
      <c r="Q108" s="654" t="s">
        <v>459</v>
      </c>
      <c r="R108" s="645"/>
      <c r="S108" s="646"/>
    </row>
    <row r="109" spans="1:19">
      <c r="A109" s="652">
        <v>97</v>
      </c>
      <c r="B109" s="654" t="s">
        <v>460</v>
      </c>
      <c r="C109" s="645"/>
      <c r="D109" s="646"/>
      <c r="E109" s="668"/>
      <c r="F109" s="652">
        <v>97</v>
      </c>
      <c r="G109" s="654" t="s">
        <v>460</v>
      </c>
      <c r="H109" s="645"/>
      <c r="I109" s="646"/>
      <c r="K109" s="652">
        <v>97</v>
      </c>
      <c r="L109" s="654" t="s">
        <v>460</v>
      </c>
      <c r="M109" s="645"/>
      <c r="N109" s="646"/>
      <c r="P109" s="652">
        <v>97</v>
      </c>
      <c r="Q109" s="654" t="s">
        <v>460</v>
      </c>
      <c r="R109" s="645"/>
      <c r="S109" s="646"/>
    </row>
    <row r="110" spans="1:19">
      <c r="A110" s="652">
        <v>98</v>
      </c>
      <c r="B110" s="654" t="s">
        <v>461</v>
      </c>
      <c r="C110" s="645"/>
      <c r="D110" s="646"/>
      <c r="E110" s="668"/>
      <c r="F110" s="652">
        <v>98</v>
      </c>
      <c r="G110" s="654" t="s">
        <v>461</v>
      </c>
      <c r="H110" s="645"/>
      <c r="I110" s="646"/>
      <c r="K110" s="652">
        <v>98</v>
      </c>
      <c r="L110" s="654" t="s">
        <v>461</v>
      </c>
      <c r="M110" s="645"/>
      <c r="N110" s="646"/>
      <c r="P110" s="652">
        <v>98</v>
      </c>
      <c r="Q110" s="654" t="s">
        <v>461</v>
      </c>
      <c r="R110" s="645"/>
      <c r="S110" s="646"/>
    </row>
    <row r="111" spans="1:19">
      <c r="A111" s="652">
        <v>99</v>
      </c>
      <c r="B111" s="654" t="s">
        <v>462</v>
      </c>
      <c r="C111" s="645"/>
      <c r="D111" s="646"/>
      <c r="E111" s="668"/>
      <c r="F111" s="652">
        <v>99</v>
      </c>
      <c r="G111" s="654" t="s">
        <v>462</v>
      </c>
      <c r="H111" s="645"/>
      <c r="I111" s="646"/>
      <c r="K111" s="652">
        <v>99</v>
      </c>
      <c r="L111" s="654" t="s">
        <v>462</v>
      </c>
      <c r="M111" s="645"/>
      <c r="N111" s="646"/>
      <c r="P111" s="652">
        <v>99</v>
      </c>
      <c r="Q111" s="654" t="s">
        <v>462</v>
      </c>
      <c r="R111" s="645"/>
      <c r="S111" s="646"/>
    </row>
    <row r="112" spans="1:19" ht="13.8" thickBot="1">
      <c r="A112" s="655">
        <v>100</v>
      </c>
      <c r="B112" s="656" t="s">
        <v>463</v>
      </c>
      <c r="C112" s="657"/>
      <c r="D112" s="658"/>
      <c r="E112" s="668"/>
      <c r="F112" s="655">
        <v>100</v>
      </c>
      <c r="G112" s="656" t="s">
        <v>463</v>
      </c>
      <c r="H112" s="657"/>
      <c r="I112" s="658"/>
      <c r="K112" s="655">
        <v>100</v>
      </c>
      <c r="L112" s="656" t="s">
        <v>463</v>
      </c>
      <c r="M112" s="657"/>
      <c r="N112" s="658"/>
      <c r="P112" s="655">
        <v>100</v>
      </c>
      <c r="Q112" s="656" t="s">
        <v>463</v>
      </c>
      <c r="R112" s="657"/>
      <c r="S112" s="658"/>
    </row>
    <row r="118" spans="1:4">
      <c r="A118" s="674" t="s">
        <v>469</v>
      </c>
    </row>
    <row r="119" spans="1:4" ht="13.8" thickBot="1"/>
    <row r="120" spans="1:4" ht="13.8" thickBot="1">
      <c r="A120" s="659"/>
      <c r="B120" s="660"/>
      <c r="C120" s="660"/>
      <c r="D120" s="661"/>
    </row>
    <row r="121" spans="1:4" ht="13.8" thickBot="1">
      <c r="A121" s="663"/>
      <c r="B121" s="664"/>
      <c r="C121" s="664"/>
      <c r="D121" s="665"/>
    </row>
    <row r="122" spans="1:4" ht="15.6" thickBot="1">
      <c r="A122" s="976" t="e">
        <v>#REF!</v>
      </c>
      <c r="B122" s="977"/>
      <c r="C122" s="642"/>
      <c r="D122" s="643"/>
    </row>
    <row r="123" spans="1:4">
      <c r="A123" s="978"/>
      <c r="B123" s="979"/>
      <c r="C123" s="642"/>
      <c r="D123" s="643"/>
    </row>
    <row r="124" spans="1:4">
      <c r="A124" s="644"/>
      <c r="B124" s="645"/>
      <c r="C124" s="645"/>
      <c r="D124" s="646"/>
    </row>
    <row r="125" spans="1:4">
      <c r="A125" s="980" t="e">
        <f>IF(OR((A122&gt;9999999999),(A122&lt;0)),"Invalid Entry - More than 1000 crore OR -ve value",IF(A122=0, "",+CONCATENATE(U121,B132,D132,B131,D131,B130,D130,B129,D129,B128,D128,B127," Only")))</f>
        <v>#REF!</v>
      </c>
      <c r="B125" s="981"/>
      <c r="C125" s="981"/>
      <c r="D125" s="982"/>
    </row>
    <row r="126" spans="1:4">
      <c r="A126" s="644"/>
      <c r="B126" s="645"/>
      <c r="C126" s="645"/>
      <c r="D126" s="646"/>
    </row>
    <row r="127" spans="1:4">
      <c r="A127" s="647" t="e">
        <f>-INT(A122/100)*100+ROUND(A122,0)</f>
        <v>#REF!</v>
      </c>
      <c r="B127" s="645" t="e">
        <f t="shared" ref="B127:B132" si="6">IF(A127=0,"",LOOKUP(A127,$A$13:$A$112,$B$13:$B$112))</f>
        <v>#REF!</v>
      </c>
      <c r="C127" s="645"/>
      <c r="D127" s="648"/>
    </row>
    <row r="128" spans="1:4">
      <c r="A128" s="647" t="e">
        <f>-INT(A122/1000)*10+INT(A122/100)</f>
        <v>#REF!</v>
      </c>
      <c r="B128" s="645" t="e">
        <f t="shared" si="6"/>
        <v>#REF!</v>
      </c>
      <c r="C128" s="645"/>
      <c r="D128" s="648" t="e">
        <f>+IF(B128="",""," Hundred ")</f>
        <v>#REF!</v>
      </c>
    </row>
    <row r="129" spans="1:4">
      <c r="A129" s="647" t="e">
        <f>-INT(A122/100000)*100+INT(A122/1000)</f>
        <v>#REF!</v>
      </c>
      <c r="B129" s="645" t="e">
        <f t="shared" si="6"/>
        <v>#REF!</v>
      </c>
      <c r="C129" s="645"/>
      <c r="D129" s="648" t="e">
        <f>IF((B129=""),IF(C129="",""," Thousand ")," Thousand ")</f>
        <v>#REF!</v>
      </c>
    </row>
    <row r="130" spans="1:4">
      <c r="A130" s="647" t="e">
        <f>-INT(A122/10000000)*100+INT(A122/100000)</f>
        <v>#REF!</v>
      </c>
      <c r="B130" s="645" t="e">
        <f t="shared" si="6"/>
        <v>#REF!</v>
      </c>
      <c r="C130" s="645"/>
      <c r="D130" s="648" t="e">
        <f>IF((B130=""),IF(C130="",""," Lac ")," Lac ")</f>
        <v>#REF!</v>
      </c>
    </row>
    <row r="131" spans="1:4">
      <c r="A131" s="647" t="e">
        <f>-INT(A122/1000000000)*100+INT(A122/10000000)</f>
        <v>#REF!</v>
      </c>
      <c r="B131" s="649" t="e">
        <f t="shared" si="6"/>
        <v>#REF!</v>
      </c>
      <c r="C131" s="645"/>
      <c r="D131" s="648" t="e">
        <f>IF((B131=""),IF(C131="",""," Crore ")," Crore ")</f>
        <v>#REF!</v>
      </c>
    </row>
    <row r="132" spans="1:4">
      <c r="A132" s="650" t="e">
        <f>-INT(A122/10000000000)*1000+INT(A122/1000000000)</f>
        <v>#REF!</v>
      </c>
      <c r="B132" s="649" t="e">
        <f t="shared" si="6"/>
        <v>#REF!</v>
      </c>
      <c r="C132" s="645"/>
      <c r="D132" s="648" t="e">
        <f>IF((B132=""),IF(C132="",""," Hundred ")," Hundred ")</f>
        <v>#REF!</v>
      </c>
    </row>
    <row r="133" spans="1:4">
      <c r="A133" s="651"/>
      <c r="B133" s="645"/>
      <c r="C133" s="645"/>
      <c r="D133" s="646"/>
    </row>
    <row r="134" spans="1:4">
      <c r="A134" s="652">
        <v>1</v>
      </c>
      <c r="B134" s="653" t="s">
        <v>364</v>
      </c>
      <c r="C134" s="645"/>
      <c r="D134" s="646"/>
    </row>
    <row r="135" spans="1:4">
      <c r="A135" s="652">
        <v>2</v>
      </c>
      <c r="B135" s="653" t="s">
        <v>365</v>
      </c>
      <c r="C135" s="645"/>
      <c r="D135" s="646"/>
    </row>
    <row r="136" spans="1:4">
      <c r="A136" s="652">
        <v>3</v>
      </c>
      <c r="B136" s="653" t="s">
        <v>366</v>
      </c>
      <c r="C136" s="645"/>
      <c r="D136" s="646"/>
    </row>
    <row r="137" spans="1:4">
      <c r="A137" s="652">
        <v>4</v>
      </c>
      <c r="B137" s="653" t="s">
        <v>367</v>
      </c>
      <c r="C137" s="645"/>
      <c r="D137" s="646"/>
    </row>
    <row r="138" spans="1:4">
      <c r="A138" s="652">
        <v>5</v>
      </c>
      <c r="B138" s="653" t="s">
        <v>368</v>
      </c>
      <c r="C138" s="645"/>
      <c r="D138" s="646"/>
    </row>
    <row r="139" spans="1:4">
      <c r="A139" s="652">
        <v>6</v>
      </c>
      <c r="B139" s="653" t="s">
        <v>369</v>
      </c>
      <c r="C139" s="645"/>
      <c r="D139" s="646"/>
    </row>
    <row r="140" spans="1:4">
      <c r="A140" s="652">
        <v>7</v>
      </c>
      <c r="B140" s="653" t="s">
        <v>370</v>
      </c>
      <c r="C140" s="645"/>
      <c r="D140" s="646"/>
    </row>
    <row r="141" spans="1:4">
      <c r="A141" s="652">
        <v>8</v>
      </c>
      <c r="B141" s="653" t="s">
        <v>371</v>
      </c>
      <c r="C141" s="645"/>
      <c r="D141" s="646"/>
    </row>
    <row r="142" spans="1:4">
      <c r="A142" s="652">
        <v>9</v>
      </c>
      <c r="B142" s="653" t="s">
        <v>372</v>
      </c>
      <c r="C142" s="645"/>
      <c r="D142" s="646"/>
    </row>
    <row r="143" spans="1:4">
      <c r="A143" s="652">
        <v>10</v>
      </c>
      <c r="B143" s="653" t="s">
        <v>373</v>
      </c>
      <c r="C143" s="645"/>
      <c r="D143" s="646"/>
    </row>
    <row r="144" spans="1:4">
      <c r="A144" s="652">
        <v>11</v>
      </c>
      <c r="B144" s="653" t="s">
        <v>374</v>
      </c>
      <c r="C144" s="645"/>
      <c r="D144" s="646"/>
    </row>
    <row r="145" spans="1:4">
      <c r="A145" s="652">
        <v>12</v>
      </c>
      <c r="B145" s="653" t="s">
        <v>375</v>
      </c>
      <c r="C145" s="645"/>
      <c r="D145" s="646"/>
    </row>
    <row r="146" spans="1:4">
      <c r="A146" s="652">
        <v>13</v>
      </c>
      <c r="B146" s="653" t="s">
        <v>376</v>
      </c>
      <c r="C146" s="645"/>
      <c r="D146" s="646"/>
    </row>
    <row r="147" spans="1:4">
      <c r="A147" s="652">
        <v>14</v>
      </c>
      <c r="B147" s="653" t="s">
        <v>377</v>
      </c>
      <c r="C147" s="645"/>
      <c r="D147" s="646"/>
    </row>
    <row r="148" spans="1:4">
      <c r="A148" s="652">
        <v>15</v>
      </c>
      <c r="B148" s="653" t="s">
        <v>378</v>
      </c>
      <c r="C148" s="645"/>
      <c r="D148" s="646"/>
    </row>
    <row r="149" spans="1:4">
      <c r="A149" s="652">
        <v>16</v>
      </c>
      <c r="B149" s="653" t="s">
        <v>379</v>
      </c>
      <c r="C149" s="645"/>
      <c r="D149" s="646"/>
    </row>
    <row r="150" spans="1:4">
      <c r="A150" s="652">
        <v>17</v>
      </c>
      <c r="B150" s="653" t="s">
        <v>380</v>
      </c>
      <c r="C150" s="645"/>
      <c r="D150" s="646"/>
    </row>
    <row r="151" spans="1:4">
      <c r="A151" s="652">
        <v>18</v>
      </c>
      <c r="B151" s="653" t="s">
        <v>381</v>
      </c>
      <c r="C151" s="645"/>
      <c r="D151" s="646"/>
    </row>
    <row r="152" spans="1:4">
      <c r="A152" s="652">
        <v>19</v>
      </c>
      <c r="B152" s="653" t="s">
        <v>382</v>
      </c>
      <c r="C152" s="645"/>
      <c r="D152" s="646"/>
    </row>
    <row r="153" spans="1:4">
      <c r="A153" s="652">
        <v>20</v>
      </c>
      <c r="B153" s="653" t="s">
        <v>383</v>
      </c>
      <c r="C153" s="645"/>
      <c r="D153" s="646"/>
    </row>
    <row r="154" spans="1:4">
      <c r="A154" s="652">
        <v>21</v>
      </c>
      <c r="B154" s="653" t="s">
        <v>384</v>
      </c>
      <c r="C154" s="645"/>
      <c r="D154" s="646"/>
    </row>
    <row r="155" spans="1:4">
      <c r="A155" s="652">
        <v>22</v>
      </c>
      <c r="B155" s="653" t="s">
        <v>385</v>
      </c>
      <c r="C155" s="645"/>
      <c r="D155" s="646"/>
    </row>
    <row r="156" spans="1:4">
      <c r="A156" s="652">
        <v>23</v>
      </c>
      <c r="B156" s="653" t="s">
        <v>386</v>
      </c>
      <c r="C156" s="645"/>
      <c r="D156" s="646"/>
    </row>
    <row r="157" spans="1:4">
      <c r="A157" s="652">
        <v>24</v>
      </c>
      <c r="B157" s="653" t="s">
        <v>387</v>
      </c>
      <c r="C157" s="645"/>
      <c r="D157" s="646"/>
    </row>
    <row r="158" spans="1:4">
      <c r="A158" s="652">
        <v>25</v>
      </c>
      <c r="B158" s="653" t="s">
        <v>388</v>
      </c>
      <c r="C158" s="645"/>
      <c r="D158" s="646"/>
    </row>
    <row r="159" spans="1:4">
      <c r="A159" s="652">
        <v>26</v>
      </c>
      <c r="B159" s="653" t="s">
        <v>389</v>
      </c>
      <c r="C159" s="645"/>
      <c r="D159" s="646"/>
    </row>
    <row r="160" spans="1:4">
      <c r="A160" s="652">
        <v>27</v>
      </c>
      <c r="B160" s="653" t="s">
        <v>390</v>
      </c>
      <c r="C160" s="645"/>
      <c r="D160" s="646"/>
    </row>
    <row r="161" spans="1:4">
      <c r="A161" s="652">
        <v>28</v>
      </c>
      <c r="B161" s="653" t="s">
        <v>391</v>
      </c>
      <c r="C161" s="645"/>
      <c r="D161" s="646"/>
    </row>
    <row r="162" spans="1:4">
      <c r="A162" s="652">
        <v>29</v>
      </c>
      <c r="B162" s="653" t="s">
        <v>392</v>
      </c>
      <c r="C162" s="645"/>
      <c r="D162" s="646"/>
    </row>
    <row r="163" spans="1:4">
      <c r="A163" s="652">
        <v>30</v>
      </c>
      <c r="B163" s="653" t="s">
        <v>393</v>
      </c>
      <c r="C163" s="645"/>
      <c r="D163" s="646"/>
    </row>
    <row r="164" spans="1:4">
      <c r="A164" s="652">
        <v>31</v>
      </c>
      <c r="B164" s="653" t="s">
        <v>394</v>
      </c>
      <c r="C164" s="645"/>
      <c r="D164" s="646"/>
    </row>
    <row r="165" spans="1:4">
      <c r="A165" s="652">
        <v>32</v>
      </c>
      <c r="B165" s="653" t="s">
        <v>395</v>
      </c>
      <c r="C165" s="645"/>
      <c r="D165" s="646"/>
    </row>
    <row r="166" spans="1:4">
      <c r="A166" s="652">
        <v>33</v>
      </c>
      <c r="B166" s="653" t="s">
        <v>396</v>
      </c>
      <c r="C166" s="645"/>
      <c r="D166" s="646"/>
    </row>
    <row r="167" spans="1:4">
      <c r="A167" s="652">
        <v>34</v>
      </c>
      <c r="B167" s="653" t="s">
        <v>397</v>
      </c>
      <c r="C167" s="645"/>
      <c r="D167" s="646"/>
    </row>
    <row r="168" spans="1:4">
      <c r="A168" s="652">
        <v>35</v>
      </c>
      <c r="B168" s="653" t="s">
        <v>398</v>
      </c>
      <c r="C168" s="645"/>
      <c r="D168" s="646"/>
    </row>
    <row r="169" spans="1:4">
      <c r="A169" s="652">
        <v>36</v>
      </c>
      <c r="B169" s="653" t="s">
        <v>399</v>
      </c>
      <c r="C169" s="645"/>
      <c r="D169" s="646"/>
    </row>
    <row r="170" spans="1:4">
      <c r="A170" s="652">
        <v>37</v>
      </c>
      <c r="B170" s="653" t="s">
        <v>400</v>
      </c>
      <c r="C170" s="645"/>
      <c r="D170" s="646"/>
    </row>
    <row r="171" spans="1:4">
      <c r="A171" s="652">
        <v>38</v>
      </c>
      <c r="B171" s="653" t="s">
        <v>401</v>
      </c>
      <c r="C171" s="645"/>
      <c r="D171" s="646"/>
    </row>
    <row r="172" spans="1:4">
      <c r="A172" s="652">
        <v>39</v>
      </c>
      <c r="B172" s="653" t="s">
        <v>402</v>
      </c>
      <c r="C172" s="645"/>
      <c r="D172" s="646"/>
    </row>
    <row r="173" spans="1:4">
      <c r="A173" s="652">
        <v>40</v>
      </c>
      <c r="B173" s="653" t="s">
        <v>403</v>
      </c>
      <c r="C173" s="645"/>
      <c r="D173" s="646"/>
    </row>
    <row r="174" spans="1:4">
      <c r="A174" s="652">
        <v>41</v>
      </c>
      <c r="B174" s="653" t="s">
        <v>404</v>
      </c>
      <c r="C174" s="645"/>
      <c r="D174" s="646"/>
    </row>
    <row r="175" spans="1:4">
      <c r="A175" s="652">
        <v>42</v>
      </c>
      <c r="B175" s="653" t="s">
        <v>405</v>
      </c>
      <c r="C175" s="645"/>
      <c r="D175" s="646"/>
    </row>
    <row r="176" spans="1:4">
      <c r="A176" s="652">
        <v>43</v>
      </c>
      <c r="B176" s="653" t="s">
        <v>406</v>
      </c>
      <c r="C176" s="645"/>
      <c r="D176" s="646"/>
    </row>
    <row r="177" spans="1:4">
      <c r="A177" s="652">
        <v>44</v>
      </c>
      <c r="B177" s="653" t="s">
        <v>407</v>
      </c>
      <c r="C177" s="645"/>
      <c r="D177" s="646"/>
    </row>
    <row r="178" spans="1:4">
      <c r="A178" s="652">
        <v>45</v>
      </c>
      <c r="B178" s="653" t="s">
        <v>408</v>
      </c>
      <c r="C178" s="645"/>
      <c r="D178" s="646"/>
    </row>
    <row r="179" spans="1:4">
      <c r="A179" s="652">
        <v>46</v>
      </c>
      <c r="B179" s="653" t="s">
        <v>409</v>
      </c>
      <c r="C179" s="645"/>
      <c r="D179" s="646"/>
    </row>
    <row r="180" spans="1:4">
      <c r="A180" s="652">
        <v>47</v>
      </c>
      <c r="B180" s="653" t="s">
        <v>410</v>
      </c>
      <c r="C180" s="645"/>
      <c r="D180" s="646"/>
    </row>
    <row r="181" spans="1:4">
      <c r="A181" s="652">
        <v>48</v>
      </c>
      <c r="B181" s="653" t="s">
        <v>411</v>
      </c>
      <c r="C181" s="645"/>
      <c r="D181" s="646"/>
    </row>
    <row r="182" spans="1:4">
      <c r="A182" s="652">
        <v>49</v>
      </c>
      <c r="B182" s="653" t="s">
        <v>412</v>
      </c>
      <c r="C182" s="645"/>
      <c r="D182" s="646"/>
    </row>
    <row r="183" spans="1:4">
      <c r="A183" s="652">
        <v>50</v>
      </c>
      <c r="B183" s="653" t="s">
        <v>413</v>
      </c>
      <c r="C183" s="645"/>
      <c r="D183" s="646"/>
    </row>
    <row r="184" spans="1:4">
      <c r="A184" s="652">
        <v>51</v>
      </c>
      <c r="B184" s="653" t="s">
        <v>414</v>
      </c>
      <c r="C184" s="645"/>
      <c r="D184" s="646"/>
    </row>
    <row r="185" spans="1:4">
      <c r="A185" s="652">
        <v>52</v>
      </c>
      <c r="B185" s="653" t="s">
        <v>415</v>
      </c>
      <c r="C185" s="645"/>
      <c r="D185" s="646"/>
    </row>
    <row r="186" spans="1:4">
      <c r="A186" s="652">
        <v>53</v>
      </c>
      <c r="B186" s="653" t="s">
        <v>416</v>
      </c>
      <c r="C186" s="645"/>
      <c r="D186" s="646"/>
    </row>
    <row r="187" spans="1:4">
      <c r="A187" s="652">
        <v>54</v>
      </c>
      <c r="B187" s="653" t="s">
        <v>417</v>
      </c>
      <c r="C187" s="645"/>
      <c r="D187" s="646"/>
    </row>
    <row r="188" spans="1:4">
      <c r="A188" s="652">
        <v>55</v>
      </c>
      <c r="B188" s="653" t="s">
        <v>418</v>
      </c>
      <c r="C188" s="645"/>
      <c r="D188" s="646"/>
    </row>
    <row r="189" spans="1:4">
      <c r="A189" s="652">
        <v>56</v>
      </c>
      <c r="B189" s="653" t="s">
        <v>419</v>
      </c>
      <c r="C189" s="645"/>
      <c r="D189" s="646"/>
    </row>
    <row r="190" spans="1:4">
      <c r="A190" s="652">
        <v>57</v>
      </c>
      <c r="B190" s="653" t="s">
        <v>420</v>
      </c>
      <c r="C190" s="645"/>
      <c r="D190" s="646"/>
    </row>
    <row r="191" spans="1:4">
      <c r="A191" s="652">
        <v>58</v>
      </c>
      <c r="B191" s="653" t="s">
        <v>421</v>
      </c>
      <c r="C191" s="645"/>
      <c r="D191" s="646"/>
    </row>
    <row r="192" spans="1:4">
      <c r="A192" s="652">
        <v>59</v>
      </c>
      <c r="B192" s="653" t="s">
        <v>422</v>
      </c>
      <c r="C192" s="645"/>
      <c r="D192" s="646"/>
    </row>
    <row r="193" spans="1:4">
      <c r="A193" s="652">
        <v>60</v>
      </c>
      <c r="B193" s="653" t="s">
        <v>423</v>
      </c>
      <c r="C193" s="645"/>
      <c r="D193" s="646"/>
    </row>
    <row r="194" spans="1:4">
      <c r="A194" s="652">
        <v>61</v>
      </c>
      <c r="B194" s="653" t="s">
        <v>424</v>
      </c>
      <c r="C194" s="645"/>
      <c r="D194" s="646"/>
    </row>
    <row r="195" spans="1:4">
      <c r="A195" s="652">
        <v>62</v>
      </c>
      <c r="B195" s="653" t="s">
        <v>425</v>
      </c>
      <c r="C195" s="645"/>
      <c r="D195" s="646"/>
    </row>
    <row r="196" spans="1:4">
      <c r="A196" s="652">
        <v>63</v>
      </c>
      <c r="B196" s="654" t="s">
        <v>426</v>
      </c>
      <c r="C196" s="645"/>
      <c r="D196" s="646"/>
    </row>
    <row r="197" spans="1:4">
      <c r="A197" s="652">
        <v>64</v>
      </c>
      <c r="B197" s="654" t="s">
        <v>427</v>
      </c>
      <c r="C197" s="645"/>
      <c r="D197" s="646"/>
    </row>
    <row r="198" spans="1:4">
      <c r="A198" s="652">
        <v>65</v>
      </c>
      <c r="B198" s="654" t="s">
        <v>428</v>
      </c>
      <c r="C198" s="645"/>
      <c r="D198" s="646"/>
    </row>
    <row r="199" spans="1:4">
      <c r="A199" s="652">
        <v>66</v>
      </c>
      <c r="B199" s="654" t="s">
        <v>429</v>
      </c>
      <c r="C199" s="645"/>
      <c r="D199" s="646"/>
    </row>
    <row r="200" spans="1:4">
      <c r="A200" s="652">
        <v>67</v>
      </c>
      <c r="B200" s="654" t="s">
        <v>430</v>
      </c>
      <c r="C200" s="645"/>
      <c r="D200" s="646"/>
    </row>
    <row r="201" spans="1:4">
      <c r="A201" s="652">
        <v>68</v>
      </c>
      <c r="B201" s="654" t="s">
        <v>431</v>
      </c>
      <c r="C201" s="645"/>
      <c r="D201" s="646"/>
    </row>
    <row r="202" spans="1:4">
      <c r="A202" s="652">
        <v>69</v>
      </c>
      <c r="B202" s="654" t="s">
        <v>432</v>
      </c>
      <c r="C202" s="645"/>
      <c r="D202" s="646"/>
    </row>
    <row r="203" spans="1:4">
      <c r="A203" s="652">
        <v>70</v>
      </c>
      <c r="B203" s="654" t="s">
        <v>433</v>
      </c>
      <c r="C203" s="645"/>
      <c r="D203" s="646"/>
    </row>
    <row r="204" spans="1:4">
      <c r="A204" s="652">
        <v>71</v>
      </c>
      <c r="B204" s="654" t="s">
        <v>434</v>
      </c>
      <c r="C204" s="645"/>
      <c r="D204" s="646"/>
    </row>
    <row r="205" spans="1:4">
      <c r="A205" s="652">
        <v>72</v>
      </c>
      <c r="B205" s="654" t="s">
        <v>435</v>
      </c>
      <c r="C205" s="645"/>
      <c r="D205" s="646"/>
    </row>
    <row r="206" spans="1:4">
      <c r="A206" s="652">
        <v>73</v>
      </c>
      <c r="B206" s="654" t="s">
        <v>436</v>
      </c>
      <c r="C206" s="645"/>
      <c r="D206" s="646"/>
    </row>
    <row r="207" spans="1:4">
      <c r="A207" s="652">
        <v>74</v>
      </c>
      <c r="B207" s="654" t="s">
        <v>437</v>
      </c>
      <c r="C207" s="645"/>
      <c r="D207" s="646"/>
    </row>
    <row r="208" spans="1:4">
      <c r="A208" s="652">
        <v>75</v>
      </c>
      <c r="B208" s="654" t="s">
        <v>438</v>
      </c>
      <c r="C208" s="645"/>
      <c r="D208" s="646"/>
    </row>
    <row r="209" spans="1:4">
      <c r="A209" s="652">
        <v>76</v>
      </c>
      <c r="B209" s="654" t="s">
        <v>439</v>
      </c>
      <c r="C209" s="645"/>
      <c r="D209" s="646"/>
    </row>
    <row r="210" spans="1:4">
      <c r="A210" s="652">
        <v>77</v>
      </c>
      <c r="B210" s="654" t="s">
        <v>440</v>
      </c>
      <c r="C210" s="645"/>
      <c r="D210" s="646"/>
    </row>
    <row r="211" spans="1:4">
      <c r="A211" s="652">
        <v>78</v>
      </c>
      <c r="B211" s="654" t="s">
        <v>441</v>
      </c>
      <c r="C211" s="645"/>
      <c r="D211" s="646"/>
    </row>
    <row r="212" spans="1:4">
      <c r="A212" s="652">
        <v>79</v>
      </c>
      <c r="B212" s="654" t="s">
        <v>442</v>
      </c>
      <c r="C212" s="645"/>
      <c r="D212" s="646"/>
    </row>
    <row r="213" spans="1:4">
      <c r="A213" s="652">
        <v>80</v>
      </c>
      <c r="B213" s="654" t="s">
        <v>443</v>
      </c>
      <c r="C213" s="645"/>
      <c r="D213" s="646"/>
    </row>
    <row r="214" spans="1:4">
      <c r="A214" s="652">
        <v>81</v>
      </c>
      <c r="B214" s="654" t="s">
        <v>444</v>
      </c>
      <c r="C214" s="645"/>
      <c r="D214" s="646"/>
    </row>
    <row r="215" spans="1:4">
      <c r="A215" s="652">
        <v>82</v>
      </c>
      <c r="B215" s="654" t="s">
        <v>445</v>
      </c>
      <c r="C215" s="645"/>
      <c r="D215" s="646"/>
    </row>
    <row r="216" spans="1:4">
      <c r="A216" s="652">
        <v>83</v>
      </c>
      <c r="B216" s="654" t="s">
        <v>446</v>
      </c>
      <c r="C216" s="645"/>
      <c r="D216" s="646"/>
    </row>
    <row r="217" spans="1:4">
      <c r="A217" s="652">
        <v>84</v>
      </c>
      <c r="B217" s="654" t="s">
        <v>447</v>
      </c>
      <c r="C217" s="645"/>
      <c r="D217" s="646"/>
    </row>
    <row r="218" spans="1:4">
      <c r="A218" s="652">
        <v>85</v>
      </c>
      <c r="B218" s="654" t="s">
        <v>448</v>
      </c>
      <c r="C218" s="645"/>
      <c r="D218" s="646"/>
    </row>
    <row r="219" spans="1:4">
      <c r="A219" s="652">
        <v>86</v>
      </c>
      <c r="B219" s="654" t="s">
        <v>449</v>
      </c>
      <c r="C219" s="645"/>
      <c r="D219" s="646"/>
    </row>
    <row r="220" spans="1:4">
      <c r="A220" s="652">
        <v>87</v>
      </c>
      <c r="B220" s="654" t="s">
        <v>450</v>
      </c>
      <c r="C220" s="645"/>
      <c r="D220" s="646"/>
    </row>
    <row r="221" spans="1:4">
      <c r="A221" s="652">
        <v>88</v>
      </c>
      <c r="B221" s="654" t="s">
        <v>451</v>
      </c>
      <c r="C221" s="645"/>
      <c r="D221" s="646"/>
    </row>
    <row r="222" spans="1:4">
      <c r="A222" s="652">
        <v>89</v>
      </c>
      <c r="B222" s="654" t="s">
        <v>452</v>
      </c>
      <c r="C222" s="645"/>
      <c r="D222" s="646"/>
    </row>
    <row r="223" spans="1:4">
      <c r="A223" s="652">
        <v>90</v>
      </c>
      <c r="B223" s="654" t="s">
        <v>453</v>
      </c>
      <c r="C223" s="645"/>
      <c r="D223" s="646"/>
    </row>
    <row r="224" spans="1:4">
      <c r="A224" s="652">
        <v>91</v>
      </c>
      <c r="B224" s="654" t="s">
        <v>454</v>
      </c>
      <c r="C224" s="645"/>
      <c r="D224" s="646"/>
    </row>
    <row r="225" spans="1:4">
      <c r="A225" s="652">
        <v>92</v>
      </c>
      <c r="B225" s="654" t="s">
        <v>455</v>
      </c>
      <c r="C225" s="645"/>
      <c r="D225" s="646"/>
    </row>
    <row r="226" spans="1:4">
      <c r="A226" s="652">
        <v>93</v>
      </c>
      <c r="B226" s="654" t="s">
        <v>456</v>
      </c>
      <c r="C226" s="645"/>
      <c r="D226" s="646"/>
    </row>
    <row r="227" spans="1:4">
      <c r="A227" s="652">
        <v>94</v>
      </c>
      <c r="B227" s="654" t="s">
        <v>457</v>
      </c>
      <c r="C227" s="645"/>
      <c r="D227" s="646"/>
    </row>
    <row r="228" spans="1:4">
      <c r="A228" s="652">
        <v>95</v>
      </c>
      <c r="B228" s="654" t="s">
        <v>458</v>
      </c>
      <c r="C228" s="645"/>
      <c r="D228" s="646"/>
    </row>
    <row r="229" spans="1:4">
      <c r="A229" s="652">
        <v>96</v>
      </c>
      <c r="B229" s="654" t="s">
        <v>459</v>
      </c>
      <c r="C229" s="645"/>
      <c r="D229" s="646"/>
    </row>
    <row r="230" spans="1:4">
      <c r="A230" s="652">
        <v>97</v>
      </c>
      <c r="B230" s="654" t="s">
        <v>460</v>
      </c>
      <c r="C230" s="645"/>
      <c r="D230" s="646"/>
    </row>
    <row r="231" spans="1:4">
      <c r="A231" s="652">
        <v>98</v>
      </c>
      <c r="B231" s="654" t="s">
        <v>461</v>
      </c>
      <c r="C231" s="645"/>
      <c r="D231" s="646"/>
    </row>
    <row r="232" spans="1:4">
      <c r="A232" s="652">
        <v>99</v>
      </c>
      <c r="B232" s="654" t="s">
        <v>462</v>
      </c>
      <c r="C232" s="645"/>
      <c r="D232" s="646"/>
    </row>
    <row r="233" spans="1:4" ht="13.8" thickBot="1">
      <c r="A233" s="655">
        <v>100</v>
      </c>
      <c r="B233" s="656" t="s">
        <v>463</v>
      </c>
      <c r="C233" s="657"/>
      <c r="D233" s="658"/>
    </row>
  </sheetData>
  <sheetProtection selectLockedCells="1"/>
  <customSheetViews>
    <customSheetView guid="{F8A50AE1-259E-429D-A506-38EB64D134EF}" hiddenColumns="1" state="hidden" topLeftCell="P1">
      <selection activeCell="DT28" sqref="DT28"/>
      <pageMargins left="0.75" right="0.75" top="1" bottom="1" header="0.5" footer="0.5"/>
      <pageSetup orientation="portrait" r:id="rId1"/>
      <headerFooter alignWithMargins="0"/>
    </customSheetView>
    <customSheetView guid="{C44C314C-9BEB-403F-A933-6B948E5C1171}" hiddenColumns="1" state="hidden" topLeftCell="P1">
      <selection activeCell="DT28" sqref="DT28"/>
      <pageMargins left="0.75" right="0.75" top="1" bottom="1" header="0.5" footer="0.5"/>
      <pageSetup orientation="portrait" r:id="rId2"/>
      <headerFooter alignWithMargins="0"/>
    </customSheetView>
    <customSheetView guid="{AD0333DF-5B33-49B5-B063-72505D20EFE4}" hiddenColumns="1" state="hidden" topLeftCell="P1">
      <selection activeCell="DT28" sqref="DT28"/>
      <pageMargins left="0.75" right="0.75" top="1" bottom="1" header="0.5" footer="0.5"/>
      <pageSetup orientation="portrait" r:id="rId3"/>
      <headerFooter alignWithMargins="0"/>
    </customSheetView>
    <customSheetView guid="{BE68641D-0C1E-4F8D-890A-A660C199187C}" hiddenColumns="1" state="hidden" topLeftCell="P1">
      <selection activeCell="DT28" sqref="DT28"/>
      <pageMargins left="0.75" right="0.75" top="1" bottom="1" header="0.5" footer="0.5"/>
      <pageSetup orientation="portrait" r:id="rId4"/>
      <headerFooter alignWithMargins="0"/>
    </customSheetView>
    <customSheetView guid="{F658ED72-5E54-4C5B-BB2C-7A2962080984}" hiddenColumns="1" state="hidden" topLeftCell="P1">
      <selection activeCell="DT28" sqref="DT28"/>
      <pageMargins left="0.75" right="0.75" top="1" bottom="1" header="0.5" footer="0.5"/>
      <pageSetup orientation="portrait" r:id="rId5"/>
      <headerFooter alignWithMargins="0"/>
    </customSheetView>
    <customSheetView guid="{DEF6DCE2-4A74-4BE5-B5D5-8143DC3F770A}" hiddenColumns="1" state="hidden" topLeftCell="P1">
      <selection activeCell="DT28" sqref="DT28"/>
      <pageMargins left="0.75" right="0.75" top="1" bottom="1" header="0.5" footer="0.5"/>
      <pageSetup orientation="portrait" r:id="rId6"/>
      <headerFooter alignWithMargins="0"/>
    </customSheetView>
    <customSheetView guid="{CCA37BAE-906F-43D5-9FD9-B13563E4B9D7}" hiddenColumns="1" state="hidden" topLeftCell="P1">
      <selection activeCell="DT28" sqref="DT28"/>
      <pageMargins left="0.75" right="0.75" top="1" bottom="1" header="0.5" footer="0.5"/>
      <pageSetup orientation="portrait" r:id="rId7"/>
      <headerFooter alignWithMargins="0"/>
    </customSheetView>
    <customSheetView guid="{99CA2F10-F926-46DC-8609-4EAE5B9F3585}" hiddenColumns="1" state="hidden" topLeftCell="P1">
      <selection activeCell="DT28" sqref="DT28"/>
      <pageMargins left="0.75" right="0.75" top="1" bottom="1" header="0.5" footer="0.5"/>
      <pageSetup orientation="portrait" r:id="rId8"/>
      <headerFooter alignWithMargins="0"/>
    </customSheetView>
    <customSheetView guid="{63D51328-7CBC-4A1E-B96D-BAE91416501B}" hiddenColumns="1" state="hidden" topLeftCell="P1">
      <selection activeCell="DT28" sqref="DT28"/>
      <pageMargins left="0.75" right="0.75" top="1" bottom="1" header="0.5" footer="0.5"/>
      <pageSetup orientation="portrait" r:id="rId9"/>
      <headerFooter alignWithMargins="0"/>
    </customSheetView>
    <customSheetView guid="{112647D2-7580-431B-99B5-DD512E2AD50E}" hiddenColumns="1" state="hidden" topLeftCell="P1">
      <selection activeCell="DT28" sqref="DT28"/>
      <pageMargins left="0.75" right="0.75" top="1" bottom="1" header="0.5" footer="0.5"/>
      <pageSetup orientation="portrait" r:id="rId10"/>
      <headerFooter alignWithMargins="0"/>
    </customSheetView>
    <customSheetView guid="{BDFA0401-0547-4E51-8BD2-84F711B066CA}" hiddenColumns="1" state="hidden" topLeftCell="P1">
      <selection activeCell="DT28" sqref="DT28"/>
      <pageMargins left="0.75" right="0.75" top="1" bottom="1" header="0.5" footer="0.5"/>
      <pageSetup orientation="portrait" r:id="rId11"/>
      <headerFooter alignWithMargins="0"/>
    </customSheetView>
    <customSheetView guid="{84F40905-A9D3-43A5-987A-8A757D486A94}" hiddenColumns="1" state="hidden" topLeftCell="P1">
      <selection activeCell="DT28" sqref="DT28"/>
      <pageMargins left="0.75" right="0.75" top="1" bottom="1" header="0.5" footer="0.5"/>
      <pageSetup orientation="portrait" r:id="rId12"/>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62"/>
    <col min="2" max="2" width="9.109375" style="63"/>
    <col min="3" max="3" width="83" style="63" customWidth="1"/>
    <col min="4" max="4" width="75.5546875" style="75" customWidth="1"/>
    <col min="5" max="16384" width="9.109375" style="61"/>
  </cols>
  <sheetData>
    <row r="1" spans="1:11" ht="45" customHeight="1">
      <c r="A1" s="785" t="s">
        <v>348</v>
      </c>
      <c r="B1" s="785"/>
      <c r="C1" s="785"/>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83" t="s">
        <v>70</v>
      </c>
      <c r="C12" s="783"/>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83" t="s">
        <v>72</v>
      </c>
      <c r="C14" s="783"/>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83" t="s">
        <v>80</v>
      </c>
      <c r="C21" s="783"/>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83" t="s">
        <v>86</v>
      </c>
      <c r="C27" s="783"/>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83" t="s">
        <v>87</v>
      </c>
      <c r="C30" s="783"/>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83" t="s">
        <v>88</v>
      </c>
      <c r="C33" s="783"/>
      <c r="D33" s="71"/>
    </row>
    <row r="34" spans="2:11" ht="18" customHeight="1">
      <c r="B34" s="73" t="s">
        <v>73</v>
      </c>
      <c r="C34" s="70" t="s">
        <v>89</v>
      </c>
      <c r="D34" s="67"/>
    </row>
    <row r="35" spans="2:11" ht="18" customHeight="1">
      <c r="B35" s="783" t="s">
        <v>90</v>
      </c>
      <c r="C35" s="783"/>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00000000000006" customHeight="1">
      <c r="B39" s="73" t="s">
        <v>73</v>
      </c>
      <c r="C39" s="70" t="s">
        <v>94</v>
      </c>
      <c r="D39" s="67"/>
      <c r="E39" s="68"/>
      <c r="F39" s="68"/>
      <c r="G39" s="68"/>
      <c r="H39" s="68"/>
      <c r="I39" s="68"/>
      <c r="J39" s="68"/>
      <c r="K39" s="68"/>
    </row>
    <row r="40" spans="2:11" ht="38.1" customHeight="1">
      <c r="B40" s="73" t="s">
        <v>73</v>
      </c>
      <c r="C40" s="70" t="s">
        <v>95</v>
      </c>
    </row>
    <row r="41" spans="2:11" ht="18" customHeight="1">
      <c r="B41" s="783" t="s">
        <v>96</v>
      </c>
      <c r="C41" s="783"/>
    </row>
    <row r="42" spans="2:11" ht="38.1" customHeight="1">
      <c r="B42" s="73" t="s">
        <v>73</v>
      </c>
      <c r="C42" s="70" t="s">
        <v>97</v>
      </c>
    </row>
    <row r="43" spans="2:11" ht="18" customHeight="1">
      <c r="B43" s="73" t="s">
        <v>73</v>
      </c>
      <c r="C43" s="76" t="s">
        <v>98</v>
      </c>
    </row>
    <row r="44" spans="2:11" ht="18" customHeight="1">
      <c r="B44" s="783" t="s">
        <v>99</v>
      </c>
      <c r="C44" s="783"/>
    </row>
    <row r="45" spans="2:11" ht="38.1" customHeight="1">
      <c r="B45" s="73" t="s">
        <v>73</v>
      </c>
      <c r="C45" s="70" t="s">
        <v>100</v>
      </c>
    </row>
    <row r="46" spans="2:11" ht="18" customHeight="1">
      <c r="B46" s="73" t="s">
        <v>73</v>
      </c>
      <c r="C46" s="76" t="s">
        <v>98</v>
      </c>
    </row>
    <row r="47" spans="2:11" ht="18" customHeight="1">
      <c r="B47" s="783" t="s">
        <v>101</v>
      </c>
      <c r="C47" s="783" t="s">
        <v>102</v>
      </c>
    </row>
    <row r="48" spans="2:11" ht="48" customHeight="1">
      <c r="B48" s="73" t="s">
        <v>73</v>
      </c>
      <c r="C48" s="70" t="s">
        <v>103</v>
      </c>
    </row>
    <row r="49" spans="1:11" ht="18" customHeight="1">
      <c r="B49" s="73" t="s">
        <v>73</v>
      </c>
      <c r="C49" s="76" t="s">
        <v>98</v>
      </c>
    </row>
    <row r="50" spans="1:11" ht="18" customHeight="1">
      <c r="B50" s="783" t="s">
        <v>104</v>
      </c>
      <c r="C50" s="783"/>
    </row>
    <row r="51" spans="1:11" ht="38.1" customHeight="1">
      <c r="B51" s="73" t="s">
        <v>73</v>
      </c>
      <c r="C51" s="70" t="s">
        <v>105</v>
      </c>
    </row>
    <row r="52" spans="1:11" ht="38.1" customHeight="1">
      <c r="B52" s="73" t="s">
        <v>73</v>
      </c>
      <c r="C52" s="70" t="s">
        <v>106</v>
      </c>
    </row>
    <row r="53" spans="1:11" ht="18" customHeight="1">
      <c r="B53" s="783" t="s">
        <v>107</v>
      </c>
      <c r="C53" s="783"/>
    </row>
    <row r="54" spans="1:11" ht="18" customHeight="1">
      <c r="B54" s="73" t="s">
        <v>73</v>
      </c>
      <c r="C54" s="77" t="s">
        <v>108</v>
      </c>
    </row>
    <row r="55" spans="1:11" ht="18" customHeight="1">
      <c r="B55" s="73" t="s">
        <v>73</v>
      </c>
      <c r="C55" s="77" t="s">
        <v>109</v>
      </c>
    </row>
    <row r="56" spans="1:11" ht="18" customHeight="1">
      <c r="B56" s="783" t="s">
        <v>110</v>
      </c>
      <c r="C56" s="783"/>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84"/>
      <c r="B62" s="784"/>
      <c r="C62" s="784"/>
      <c r="D62" s="79"/>
    </row>
    <row r="63" spans="1:11" ht="18" customHeight="1">
      <c r="A63" s="781" t="s">
        <v>115</v>
      </c>
      <c r="B63" s="781"/>
      <c r="C63" s="781"/>
      <c r="D63" s="79"/>
    </row>
    <row r="64" spans="1:11" ht="36" customHeight="1">
      <c r="A64" s="782" t="s">
        <v>116</v>
      </c>
      <c r="B64" s="782"/>
      <c r="C64" s="782"/>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8" sqref="D28:G28"/>
    </sheetView>
  </sheetViews>
  <sheetFormatPr defaultColWidth="9.109375" defaultRowHeight="15.6"/>
  <cols>
    <col min="1" max="1" width="3.6640625" style="547" customWidth="1"/>
    <col min="2" max="2" width="33" style="544" customWidth="1"/>
    <col min="3" max="3" width="11.6640625" style="544" customWidth="1"/>
    <col min="4" max="5" width="6.44140625" style="544" customWidth="1"/>
    <col min="6" max="6" width="6.44140625" style="547" customWidth="1"/>
    <col min="7" max="7" width="39" style="547" customWidth="1"/>
    <col min="8" max="8" width="11.88671875" style="547" hidden="1" customWidth="1"/>
    <col min="9" max="10" width="11.88671875" style="547" customWidth="1"/>
    <col min="11" max="11" width="11.88671875" style="547" hidden="1" customWidth="1"/>
    <col min="12" max="25" width="11.88671875" style="547" customWidth="1"/>
    <col min="26" max="26" width="9.109375" style="547" customWidth="1"/>
    <col min="27" max="27" width="15.33203125" style="547" customWidth="1"/>
    <col min="28" max="16384" width="9.109375" style="547"/>
  </cols>
  <sheetData>
    <row r="1" spans="1:29" s="544" customFormat="1" ht="88.5" customHeight="1">
      <c r="B1" s="798"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C1" s="798"/>
      <c r="D1" s="798"/>
      <c r="E1" s="798"/>
      <c r="F1" s="798"/>
      <c r="G1" s="798"/>
      <c r="H1" s="545"/>
      <c r="I1" s="545"/>
      <c r="J1" s="545"/>
      <c r="K1" s="545"/>
      <c r="L1" s="545"/>
      <c r="M1" s="545"/>
      <c r="N1" s="545"/>
      <c r="O1" s="545"/>
      <c r="P1" s="545"/>
      <c r="Q1" s="545"/>
      <c r="R1" s="545"/>
      <c r="S1" s="545"/>
      <c r="T1" s="545"/>
      <c r="U1" s="545"/>
      <c r="V1" s="545"/>
      <c r="W1" s="545"/>
      <c r="X1" s="545"/>
      <c r="Y1" s="545"/>
      <c r="AA1" s="546"/>
      <c r="AB1" s="546"/>
      <c r="AC1" s="546"/>
    </row>
    <row r="2" spans="1:29" ht="16.5" customHeight="1">
      <c r="B2" s="799" t="str">
        <f>Cover!B3</f>
        <v>Spec. No: CC/NT/W-RT/DOM/A00/22/00726</v>
      </c>
      <c r="C2" s="799"/>
      <c r="D2" s="799"/>
      <c r="E2" s="799"/>
      <c r="F2" s="799"/>
      <c r="G2" s="799"/>
      <c r="H2" s="544"/>
      <c r="I2" s="544"/>
      <c r="J2" s="544"/>
      <c r="K2" s="544"/>
      <c r="L2" s="544"/>
      <c r="M2" s="544"/>
      <c r="N2" s="544"/>
      <c r="O2" s="544"/>
      <c r="P2" s="544"/>
      <c r="Q2" s="544"/>
      <c r="R2" s="544"/>
      <c r="S2" s="544"/>
      <c r="T2" s="544"/>
      <c r="U2" s="544"/>
      <c r="V2" s="544"/>
      <c r="W2" s="544"/>
      <c r="X2" s="544"/>
      <c r="Y2" s="544"/>
      <c r="AA2" s="547" t="s">
        <v>117</v>
      </c>
      <c r="AB2" s="548">
        <v>1</v>
      </c>
      <c r="AC2" s="549"/>
    </row>
    <row r="3" spans="1:29" ht="12" customHeight="1">
      <c r="B3" s="550"/>
      <c r="C3" s="550"/>
      <c r="D3" s="550"/>
      <c r="E3" s="550"/>
      <c r="F3" s="544"/>
      <c r="G3" s="544"/>
      <c r="H3" s="544"/>
      <c r="I3" s="544"/>
      <c r="J3" s="544"/>
      <c r="K3" s="544"/>
      <c r="L3" s="544"/>
      <c r="M3" s="544"/>
      <c r="N3" s="544"/>
      <c r="O3" s="544"/>
      <c r="P3" s="544"/>
      <c r="Q3" s="544"/>
      <c r="R3" s="544"/>
      <c r="S3" s="544"/>
      <c r="T3" s="544"/>
      <c r="U3" s="544"/>
      <c r="V3" s="544"/>
      <c r="W3" s="544"/>
      <c r="X3" s="544"/>
      <c r="Y3" s="544"/>
      <c r="AA3" s="547" t="s">
        <v>118</v>
      </c>
      <c r="AB3" s="548" t="s">
        <v>119</v>
      </c>
      <c r="AC3" s="549"/>
    </row>
    <row r="4" spans="1:29" ht="20.100000000000001" customHeight="1">
      <c r="B4" s="800" t="s">
        <v>120</v>
      </c>
      <c r="C4" s="800"/>
      <c r="D4" s="800"/>
      <c r="E4" s="800"/>
      <c r="F4" s="800"/>
      <c r="G4" s="800"/>
      <c r="H4" s="544"/>
      <c r="I4" s="544"/>
      <c r="J4" s="544"/>
      <c r="K4" s="544"/>
      <c r="L4" s="544"/>
      <c r="M4" s="544"/>
      <c r="N4" s="544"/>
      <c r="O4" s="544"/>
      <c r="P4" s="544"/>
      <c r="Q4" s="544"/>
      <c r="R4" s="544"/>
      <c r="S4" s="544"/>
      <c r="T4" s="544"/>
      <c r="U4" s="544"/>
      <c r="V4" s="544"/>
      <c r="W4" s="544"/>
      <c r="X4" s="544"/>
      <c r="Y4" s="544"/>
      <c r="AB4" s="548"/>
      <c r="AC4" s="549"/>
    </row>
    <row r="5" spans="1:29" ht="12" customHeight="1">
      <c r="B5" s="551"/>
      <c r="C5" s="551"/>
      <c r="F5" s="544"/>
      <c r="G5" s="544"/>
      <c r="H5" s="544"/>
      <c r="I5" s="544"/>
      <c r="J5" s="544"/>
      <c r="K5" s="544"/>
      <c r="L5" s="544"/>
      <c r="M5" s="544"/>
      <c r="N5" s="544"/>
      <c r="O5" s="544"/>
      <c r="P5" s="544"/>
      <c r="Q5" s="544"/>
      <c r="R5" s="544"/>
      <c r="S5" s="544"/>
      <c r="T5" s="544"/>
      <c r="U5" s="544"/>
      <c r="V5" s="544"/>
      <c r="W5" s="544"/>
      <c r="X5" s="544"/>
      <c r="Y5" s="544"/>
      <c r="AA5" s="549"/>
      <c r="AB5" s="549"/>
      <c r="AC5" s="549"/>
    </row>
    <row r="6" spans="1:29" s="544" customFormat="1" ht="50.25" customHeight="1">
      <c r="B6" s="805" t="s">
        <v>350</v>
      </c>
      <c r="C6" s="805"/>
      <c r="D6" s="801" t="s">
        <v>117</v>
      </c>
      <c r="E6" s="801"/>
      <c r="F6" s="801"/>
      <c r="G6" s="801"/>
      <c r="H6" s="552"/>
      <c r="I6" s="552"/>
      <c r="J6" s="552"/>
      <c r="K6" s="574">
        <f>IF(D6="Sole Bidder", 1,2)</f>
        <v>1</v>
      </c>
      <c r="L6" s="552"/>
      <c r="M6" s="552"/>
      <c r="N6" s="552"/>
      <c r="O6" s="552"/>
      <c r="P6" s="552"/>
      <c r="Q6" s="552"/>
      <c r="R6" s="552"/>
      <c r="S6" s="552"/>
      <c r="U6" s="552"/>
      <c r="V6" s="552"/>
      <c r="W6" s="552"/>
      <c r="X6" s="552"/>
      <c r="Y6" s="552"/>
      <c r="AA6" s="553">
        <f>IF(D6= "Sole Bidder", 0, D7)</f>
        <v>0</v>
      </c>
      <c r="AB6" s="546"/>
      <c r="AC6" s="546"/>
    </row>
    <row r="7" spans="1:29" ht="50.1" customHeight="1">
      <c r="A7" s="554"/>
      <c r="B7" s="555" t="str">
        <f>IF(D6= "JV (Joint Venture)", "Total Nos. of  Partners in the JV [excluding the Lead Partner]", "")</f>
        <v/>
      </c>
      <c r="C7" s="556"/>
      <c r="D7" s="802" t="s">
        <v>119</v>
      </c>
      <c r="E7" s="803"/>
      <c r="F7" s="803"/>
      <c r="G7" s="804"/>
      <c r="AA7" s="549"/>
      <c r="AB7" s="549"/>
      <c r="AC7" s="549"/>
    </row>
    <row r="8" spans="1:29" ht="19.5" customHeight="1">
      <c r="B8" s="557"/>
      <c r="C8" s="557"/>
      <c r="D8" s="552"/>
    </row>
    <row r="9" spans="1:29" ht="20.100000000000001" customHeight="1">
      <c r="B9" s="558" t="str">
        <f>IF(D6= "Sole Bidder", "Name of Sole Bidder", "Name of Lead Partner")</f>
        <v>Name of Sole Bidder</v>
      </c>
      <c r="C9" s="559"/>
      <c r="D9" s="786"/>
      <c r="E9" s="787"/>
      <c r="F9" s="787"/>
      <c r="G9" s="788"/>
    </row>
    <row r="10" spans="1:29" ht="20.100000000000001" customHeight="1">
      <c r="B10" s="560" t="str">
        <f>IF(D6= "Sole Bidder", "Address of Sole Bidder", "Address of Lead Partner")</f>
        <v>Address of Sole Bidder</v>
      </c>
      <c r="C10" s="561"/>
      <c r="D10" s="786"/>
      <c r="E10" s="787"/>
      <c r="F10" s="787"/>
      <c r="G10" s="788"/>
    </row>
    <row r="11" spans="1:29" ht="20.100000000000001" customHeight="1">
      <c r="B11" s="562"/>
      <c r="C11" s="563"/>
      <c r="D11" s="786"/>
      <c r="E11" s="787"/>
      <c r="F11" s="787"/>
      <c r="G11" s="788"/>
    </row>
    <row r="12" spans="1:29" ht="20.100000000000001" customHeight="1">
      <c r="B12" s="564"/>
      <c r="C12" s="565"/>
      <c r="D12" s="786"/>
      <c r="E12" s="787"/>
      <c r="F12" s="787"/>
      <c r="G12" s="788"/>
    </row>
    <row r="13" spans="1:29" ht="20.100000000000001" customHeight="1"/>
    <row r="14" spans="1:29" ht="20.100000000000001" customHeight="1">
      <c r="B14" s="558" t="str">
        <f>IF(D6="JV (Joint Venture)", "Name of other Partner","Name of other Partner - 1")</f>
        <v>Name of other Partner - 1</v>
      </c>
      <c r="C14" s="559"/>
      <c r="D14" s="792"/>
      <c r="E14" s="793"/>
      <c r="F14" s="793"/>
      <c r="G14" s="794"/>
    </row>
    <row r="15" spans="1:29" ht="20.100000000000001" customHeight="1">
      <c r="B15" s="560" t="str">
        <f>IF(D6="JV (Joint Venture)", "Address of other Partner","Address of other Partner - 1")</f>
        <v>Address of other Partner - 1</v>
      </c>
      <c r="C15" s="561"/>
      <c r="D15" s="795"/>
      <c r="E15" s="796"/>
      <c r="F15" s="796"/>
      <c r="G15" s="797"/>
    </row>
    <row r="16" spans="1:29" ht="20.100000000000001" customHeight="1">
      <c r="B16" s="562"/>
      <c r="C16" s="563"/>
      <c r="D16" s="795"/>
      <c r="E16" s="796"/>
      <c r="F16" s="796"/>
      <c r="G16" s="797"/>
    </row>
    <row r="17" spans="2:8" ht="20.100000000000001" customHeight="1">
      <c r="B17" s="564"/>
      <c r="C17" s="565"/>
      <c r="D17" s="795"/>
      <c r="E17" s="796"/>
      <c r="F17" s="796"/>
      <c r="G17" s="797"/>
    </row>
    <row r="18" spans="2:8" ht="20.100000000000001" customHeight="1"/>
    <row r="19" spans="2:8" ht="20.100000000000001" hidden="1" customHeight="1">
      <c r="B19" s="558" t="s">
        <v>122</v>
      </c>
      <c r="C19" s="559"/>
      <c r="D19" s="792" t="s">
        <v>121</v>
      </c>
      <c r="E19" s="793"/>
      <c r="F19" s="793"/>
      <c r="G19" s="794"/>
    </row>
    <row r="20" spans="2:8" ht="20.100000000000001" hidden="1" customHeight="1">
      <c r="B20" s="560" t="s">
        <v>123</v>
      </c>
      <c r="C20" s="561"/>
      <c r="D20" s="792" t="s">
        <v>121</v>
      </c>
      <c r="E20" s="793"/>
      <c r="F20" s="793"/>
      <c r="G20" s="794"/>
    </row>
    <row r="21" spans="2:8" ht="20.100000000000001" hidden="1" customHeight="1">
      <c r="B21" s="562"/>
      <c r="C21" s="563"/>
      <c r="D21" s="792" t="s">
        <v>121</v>
      </c>
      <c r="E21" s="793"/>
      <c r="F21" s="793"/>
      <c r="G21" s="794"/>
    </row>
    <row r="22" spans="2:8" ht="20.100000000000001" hidden="1" customHeight="1">
      <c r="B22" s="564"/>
      <c r="C22" s="565"/>
      <c r="D22" s="792" t="s">
        <v>121</v>
      </c>
      <c r="E22" s="793"/>
      <c r="F22" s="793"/>
      <c r="G22" s="794"/>
    </row>
    <row r="23" spans="2:8" ht="20.100000000000001" customHeight="1">
      <c r="B23" s="566"/>
      <c r="C23" s="566"/>
    </row>
    <row r="24" spans="2:8" ht="21" customHeight="1">
      <c r="B24" s="567" t="s">
        <v>124</v>
      </c>
      <c r="C24" s="568"/>
      <c r="D24" s="789"/>
      <c r="E24" s="790"/>
      <c r="F24" s="790"/>
      <c r="G24" s="791"/>
    </row>
    <row r="25" spans="2:8" ht="21" customHeight="1">
      <c r="B25" s="567" t="s">
        <v>125</v>
      </c>
      <c r="C25" s="568"/>
      <c r="D25" s="789"/>
      <c r="E25" s="790"/>
      <c r="F25" s="790"/>
      <c r="G25" s="791"/>
    </row>
    <row r="26" spans="2:8" ht="21" customHeight="1">
      <c r="B26" s="569"/>
      <c r="C26" s="569"/>
      <c r="D26" s="570"/>
    </row>
    <row r="27" spans="2:8" s="544" customFormat="1" ht="21" customHeight="1">
      <c r="B27" s="567" t="s">
        <v>126</v>
      </c>
      <c r="C27" s="568"/>
      <c r="D27" s="571"/>
      <c r="E27" s="573"/>
      <c r="F27" s="571"/>
      <c r="G27" s="572" t="str">
        <f>IF(D27&gt;H27, "Invalid Date !", "")</f>
        <v/>
      </c>
      <c r="H27" s="546">
        <f>IF(E27="Feb",28,IF(OR(E27="Apr", E27="Jun", E27="Sep", E27="Nov"),30,31))</f>
        <v>31</v>
      </c>
    </row>
    <row r="28" spans="2:8" ht="21" customHeight="1">
      <c r="B28" s="567" t="s">
        <v>127</v>
      </c>
      <c r="C28" s="568"/>
      <c r="D28" s="792"/>
      <c r="E28" s="806"/>
      <c r="F28" s="806"/>
      <c r="G28" s="807"/>
    </row>
    <row r="29" spans="2:8">
      <c r="E29" s="547"/>
    </row>
  </sheetData>
  <sheetProtection password="CC6F" sheet="1" formatColumns="0" formatRows="0" selectLockedCells="1"/>
  <customSheetViews>
    <customSheetView guid="{F8A50AE1-259E-429D-A506-38EB64D134EF}" showGridLines="0" printArea="1" hiddenRows="1" hiddenColumns="1" view="pageBreakPreview">
      <selection activeCell="D28" sqref="D28:G28"/>
      <pageMargins left="0.75" right="0.75" top="0.69" bottom="0.7" header="0.4" footer="0.37"/>
      <pageSetup scale="86" orientation="portrait" r:id="rId1"/>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5"/>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6"/>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7"/>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8"/>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9"/>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10"/>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11"/>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14"/>
      <headerFooter alignWithMargins="0"/>
    </customSheetView>
    <customSheetView guid="{84F40905-A9D3-43A5-987A-8A757D486A94}" showGridLines="0" printArea="1" hiddenRows="1" hiddenColumns="1" view="pageBreakPreview">
      <selection activeCell="D28" sqref="D28:G28"/>
      <pageMargins left="0.75" right="0.75" top="0.69" bottom="0.7" header="0.4" footer="0.37"/>
      <pageSetup scale="86" orientation="portrait" r:id="rId15"/>
      <headerFooter alignWithMargins="0"/>
    </customSheetView>
  </customSheetViews>
  <mergeCells count="21">
    <mergeCell ref="D28:G28"/>
    <mergeCell ref="D14:G14"/>
    <mergeCell ref="D22:G22"/>
    <mergeCell ref="D16:G16"/>
    <mergeCell ref="D17:G17"/>
    <mergeCell ref="D21:G21"/>
    <mergeCell ref="D25:G25"/>
    <mergeCell ref="B1:G1"/>
    <mergeCell ref="B2:G2"/>
    <mergeCell ref="B4:G4"/>
    <mergeCell ref="D6:G6"/>
    <mergeCell ref="D7:G7"/>
    <mergeCell ref="B6:C6"/>
    <mergeCell ref="D9:G9"/>
    <mergeCell ref="D10:G10"/>
    <mergeCell ref="D11:G11"/>
    <mergeCell ref="D12:G12"/>
    <mergeCell ref="D24:G24"/>
    <mergeCell ref="D19:G19"/>
    <mergeCell ref="D20:G20"/>
    <mergeCell ref="D15:G15"/>
  </mergeCells>
  <conditionalFormatting sqref="B19:C22">
    <cfRule type="expression" dxfId="17" priority="3" stopIfTrue="1">
      <formula>$AA$6&lt;2</formula>
    </cfRule>
  </conditionalFormatting>
  <conditionalFormatting sqref="B14:C17">
    <cfRule type="expression" dxfId="16" priority="4" stopIfTrue="1">
      <formula>$AA$6&lt;1</formula>
    </cfRule>
  </conditionalFormatting>
  <conditionalFormatting sqref="B7:G7">
    <cfRule type="expression" dxfId="15" priority="5" stopIfTrue="1">
      <formula>$D$6="Sole Bidder"</formula>
    </cfRule>
  </conditionalFormatting>
  <conditionalFormatting sqref="D14:G17">
    <cfRule type="expression" dxfId="14" priority="2" stopIfTrue="1">
      <formula>$AA$6&lt;1</formula>
    </cfRule>
  </conditionalFormatting>
  <conditionalFormatting sqref="D19:G22">
    <cfRule type="expression" dxfId="13" priority="1" stopIfTrue="1">
      <formula>$AA$6&lt;2</formula>
    </cfRule>
  </conditionalFormatting>
  <dataValidations count="5">
    <dataValidation type="list" allowBlank="1" showInputMessage="1" showErrorMessage="1" sqref="F27" xr:uid="{00000000-0002-0000-0300-000000000000}">
      <formula1>"2023"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83"/>
  <sheetViews>
    <sheetView view="pageBreakPreview" topLeftCell="A32" zoomScale="60" zoomScaleNormal="92" workbookViewId="0">
      <selection activeCell="M43" sqref="M43"/>
    </sheetView>
  </sheetViews>
  <sheetFormatPr defaultColWidth="9.109375" defaultRowHeight="15.6"/>
  <cols>
    <col min="1" max="1" width="8.33203125" style="471" customWidth="1"/>
    <col min="2" max="2" width="18.6640625" style="471" customWidth="1"/>
    <col min="3" max="3" width="8.5546875" style="471" customWidth="1"/>
    <col min="4" max="4" width="24.88671875" style="698" customWidth="1"/>
    <col min="5" max="5" width="18.6640625" style="471" customWidth="1"/>
    <col min="6" max="6" width="15.88671875" style="471" customWidth="1"/>
    <col min="7" max="7" width="21.88671875" style="471" customWidth="1"/>
    <col min="8" max="8" width="12.44140625" style="531" customWidth="1"/>
    <col min="9" max="9" width="22.33203125" style="471" customWidth="1"/>
    <col min="10" max="10" width="61.109375" style="698" customWidth="1"/>
    <col min="11" max="11" width="7.109375" style="471" customWidth="1"/>
    <col min="12" max="12" width="9" style="471" customWidth="1"/>
    <col min="13" max="13" width="26.44140625" style="471" customWidth="1"/>
    <col min="14" max="14" width="21.33203125" style="471" customWidth="1"/>
    <col min="15" max="15" width="14" style="471" hidden="1" customWidth="1"/>
    <col min="16" max="16" width="16.88671875" style="471" hidden="1" customWidth="1"/>
    <col min="17" max="17" width="13" style="471" hidden="1" customWidth="1"/>
    <col min="18" max="18" width="20.109375" style="471" hidden="1" customWidth="1"/>
    <col min="19" max="19" width="16.109375" style="471" hidden="1" customWidth="1"/>
    <col min="20" max="20" width="15" style="471" hidden="1" customWidth="1"/>
    <col min="21" max="21" width="24.5546875" style="471" hidden="1" customWidth="1"/>
    <col min="22" max="22" width="24" style="471" hidden="1" customWidth="1"/>
    <col min="23" max="23" width="9.109375" style="471" hidden="1" customWidth="1"/>
    <col min="24" max="37" width="9.109375" style="471" customWidth="1"/>
    <col min="38" max="38" width="0.33203125" style="471" customWidth="1"/>
    <col min="39" max="44" width="9.109375" style="471" customWidth="1"/>
    <col min="45" max="16384" width="9.109375" style="471"/>
  </cols>
  <sheetData>
    <row r="1" spans="1:256" ht="22.5" customHeight="1">
      <c r="A1" s="709" t="str">
        <f>Basic!B5</f>
        <v>Spec. No: CC/NT/W-RT/DOM/A00/22/00726</v>
      </c>
      <c r="B1" s="6"/>
      <c r="C1" s="6"/>
      <c r="D1" s="421"/>
      <c r="E1" s="6"/>
      <c r="F1" s="6"/>
      <c r="G1" s="6"/>
      <c r="H1" s="6"/>
      <c r="I1" s="6"/>
      <c r="J1" s="710"/>
      <c r="K1" s="6"/>
      <c r="L1" s="6"/>
      <c r="M1" s="6"/>
      <c r="N1" s="6" t="s">
        <v>474</v>
      </c>
    </row>
    <row r="2" spans="1:256">
      <c r="A2" s="4"/>
      <c r="B2" s="4"/>
      <c r="C2" s="4"/>
      <c r="D2" s="351"/>
      <c r="E2" s="4"/>
      <c r="F2" s="4"/>
      <c r="G2" s="4"/>
      <c r="H2" s="4"/>
      <c r="I2" s="4"/>
      <c r="J2" s="351"/>
      <c r="K2" s="4"/>
      <c r="L2" s="4"/>
      <c r="M2" s="4"/>
      <c r="N2" s="4"/>
    </row>
    <row r="3" spans="1:256" ht="71.25" customHeight="1">
      <c r="A3" s="808"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08"/>
      <c r="C3" s="808"/>
      <c r="D3" s="808"/>
      <c r="E3" s="808"/>
      <c r="F3" s="808"/>
      <c r="G3" s="808"/>
      <c r="H3" s="808"/>
      <c r="I3" s="808"/>
      <c r="J3" s="808"/>
      <c r="K3" s="808"/>
      <c r="L3" s="808"/>
      <c r="M3" s="808"/>
      <c r="N3" s="808"/>
    </row>
    <row r="4" spans="1:256">
      <c r="A4" s="809" t="s">
        <v>0</v>
      </c>
      <c r="B4" s="809"/>
      <c r="C4" s="809"/>
      <c r="D4" s="809"/>
      <c r="E4" s="809"/>
      <c r="F4" s="809"/>
      <c r="G4" s="809"/>
      <c r="H4" s="809"/>
      <c r="I4" s="809"/>
      <c r="J4" s="809"/>
      <c r="K4" s="809"/>
      <c r="L4" s="809"/>
      <c r="M4" s="809"/>
      <c r="N4" s="809"/>
    </row>
    <row r="5" spans="1:256" s="576" customFormat="1" ht="27" customHeight="1">
      <c r="A5" s="575"/>
      <c r="B5" s="575"/>
      <c r="C5" s="575"/>
      <c r="D5" s="575"/>
      <c r="E5" s="575"/>
      <c r="F5" s="575"/>
      <c r="G5" s="575"/>
      <c r="H5" s="575"/>
      <c r="I5" s="575"/>
      <c r="J5" s="575"/>
      <c r="K5" s="575"/>
      <c r="L5" s="575"/>
      <c r="M5" s="575"/>
      <c r="N5" s="575"/>
    </row>
    <row r="6" spans="1:256" ht="23.25" customHeight="1">
      <c r="A6" s="810" t="s">
        <v>349</v>
      </c>
      <c r="B6" s="810"/>
      <c r="C6" s="4"/>
      <c r="D6" s="351"/>
      <c r="E6" s="4"/>
      <c r="F6" s="4"/>
      <c r="G6" s="4"/>
      <c r="H6" s="4"/>
      <c r="I6" s="4"/>
      <c r="J6" s="351"/>
      <c r="K6" s="4"/>
      <c r="L6" s="4"/>
      <c r="M6" s="4"/>
      <c r="N6" s="4"/>
    </row>
    <row r="7" spans="1:256" ht="24" customHeight="1">
      <c r="A7" s="815" t="str">
        <f>C9</f>
        <v/>
      </c>
      <c r="B7" s="815"/>
      <c r="C7" s="815"/>
      <c r="D7" s="815"/>
      <c r="E7" s="815"/>
      <c r="F7" s="815"/>
      <c r="G7" s="815"/>
      <c r="H7" s="815"/>
      <c r="I7" s="815"/>
      <c r="J7" s="406"/>
      <c r="K7" s="454" t="s">
        <v>1</v>
      </c>
      <c r="L7" s="405"/>
      <c r="N7" s="4"/>
      <c r="Z7" s="532"/>
    </row>
    <row r="8" spans="1:256" ht="24" customHeight="1">
      <c r="A8" s="811" t="str">
        <f>"Bidder’s Name and Address  (" &amp; MID('Names of Bidder'!B9,9, 20) &amp; ") :"</f>
        <v>Bidder’s Name and Address  (Sole Bidder) :</v>
      </c>
      <c r="B8" s="811"/>
      <c r="C8" s="811"/>
      <c r="D8" s="811"/>
      <c r="E8" s="811"/>
      <c r="F8" s="811"/>
      <c r="G8" s="811"/>
      <c r="H8" s="535"/>
      <c r="I8" s="535"/>
      <c r="J8" s="535"/>
      <c r="K8" s="455" t="s">
        <v>2</v>
      </c>
      <c r="L8" s="535"/>
      <c r="N8" s="4"/>
      <c r="U8" s="528"/>
      <c r="Z8" s="817"/>
      <c r="AA8" s="817"/>
      <c r="AB8" s="817"/>
      <c r="AC8" s="817"/>
      <c r="AD8" s="817"/>
      <c r="AE8" s="817"/>
      <c r="AF8" s="817"/>
      <c r="AG8" s="817"/>
      <c r="AH8" s="817"/>
      <c r="AI8" s="817"/>
      <c r="AJ8" s="817"/>
      <c r="AK8" s="817"/>
      <c r="AL8" s="817"/>
    </row>
    <row r="9" spans="1:256" ht="24" customHeight="1">
      <c r="A9" s="459" t="s">
        <v>12</v>
      </c>
      <c r="B9" s="407"/>
      <c r="C9" s="814" t="str">
        <f>IF('Names of Bidder'!D9=0, "", 'Names of Bidder'!D9)</f>
        <v/>
      </c>
      <c r="D9" s="814"/>
      <c r="E9" s="814"/>
      <c r="F9" s="814"/>
      <c r="G9" s="814"/>
      <c r="H9" s="443"/>
      <c r="I9" s="408"/>
      <c r="J9" s="409"/>
      <c r="K9" s="455" t="s">
        <v>3</v>
      </c>
      <c r="N9" s="4"/>
      <c r="U9" s="528"/>
      <c r="Z9" s="817"/>
      <c r="AA9" s="817"/>
      <c r="AB9" s="817"/>
      <c r="AC9" s="817"/>
      <c r="AD9" s="817"/>
      <c r="AE9" s="817"/>
      <c r="AF9" s="817"/>
      <c r="AG9" s="817"/>
      <c r="AH9" s="817"/>
      <c r="AI9" s="817"/>
      <c r="AJ9" s="817"/>
      <c r="AK9" s="817"/>
      <c r="AL9" s="817"/>
    </row>
    <row r="10" spans="1:256" ht="24" customHeight="1">
      <c r="A10" s="459" t="s">
        <v>11</v>
      </c>
      <c r="B10" s="407"/>
      <c r="C10" s="813" t="str">
        <f>IF('Names of Bidder'!D10=0, "", 'Names of Bidder'!D10)</f>
        <v/>
      </c>
      <c r="D10" s="813"/>
      <c r="E10" s="813"/>
      <c r="F10" s="813"/>
      <c r="G10" s="813"/>
      <c r="H10" s="443"/>
      <c r="I10" s="408"/>
      <c r="J10" s="409"/>
      <c r="K10" s="455" t="s">
        <v>4</v>
      </c>
      <c r="N10" s="4"/>
      <c r="Z10" s="817"/>
      <c r="AA10" s="817"/>
      <c r="AB10" s="817"/>
      <c r="AC10" s="817"/>
      <c r="AD10" s="817"/>
      <c r="AE10" s="817"/>
      <c r="AF10" s="817"/>
      <c r="AG10" s="817"/>
      <c r="AH10" s="817"/>
      <c r="AI10" s="817"/>
      <c r="AJ10" s="817"/>
      <c r="AK10" s="817"/>
      <c r="AL10" s="817"/>
    </row>
    <row r="11" spans="1:256" ht="24" customHeight="1">
      <c r="A11" s="408"/>
      <c r="B11" s="408"/>
      <c r="C11" s="813" t="str">
        <f>IF('Names of Bidder'!D11=0, "", 'Names of Bidder'!D11)</f>
        <v/>
      </c>
      <c r="D11" s="813"/>
      <c r="E11" s="813"/>
      <c r="F11" s="813"/>
      <c r="G11" s="813"/>
      <c r="H11" s="443"/>
      <c r="I11" s="408"/>
      <c r="J11" s="409"/>
      <c r="K11" s="455" t="s">
        <v>5</v>
      </c>
      <c r="N11" s="4"/>
    </row>
    <row r="12" spans="1:256" ht="24" customHeight="1">
      <c r="A12" s="408"/>
      <c r="B12" s="408"/>
      <c r="C12" s="813" t="str">
        <f>IF('Names of Bidder'!D12=0, "", 'Names of Bidder'!D12)</f>
        <v/>
      </c>
      <c r="D12" s="813"/>
      <c r="E12" s="813"/>
      <c r="F12" s="813"/>
      <c r="G12" s="813"/>
      <c r="H12" s="443"/>
      <c r="I12" s="408"/>
      <c r="J12" s="409"/>
      <c r="K12" s="455" t="s">
        <v>6</v>
      </c>
      <c r="N12" s="4"/>
    </row>
    <row r="13" spans="1:256" s="529" customFormat="1" ht="26.25" customHeight="1">
      <c r="A13" s="816" t="s">
        <v>307</v>
      </c>
      <c r="B13" s="816"/>
      <c r="C13" s="816"/>
      <c r="D13" s="816"/>
      <c r="E13" s="816"/>
      <c r="F13" s="816"/>
      <c r="G13" s="816"/>
      <c r="H13" s="816"/>
      <c r="I13" s="816"/>
      <c r="J13" s="816"/>
      <c r="K13" s="816"/>
      <c r="L13" s="816"/>
      <c r="M13" s="816"/>
      <c r="N13" s="816"/>
    </row>
    <row r="14" spans="1:256" ht="15.75" customHeight="1">
      <c r="A14" s="4"/>
      <c r="B14" s="4"/>
      <c r="C14" s="4"/>
      <c r="D14" s="351"/>
      <c r="E14" s="4"/>
      <c r="F14" s="4"/>
      <c r="G14" s="4"/>
      <c r="H14" s="4"/>
      <c r="I14" s="4"/>
      <c r="J14" s="351"/>
      <c r="K14" s="812" t="s">
        <v>354</v>
      </c>
      <c r="L14" s="812"/>
      <c r="M14" s="812"/>
      <c r="N14" s="812"/>
    </row>
    <row r="15" spans="1:256" ht="122.25" customHeight="1">
      <c r="A15" s="390" t="s">
        <v>7</v>
      </c>
      <c r="B15" s="390" t="s">
        <v>266</v>
      </c>
      <c r="C15" s="390" t="s">
        <v>278</v>
      </c>
      <c r="D15" s="390" t="s">
        <v>280</v>
      </c>
      <c r="E15" s="390" t="s">
        <v>13</v>
      </c>
      <c r="F15" s="390" t="s">
        <v>308</v>
      </c>
      <c r="G15" s="441" t="s">
        <v>311</v>
      </c>
      <c r="H15" s="390" t="s">
        <v>314</v>
      </c>
      <c r="I15" s="442" t="s">
        <v>312</v>
      </c>
      <c r="J15" s="390" t="s">
        <v>8</v>
      </c>
      <c r="K15" s="16" t="s">
        <v>9</v>
      </c>
      <c r="L15" s="16" t="s">
        <v>10</v>
      </c>
      <c r="M15" s="390" t="s">
        <v>353</v>
      </c>
      <c r="N15" s="390" t="s">
        <v>352</v>
      </c>
    </row>
    <row r="16" spans="1:256" ht="22.2" customHeight="1">
      <c r="A16" s="16">
        <v>1</v>
      </c>
      <c r="B16" s="16">
        <v>2</v>
      </c>
      <c r="C16" s="16">
        <v>3</v>
      </c>
      <c r="D16" s="390">
        <v>4</v>
      </c>
      <c r="E16" s="16">
        <v>5</v>
      </c>
      <c r="F16" s="16">
        <v>6</v>
      </c>
      <c r="G16" s="727">
        <v>7</v>
      </c>
      <c r="H16" s="16">
        <v>8</v>
      </c>
      <c r="I16" s="728">
        <v>9</v>
      </c>
      <c r="J16" s="390">
        <v>10</v>
      </c>
      <c r="K16" s="16">
        <v>11</v>
      </c>
      <c r="L16" s="16">
        <v>12</v>
      </c>
      <c r="M16" s="16">
        <v>13</v>
      </c>
      <c r="N16" s="16" t="s">
        <v>351</v>
      </c>
      <c r="IV16" s="471">
        <f>SUM(A16:IU16)</f>
        <v>91</v>
      </c>
    </row>
    <row r="17" spans="1:22" ht="49.5" customHeight="1">
      <c r="A17" s="736">
        <v>1</v>
      </c>
      <c r="B17" s="741">
        <v>7000020343</v>
      </c>
      <c r="C17" s="742">
        <v>10</v>
      </c>
      <c r="D17" s="743" t="s">
        <v>483</v>
      </c>
      <c r="E17" s="742">
        <v>1000000566</v>
      </c>
      <c r="F17" s="742">
        <v>85042330</v>
      </c>
      <c r="G17" s="737"/>
      <c r="H17" s="738">
        <v>18</v>
      </c>
      <c r="I17" s="739"/>
      <c r="J17" s="732" t="s">
        <v>488</v>
      </c>
      <c r="K17" s="749" t="s">
        <v>299</v>
      </c>
      <c r="L17" s="750">
        <v>4</v>
      </c>
      <c r="M17" s="740"/>
      <c r="N17" s="730" t="str">
        <f>IF(M17=0, "INCLUDED", IF(ISERROR(M17*L17), M17, M17*L17))</f>
        <v>INCLUDED</v>
      </c>
      <c r="O17" s="603">
        <f>IF(N17="Included",0,N17)</f>
        <v>0</v>
      </c>
      <c r="P17" s="603">
        <f>IF( I17="",H17*(IF(N17="Included",0,N17))/100,I17*(IF(N17="Included",0,N17)))</f>
        <v>0</v>
      </c>
      <c r="Q17" s="608">
        <f>Discount!$H$36</f>
        <v>0</v>
      </c>
      <c r="R17" s="608">
        <f>Q17*O17</f>
        <v>0</v>
      </c>
      <c r="S17" s="608">
        <f>IF(I17="",H17*R17/100,I17*R17)</f>
        <v>0</v>
      </c>
      <c r="T17" s="715">
        <f>M17*L17</f>
        <v>0</v>
      </c>
      <c r="U17" s="726">
        <f>L17*M17</f>
        <v>0</v>
      </c>
      <c r="V17" s="726">
        <f>U17*0.18</f>
        <v>0</v>
      </c>
    </row>
    <row r="18" spans="1:22" ht="47.25" customHeight="1">
      <c r="A18" s="736">
        <v>2</v>
      </c>
      <c r="B18" s="741">
        <v>7000020343</v>
      </c>
      <c r="C18" s="742">
        <v>20</v>
      </c>
      <c r="D18" s="743" t="s">
        <v>483</v>
      </c>
      <c r="E18" s="742">
        <v>1000013964</v>
      </c>
      <c r="F18" s="742">
        <v>85049010</v>
      </c>
      <c r="G18" s="737"/>
      <c r="H18" s="738">
        <v>18</v>
      </c>
      <c r="I18" s="739"/>
      <c r="J18" s="732" t="s">
        <v>489</v>
      </c>
      <c r="K18" s="749" t="s">
        <v>300</v>
      </c>
      <c r="L18" s="750">
        <v>4</v>
      </c>
      <c r="M18" s="740"/>
      <c r="N18" s="730" t="str">
        <f t="shared" ref="N18:N21" si="0">IF(M18=0, "INCLUDED", IF(ISERROR(M18*L18), M18, M18*L18))</f>
        <v>INCLUDED</v>
      </c>
      <c r="O18" s="603">
        <f t="shared" ref="O18:O21" si="1">IF(N18="Included",0,N18)</f>
        <v>0</v>
      </c>
      <c r="P18" s="603">
        <f t="shared" ref="P18:P21" si="2">IF( I18="",H18*(IF(N18="Included",0,N18))/100,I18*(IF(N18="Included",0,N18)))</f>
        <v>0</v>
      </c>
      <c r="Q18" s="608">
        <f>Discount!$H$36</f>
        <v>0</v>
      </c>
      <c r="R18" s="608">
        <f t="shared" ref="R18:R21" si="3">Q18*O18</f>
        <v>0</v>
      </c>
      <c r="S18" s="608">
        <f t="shared" ref="S18:S21" si="4">IF(I18="",H18*R18/100,I18*R18)</f>
        <v>0</v>
      </c>
      <c r="T18" s="715">
        <f t="shared" ref="T18:T21" si="5">M18*L18</f>
        <v>0</v>
      </c>
      <c r="U18" s="726">
        <f t="shared" ref="U18:U21" si="6">L18*M18</f>
        <v>0</v>
      </c>
      <c r="V18" s="726">
        <f t="shared" ref="V18:V21" si="7">U18*0.18</f>
        <v>0</v>
      </c>
    </row>
    <row r="19" spans="1:22" ht="49.5" customHeight="1">
      <c r="A19" s="736">
        <v>3</v>
      </c>
      <c r="B19" s="741">
        <v>7000020343</v>
      </c>
      <c r="C19" s="742">
        <v>30</v>
      </c>
      <c r="D19" s="743" t="s">
        <v>483</v>
      </c>
      <c r="E19" s="742">
        <v>1000025212</v>
      </c>
      <c r="F19" s="742">
        <v>73090090</v>
      </c>
      <c r="G19" s="737"/>
      <c r="H19" s="738">
        <v>18</v>
      </c>
      <c r="I19" s="739"/>
      <c r="J19" s="732" t="s">
        <v>490</v>
      </c>
      <c r="K19" s="749" t="s">
        <v>299</v>
      </c>
      <c r="L19" s="750">
        <v>2</v>
      </c>
      <c r="M19" s="740"/>
      <c r="N19" s="730" t="str">
        <f t="shared" si="0"/>
        <v>INCLUDED</v>
      </c>
      <c r="O19" s="603">
        <f t="shared" si="1"/>
        <v>0</v>
      </c>
      <c r="P19" s="603">
        <f t="shared" si="2"/>
        <v>0</v>
      </c>
      <c r="Q19" s="608">
        <f>Discount!$H$36</f>
        <v>0</v>
      </c>
      <c r="R19" s="608">
        <f t="shared" si="3"/>
        <v>0</v>
      </c>
      <c r="S19" s="608">
        <f t="shared" si="4"/>
        <v>0</v>
      </c>
      <c r="T19" s="715">
        <f t="shared" si="5"/>
        <v>0</v>
      </c>
      <c r="U19" s="726">
        <f t="shared" si="6"/>
        <v>0</v>
      </c>
      <c r="V19" s="726">
        <f t="shared" si="7"/>
        <v>0</v>
      </c>
    </row>
    <row r="20" spans="1:22" ht="51.75" customHeight="1">
      <c r="A20" s="736">
        <v>4</v>
      </c>
      <c r="B20" s="741">
        <v>7000020343</v>
      </c>
      <c r="C20" s="742">
        <v>50</v>
      </c>
      <c r="D20" s="743" t="s">
        <v>484</v>
      </c>
      <c r="E20" s="742">
        <v>1000005810</v>
      </c>
      <c r="F20" s="742">
        <v>85049010</v>
      </c>
      <c r="G20" s="737"/>
      <c r="H20" s="738">
        <v>18</v>
      </c>
      <c r="I20" s="739"/>
      <c r="J20" s="732" t="s">
        <v>491</v>
      </c>
      <c r="K20" s="749" t="s">
        <v>299</v>
      </c>
      <c r="L20" s="750">
        <v>1</v>
      </c>
      <c r="M20" s="740"/>
      <c r="N20" s="730" t="str">
        <f t="shared" si="0"/>
        <v>INCLUDED</v>
      </c>
      <c r="O20" s="603">
        <f t="shared" si="1"/>
        <v>0</v>
      </c>
      <c r="P20" s="603">
        <f t="shared" si="2"/>
        <v>0</v>
      </c>
      <c r="Q20" s="608">
        <f>Discount!$H$36</f>
        <v>0</v>
      </c>
      <c r="R20" s="608">
        <f t="shared" si="3"/>
        <v>0</v>
      </c>
      <c r="S20" s="608">
        <f t="shared" si="4"/>
        <v>0</v>
      </c>
      <c r="T20" s="715">
        <f t="shared" si="5"/>
        <v>0</v>
      </c>
      <c r="U20" s="726">
        <f t="shared" si="6"/>
        <v>0</v>
      </c>
      <c r="V20" s="726">
        <f t="shared" si="7"/>
        <v>0</v>
      </c>
    </row>
    <row r="21" spans="1:22" ht="54.75" customHeight="1">
      <c r="A21" s="736">
        <v>5</v>
      </c>
      <c r="B21" s="741">
        <v>7000020343</v>
      </c>
      <c r="C21" s="742">
        <v>60</v>
      </c>
      <c r="D21" s="743" t="s">
        <v>484</v>
      </c>
      <c r="E21" s="742">
        <v>1000032089</v>
      </c>
      <c r="F21" s="742">
        <v>85049010</v>
      </c>
      <c r="G21" s="737"/>
      <c r="H21" s="738">
        <v>18</v>
      </c>
      <c r="I21" s="739"/>
      <c r="J21" s="732" t="s">
        <v>492</v>
      </c>
      <c r="K21" s="749" t="s">
        <v>493</v>
      </c>
      <c r="L21" s="750">
        <v>10</v>
      </c>
      <c r="M21" s="740"/>
      <c r="N21" s="730" t="str">
        <f t="shared" si="0"/>
        <v>INCLUDED</v>
      </c>
      <c r="O21" s="603">
        <f t="shared" si="1"/>
        <v>0</v>
      </c>
      <c r="P21" s="603">
        <f t="shared" si="2"/>
        <v>0</v>
      </c>
      <c r="Q21" s="608">
        <f>Discount!$H$36</f>
        <v>0</v>
      </c>
      <c r="R21" s="608">
        <f t="shared" si="3"/>
        <v>0</v>
      </c>
      <c r="S21" s="608">
        <f t="shared" si="4"/>
        <v>0</v>
      </c>
      <c r="T21" s="715">
        <f t="shared" si="5"/>
        <v>0</v>
      </c>
      <c r="U21" s="726">
        <f t="shared" si="6"/>
        <v>0</v>
      </c>
      <c r="V21" s="726">
        <f t="shared" si="7"/>
        <v>0</v>
      </c>
    </row>
    <row r="22" spans="1:22" ht="54.75" customHeight="1">
      <c r="A22" s="736">
        <v>6</v>
      </c>
      <c r="B22" s="741">
        <v>7000020343</v>
      </c>
      <c r="C22" s="742">
        <v>70</v>
      </c>
      <c r="D22" s="743" t="s">
        <v>484</v>
      </c>
      <c r="E22" s="742">
        <v>1000009584</v>
      </c>
      <c r="F22" s="742">
        <v>85049010</v>
      </c>
      <c r="G22" s="737"/>
      <c r="H22" s="738">
        <v>18</v>
      </c>
      <c r="I22" s="739"/>
      <c r="J22" s="732" t="s">
        <v>494</v>
      </c>
      <c r="K22" s="749" t="s">
        <v>300</v>
      </c>
      <c r="L22" s="750">
        <v>1</v>
      </c>
      <c r="M22" s="740"/>
      <c r="N22" s="730" t="str">
        <f>IF(M22=0, "INCLUDED", IF(ISERROR(M22*L22), M22, M22*L22))</f>
        <v>INCLUDED</v>
      </c>
      <c r="O22" s="603">
        <f>IF(N22="Included",0,N22)</f>
        <v>0</v>
      </c>
      <c r="P22" s="603">
        <f>IF( I22="",H22*(IF(N22="Included",0,N22))/100,I22*(IF(N22="Included",0,N22)))</f>
        <v>0</v>
      </c>
      <c r="Q22" s="608">
        <f>Discount!$H$36</f>
        <v>0</v>
      </c>
      <c r="R22" s="608">
        <f>Q22*O22</f>
        <v>0</v>
      </c>
      <c r="S22" s="608">
        <f>IF(I22="",H22*R22/100,I22*R22)</f>
        <v>0</v>
      </c>
      <c r="T22" s="715">
        <f>M22*L22</f>
        <v>0</v>
      </c>
      <c r="U22" s="726">
        <f>L22*M22</f>
        <v>0</v>
      </c>
      <c r="V22" s="726">
        <f>U22*0.18</f>
        <v>0</v>
      </c>
    </row>
    <row r="23" spans="1:22" ht="54.75" customHeight="1">
      <c r="A23" s="736">
        <v>7</v>
      </c>
      <c r="B23" s="741">
        <v>7000020343</v>
      </c>
      <c r="C23" s="742">
        <v>80</v>
      </c>
      <c r="D23" s="743" t="s">
        <v>484</v>
      </c>
      <c r="E23" s="742">
        <v>1000049424</v>
      </c>
      <c r="F23" s="742">
        <v>85049010</v>
      </c>
      <c r="G23" s="737"/>
      <c r="H23" s="738">
        <v>18</v>
      </c>
      <c r="I23" s="739"/>
      <c r="J23" s="732" t="s">
        <v>495</v>
      </c>
      <c r="K23" s="749" t="s">
        <v>300</v>
      </c>
      <c r="L23" s="750">
        <v>1</v>
      </c>
      <c r="M23" s="740"/>
      <c r="N23" s="730" t="str">
        <f t="shared" ref="N23:N25" si="8">IF(M23=0, "INCLUDED", IF(ISERROR(M23*L23), M23, M23*L23))</f>
        <v>INCLUDED</v>
      </c>
      <c r="O23" s="603">
        <f t="shared" ref="O23:O25" si="9">IF(N23="Included",0,N23)</f>
        <v>0</v>
      </c>
      <c r="P23" s="603">
        <f t="shared" ref="P23:P25" si="10">IF( I23="",H23*(IF(N23="Included",0,N23))/100,I23*(IF(N23="Included",0,N23)))</f>
        <v>0</v>
      </c>
      <c r="Q23" s="608">
        <f>Discount!$H$36</f>
        <v>0</v>
      </c>
      <c r="R23" s="608">
        <f t="shared" ref="R23:R25" si="11">Q23*O23</f>
        <v>0</v>
      </c>
      <c r="S23" s="608">
        <f t="shared" ref="S23:S25" si="12">IF(I23="",H23*R23/100,I23*R23)</f>
        <v>0</v>
      </c>
      <c r="T23" s="715">
        <f t="shared" ref="T23:T25" si="13">M23*L23</f>
        <v>0</v>
      </c>
      <c r="U23" s="726">
        <f t="shared" ref="U23:U25" si="14">L23*M23</f>
        <v>0</v>
      </c>
      <c r="V23" s="726">
        <f t="shared" ref="V23:V25" si="15">U23*0.18</f>
        <v>0</v>
      </c>
    </row>
    <row r="24" spans="1:22" ht="54.75" customHeight="1">
      <c r="A24" s="736">
        <v>8</v>
      </c>
      <c r="B24" s="741">
        <v>7000020343</v>
      </c>
      <c r="C24" s="742">
        <v>90</v>
      </c>
      <c r="D24" s="743" t="s">
        <v>484</v>
      </c>
      <c r="E24" s="742">
        <v>1000007913</v>
      </c>
      <c r="F24" s="742">
        <v>85049010</v>
      </c>
      <c r="G24" s="737"/>
      <c r="H24" s="738">
        <v>18</v>
      </c>
      <c r="I24" s="739"/>
      <c r="J24" s="732" t="s">
        <v>496</v>
      </c>
      <c r="K24" s="749" t="s">
        <v>300</v>
      </c>
      <c r="L24" s="750">
        <v>1</v>
      </c>
      <c r="M24" s="740"/>
      <c r="N24" s="730" t="str">
        <f t="shared" si="8"/>
        <v>INCLUDED</v>
      </c>
      <c r="O24" s="603">
        <f t="shared" si="9"/>
        <v>0</v>
      </c>
      <c r="P24" s="603">
        <f t="shared" si="10"/>
        <v>0</v>
      </c>
      <c r="Q24" s="608">
        <f>Discount!$H$36</f>
        <v>0</v>
      </c>
      <c r="R24" s="608">
        <f t="shared" si="11"/>
        <v>0</v>
      </c>
      <c r="S24" s="608">
        <f t="shared" si="12"/>
        <v>0</v>
      </c>
      <c r="T24" s="715">
        <f t="shared" si="13"/>
        <v>0</v>
      </c>
      <c r="U24" s="726">
        <f t="shared" si="14"/>
        <v>0</v>
      </c>
      <c r="V24" s="726">
        <f t="shared" si="15"/>
        <v>0</v>
      </c>
    </row>
    <row r="25" spans="1:22" ht="54.75" customHeight="1">
      <c r="A25" s="736">
        <v>9</v>
      </c>
      <c r="B25" s="741">
        <v>7000020343</v>
      </c>
      <c r="C25" s="744">
        <v>100</v>
      </c>
      <c r="D25" s="743" t="s">
        <v>484</v>
      </c>
      <c r="E25" s="744">
        <v>1000028280</v>
      </c>
      <c r="F25" s="744">
        <v>85049010</v>
      </c>
      <c r="G25" s="737"/>
      <c r="H25" s="738">
        <v>18</v>
      </c>
      <c r="I25" s="739"/>
      <c r="J25" s="732" t="s">
        <v>497</v>
      </c>
      <c r="K25" s="731" t="s">
        <v>299</v>
      </c>
      <c r="L25" s="719">
        <v>1</v>
      </c>
      <c r="M25" s="740"/>
      <c r="N25" s="730" t="str">
        <f t="shared" si="8"/>
        <v>INCLUDED</v>
      </c>
      <c r="O25" s="603">
        <f t="shared" si="9"/>
        <v>0</v>
      </c>
      <c r="P25" s="603">
        <f t="shared" si="10"/>
        <v>0</v>
      </c>
      <c r="Q25" s="608">
        <f>Discount!$H$36</f>
        <v>0</v>
      </c>
      <c r="R25" s="608">
        <f t="shared" si="11"/>
        <v>0</v>
      </c>
      <c r="S25" s="608">
        <f t="shared" si="12"/>
        <v>0</v>
      </c>
      <c r="T25" s="715">
        <f t="shared" si="13"/>
        <v>0</v>
      </c>
      <c r="U25" s="726">
        <f t="shared" si="14"/>
        <v>0</v>
      </c>
      <c r="V25" s="726">
        <f t="shared" si="15"/>
        <v>0</v>
      </c>
    </row>
    <row r="26" spans="1:22" ht="47.25" customHeight="1">
      <c r="A26" s="736">
        <v>10</v>
      </c>
      <c r="B26" s="741">
        <v>7000020343</v>
      </c>
      <c r="C26" s="742">
        <v>110</v>
      </c>
      <c r="D26" s="743" t="s">
        <v>484</v>
      </c>
      <c r="E26" s="742">
        <v>1000000935</v>
      </c>
      <c r="F26" s="742">
        <v>85049010</v>
      </c>
      <c r="G26" s="737"/>
      <c r="H26" s="738">
        <v>18</v>
      </c>
      <c r="I26" s="739"/>
      <c r="J26" s="732" t="s">
        <v>498</v>
      </c>
      <c r="K26" s="749" t="s">
        <v>299</v>
      </c>
      <c r="L26" s="750">
        <v>1</v>
      </c>
      <c r="M26" s="740"/>
      <c r="N26" s="730" t="str">
        <f t="shared" ref="N26:N29" si="16">IF(M26=0, "INCLUDED", IF(ISERROR(M26*L26), M26, M26*L26))</f>
        <v>INCLUDED</v>
      </c>
      <c r="O26" s="603">
        <f t="shared" ref="O26:O29" si="17">IF(N26="Included",0,N26)</f>
        <v>0</v>
      </c>
      <c r="P26" s="603">
        <f t="shared" ref="P26:P29" si="18">IF( I26="",H26*(IF(N26="Included",0,N26))/100,I26*(IF(N26="Included",0,N26)))</f>
        <v>0</v>
      </c>
      <c r="Q26" s="608">
        <f>Discount!$H$36</f>
        <v>0</v>
      </c>
      <c r="R26" s="608">
        <f t="shared" ref="R26:R29" si="19">Q26*O26</f>
        <v>0</v>
      </c>
      <c r="S26" s="608">
        <f t="shared" ref="S26:S29" si="20">IF(I26="",H26*R26/100,I26*R26)</f>
        <v>0</v>
      </c>
      <c r="T26" s="715">
        <f t="shared" ref="T26:T29" si="21">M26*L26</f>
        <v>0</v>
      </c>
      <c r="U26" s="726">
        <f t="shared" ref="U26:U29" si="22">L26*M26</f>
        <v>0</v>
      </c>
      <c r="V26" s="726">
        <f t="shared" ref="V26:V29" si="23">U26*0.18</f>
        <v>0</v>
      </c>
    </row>
    <row r="27" spans="1:22" ht="49.5" customHeight="1">
      <c r="A27" s="736">
        <v>11</v>
      </c>
      <c r="B27" s="741">
        <v>7000020343</v>
      </c>
      <c r="C27" s="742">
        <v>150</v>
      </c>
      <c r="D27" s="743" t="s">
        <v>485</v>
      </c>
      <c r="E27" s="742">
        <v>1000006178</v>
      </c>
      <c r="F27" s="742">
        <v>85042320</v>
      </c>
      <c r="G27" s="737"/>
      <c r="H27" s="738">
        <v>18</v>
      </c>
      <c r="I27" s="739"/>
      <c r="J27" s="732" t="s">
        <v>499</v>
      </c>
      <c r="K27" s="749" t="s">
        <v>299</v>
      </c>
      <c r="L27" s="750">
        <v>7</v>
      </c>
      <c r="M27" s="740"/>
      <c r="N27" s="730" t="str">
        <f t="shared" si="16"/>
        <v>INCLUDED</v>
      </c>
      <c r="O27" s="603">
        <f t="shared" si="17"/>
        <v>0</v>
      </c>
      <c r="P27" s="603">
        <f t="shared" si="18"/>
        <v>0</v>
      </c>
      <c r="Q27" s="608">
        <f>Discount!$H$36</f>
        <v>0</v>
      </c>
      <c r="R27" s="608">
        <f t="shared" si="19"/>
        <v>0</v>
      </c>
      <c r="S27" s="608">
        <f t="shared" si="20"/>
        <v>0</v>
      </c>
      <c r="T27" s="715">
        <f t="shared" si="21"/>
        <v>0</v>
      </c>
      <c r="U27" s="726">
        <f t="shared" si="22"/>
        <v>0</v>
      </c>
      <c r="V27" s="726">
        <f t="shared" si="23"/>
        <v>0</v>
      </c>
    </row>
    <row r="28" spans="1:22" ht="51.75" customHeight="1">
      <c r="A28" s="736">
        <v>12</v>
      </c>
      <c r="B28" s="741">
        <v>7000020343</v>
      </c>
      <c r="C28" s="742">
        <v>160</v>
      </c>
      <c r="D28" s="743" t="s">
        <v>485</v>
      </c>
      <c r="E28" s="742">
        <v>1000013992</v>
      </c>
      <c r="F28" s="742">
        <v>85049010</v>
      </c>
      <c r="G28" s="737"/>
      <c r="H28" s="738">
        <v>18</v>
      </c>
      <c r="I28" s="739"/>
      <c r="J28" s="732" t="s">
        <v>500</v>
      </c>
      <c r="K28" s="749" t="s">
        <v>300</v>
      </c>
      <c r="L28" s="750">
        <v>7</v>
      </c>
      <c r="M28" s="740"/>
      <c r="N28" s="730" t="str">
        <f t="shared" si="16"/>
        <v>INCLUDED</v>
      </c>
      <c r="O28" s="603">
        <f t="shared" si="17"/>
        <v>0</v>
      </c>
      <c r="P28" s="603">
        <f t="shared" si="18"/>
        <v>0</v>
      </c>
      <c r="Q28" s="608">
        <f>Discount!$H$36</f>
        <v>0</v>
      </c>
      <c r="R28" s="608">
        <f t="shared" si="19"/>
        <v>0</v>
      </c>
      <c r="S28" s="608">
        <f t="shared" si="20"/>
        <v>0</v>
      </c>
      <c r="T28" s="715">
        <f t="shared" si="21"/>
        <v>0</v>
      </c>
      <c r="U28" s="726">
        <f t="shared" si="22"/>
        <v>0</v>
      </c>
      <c r="V28" s="726">
        <f t="shared" si="23"/>
        <v>0</v>
      </c>
    </row>
    <row r="29" spans="1:22" ht="54.75" customHeight="1">
      <c r="A29" s="736">
        <v>13</v>
      </c>
      <c r="B29" s="741">
        <v>7000020343</v>
      </c>
      <c r="C29" s="742">
        <v>120</v>
      </c>
      <c r="D29" s="743" t="s">
        <v>485</v>
      </c>
      <c r="E29" s="742">
        <v>1000006608</v>
      </c>
      <c r="F29" s="742">
        <v>85045090</v>
      </c>
      <c r="G29" s="737"/>
      <c r="H29" s="738">
        <v>18</v>
      </c>
      <c r="I29" s="739"/>
      <c r="J29" s="732" t="s">
        <v>501</v>
      </c>
      <c r="K29" s="749" t="s">
        <v>300</v>
      </c>
      <c r="L29" s="750">
        <v>2</v>
      </c>
      <c r="M29" s="740"/>
      <c r="N29" s="730" t="str">
        <f t="shared" si="16"/>
        <v>INCLUDED</v>
      </c>
      <c r="O29" s="603">
        <f t="shared" si="17"/>
        <v>0</v>
      </c>
      <c r="P29" s="603">
        <f t="shared" si="18"/>
        <v>0</v>
      </c>
      <c r="Q29" s="608">
        <f>Discount!$H$36</f>
        <v>0</v>
      </c>
      <c r="R29" s="608">
        <f t="shared" si="19"/>
        <v>0</v>
      </c>
      <c r="S29" s="608">
        <f t="shared" si="20"/>
        <v>0</v>
      </c>
      <c r="T29" s="715">
        <f t="shared" si="21"/>
        <v>0</v>
      </c>
      <c r="U29" s="726">
        <f t="shared" si="22"/>
        <v>0</v>
      </c>
      <c r="V29" s="726">
        <f t="shared" si="23"/>
        <v>0</v>
      </c>
    </row>
    <row r="30" spans="1:22" ht="54.75" customHeight="1">
      <c r="A30" s="736">
        <v>14</v>
      </c>
      <c r="B30" s="741">
        <v>7000020343</v>
      </c>
      <c r="C30" s="742">
        <v>130</v>
      </c>
      <c r="D30" s="743" t="s">
        <v>485</v>
      </c>
      <c r="E30" s="742">
        <v>1000000855</v>
      </c>
      <c r="F30" s="742">
        <v>85049010</v>
      </c>
      <c r="G30" s="737"/>
      <c r="H30" s="738">
        <v>18</v>
      </c>
      <c r="I30" s="739"/>
      <c r="J30" s="732" t="s">
        <v>502</v>
      </c>
      <c r="K30" s="749" t="s">
        <v>299</v>
      </c>
      <c r="L30" s="750">
        <v>2</v>
      </c>
      <c r="M30" s="740"/>
      <c r="N30" s="730" t="str">
        <f>IF(M30=0, "INCLUDED", IF(ISERROR(M30*L30), M30, M30*L30))</f>
        <v>INCLUDED</v>
      </c>
      <c r="O30" s="603">
        <f>IF(N30="Included",0,N30)</f>
        <v>0</v>
      </c>
      <c r="P30" s="603">
        <f>IF( I30="",H30*(IF(N30="Included",0,N30))/100,I30*(IF(N30="Included",0,N30)))</f>
        <v>0</v>
      </c>
      <c r="Q30" s="608">
        <f>Discount!$H$36</f>
        <v>0</v>
      </c>
      <c r="R30" s="608">
        <f>Q30*O30</f>
        <v>0</v>
      </c>
      <c r="S30" s="608">
        <f>IF(I30="",H30*R30/100,I30*R30)</f>
        <v>0</v>
      </c>
      <c r="T30" s="715">
        <f>M30*L30</f>
        <v>0</v>
      </c>
      <c r="U30" s="726">
        <f>L30*M30</f>
        <v>0</v>
      </c>
      <c r="V30" s="726">
        <f>U30*0.18</f>
        <v>0</v>
      </c>
    </row>
    <row r="31" spans="1:22" ht="54.75" customHeight="1">
      <c r="A31" s="736">
        <v>15</v>
      </c>
      <c r="B31" s="741">
        <v>7000020343</v>
      </c>
      <c r="C31" s="742">
        <v>140</v>
      </c>
      <c r="D31" s="743" t="s">
        <v>485</v>
      </c>
      <c r="E31" s="742">
        <v>1000025212</v>
      </c>
      <c r="F31" s="742">
        <v>73090090</v>
      </c>
      <c r="G31" s="737"/>
      <c r="H31" s="738">
        <v>18</v>
      </c>
      <c r="I31" s="739"/>
      <c r="J31" s="732" t="s">
        <v>490</v>
      </c>
      <c r="K31" s="749" t="s">
        <v>299</v>
      </c>
      <c r="L31" s="750">
        <v>2</v>
      </c>
      <c r="M31" s="740"/>
      <c r="N31" s="730" t="str">
        <f t="shared" ref="N31:N33" si="24">IF(M31=0, "INCLUDED", IF(ISERROR(M31*L31), M31, M31*L31))</f>
        <v>INCLUDED</v>
      </c>
      <c r="O31" s="603">
        <f t="shared" ref="O31:O33" si="25">IF(N31="Included",0,N31)</f>
        <v>0</v>
      </c>
      <c r="P31" s="603">
        <f t="shared" ref="P31:P33" si="26">IF( I31="",H31*(IF(N31="Included",0,N31))/100,I31*(IF(N31="Included",0,N31)))</f>
        <v>0</v>
      </c>
      <c r="Q31" s="608">
        <f>Discount!$H$36</f>
        <v>0</v>
      </c>
      <c r="R31" s="608">
        <f t="shared" ref="R31:R33" si="27">Q31*O31</f>
        <v>0</v>
      </c>
      <c r="S31" s="608">
        <f t="shared" ref="S31:S33" si="28">IF(I31="",H31*R31/100,I31*R31)</f>
        <v>0</v>
      </c>
      <c r="T31" s="715">
        <f t="shared" ref="T31:T33" si="29">M31*L31</f>
        <v>0</v>
      </c>
      <c r="U31" s="726">
        <f t="shared" ref="U31:U33" si="30">L31*M31</f>
        <v>0</v>
      </c>
      <c r="V31" s="726">
        <f t="shared" ref="V31:V33" si="31">U31*0.18</f>
        <v>0</v>
      </c>
    </row>
    <row r="32" spans="1:22" ht="54.75" customHeight="1">
      <c r="A32" s="736">
        <v>16</v>
      </c>
      <c r="B32" s="741">
        <v>7000020343</v>
      </c>
      <c r="C32" s="742">
        <v>180</v>
      </c>
      <c r="D32" s="743" t="s">
        <v>486</v>
      </c>
      <c r="E32" s="742">
        <v>1000006178</v>
      </c>
      <c r="F32" s="742">
        <v>85042320</v>
      </c>
      <c r="G32" s="737"/>
      <c r="H32" s="738">
        <v>18</v>
      </c>
      <c r="I32" s="739"/>
      <c r="J32" s="732" t="s">
        <v>499</v>
      </c>
      <c r="K32" s="749" t="s">
        <v>299</v>
      </c>
      <c r="L32" s="750">
        <v>6</v>
      </c>
      <c r="M32" s="740"/>
      <c r="N32" s="730" t="str">
        <f t="shared" si="24"/>
        <v>INCLUDED</v>
      </c>
      <c r="O32" s="603">
        <f t="shared" si="25"/>
        <v>0</v>
      </c>
      <c r="P32" s="603">
        <f t="shared" si="26"/>
        <v>0</v>
      </c>
      <c r="Q32" s="608">
        <f>Discount!$H$36</f>
        <v>0</v>
      </c>
      <c r="R32" s="608">
        <f t="shared" si="27"/>
        <v>0</v>
      </c>
      <c r="S32" s="608">
        <f t="shared" si="28"/>
        <v>0</v>
      </c>
      <c r="T32" s="715">
        <f t="shared" si="29"/>
        <v>0</v>
      </c>
      <c r="U32" s="726">
        <f t="shared" si="30"/>
        <v>0</v>
      </c>
      <c r="V32" s="726">
        <f t="shared" si="31"/>
        <v>0</v>
      </c>
    </row>
    <row r="33" spans="1:22" ht="54.75" customHeight="1">
      <c r="A33" s="736">
        <v>17</v>
      </c>
      <c r="B33" s="741">
        <v>7000020343</v>
      </c>
      <c r="C33" s="744">
        <v>190</v>
      </c>
      <c r="D33" s="743" t="s">
        <v>486</v>
      </c>
      <c r="E33" s="744">
        <v>1000013992</v>
      </c>
      <c r="F33" s="744">
        <v>85049010</v>
      </c>
      <c r="G33" s="737"/>
      <c r="H33" s="738">
        <v>18</v>
      </c>
      <c r="I33" s="739"/>
      <c r="J33" s="732" t="s">
        <v>500</v>
      </c>
      <c r="K33" s="731" t="s">
        <v>300</v>
      </c>
      <c r="L33" s="719">
        <v>6</v>
      </c>
      <c r="M33" s="740"/>
      <c r="N33" s="730" t="str">
        <f t="shared" si="24"/>
        <v>INCLUDED</v>
      </c>
      <c r="O33" s="603">
        <f t="shared" si="25"/>
        <v>0</v>
      </c>
      <c r="P33" s="603">
        <f t="shared" si="26"/>
        <v>0</v>
      </c>
      <c r="Q33" s="608">
        <f>Discount!$H$36</f>
        <v>0</v>
      </c>
      <c r="R33" s="608">
        <f t="shared" si="27"/>
        <v>0</v>
      </c>
      <c r="S33" s="608">
        <f t="shared" si="28"/>
        <v>0</v>
      </c>
      <c r="T33" s="715">
        <f t="shared" si="29"/>
        <v>0</v>
      </c>
      <c r="U33" s="726">
        <f t="shared" si="30"/>
        <v>0</v>
      </c>
      <c r="V33" s="726">
        <f t="shared" si="31"/>
        <v>0</v>
      </c>
    </row>
    <row r="34" spans="1:22" ht="47.25" customHeight="1">
      <c r="A34" s="736">
        <v>18</v>
      </c>
      <c r="B34" s="741">
        <v>7000020343</v>
      </c>
      <c r="C34" s="742">
        <v>200</v>
      </c>
      <c r="D34" s="743" t="s">
        <v>486</v>
      </c>
      <c r="E34" s="742">
        <v>1000006608</v>
      </c>
      <c r="F34" s="742">
        <v>85045090</v>
      </c>
      <c r="G34" s="737"/>
      <c r="H34" s="738">
        <v>18</v>
      </c>
      <c r="I34" s="739"/>
      <c r="J34" s="732" t="s">
        <v>501</v>
      </c>
      <c r="K34" s="749" t="s">
        <v>300</v>
      </c>
      <c r="L34" s="750">
        <v>2</v>
      </c>
      <c r="M34" s="740"/>
      <c r="N34" s="730" t="str">
        <f t="shared" ref="N34:N37" si="32">IF(M34=0, "INCLUDED", IF(ISERROR(M34*L34), M34, M34*L34))</f>
        <v>INCLUDED</v>
      </c>
      <c r="O34" s="603">
        <f t="shared" ref="O34:O37" si="33">IF(N34="Included",0,N34)</f>
        <v>0</v>
      </c>
      <c r="P34" s="603">
        <f t="shared" ref="P34:P37" si="34">IF( I34="",H34*(IF(N34="Included",0,N34))/100,I34*(IF(N34="Included",0,N34)))</f>
        <v>0</v>
      </c>
      <c r="Q34" s="608">
        <f>Discount!$H$36</f>
        <v>0</v>
      </c>
      <c r="R34" s="608">
        <f t="shared" ref="R34:R37" si="35">Q34*O34</f>
        <v>0</v>
      </c>
      <c r="S34" s="608">
        <f t="shared" ref="S34:S37" si="36">IF(I34="",H34*R34/100,I34*R34)</f>
        <v>0</v>
      </c>
      <c r="T34" s="715">
        <f t="shared" ref="T34:T37" si="37">M34*L34</f>
        <v>0</v>
      </c>
      <c r="U34" s="726">
        <f t="shared" ref="U34:U37" si="38">L34*M34</f>
        <v>0</v>
      </c>
      <c r="V34" s="726">
        <f t="shared" ref="V34:V37" si="39">U34*0.18</f>
        <v>0</v>
      </c>
    </row>
    <row r="35" spans="1:22" ht="49.5" customHeight="1">
      <c r="A35" s="736">
        <v>19</v>
      </c>
      <c r="B35" s="741">
        <v>7000020343</v>
      </c>
      <c r="C35" s="742">
        <v>210</v>
      </c>
      <c r="D35" s="743" t="s">
        <v>486</v>
      </c>
      <c r="E35" s="742">
        <v>1000000855</v>
      </c>
      <c r="F35" s="742">
        <v>85049010</v>
      </c>
      <c r="G35" s="737"/>
      <c r="H35" s="738">
        <v>18</v>
      </c>
      <c r="I35" s="739"/>
      <c r="J35" s="732" t="s">
        <v>502</v>
      </c>
      <c r="K35" s="749" t="s">
        <v>299</v>
      </c>
      <c r="L35" s="750">
        <v>2</v>
      </c>
      <c r="M35" s="740"/>
      <c r="N35" s="730" t="str">
        <f t="shared" si="32"/>
        <v>INCLUDED</v>
      </c>
      <c r="O35" s="603">
        <f t="shared" si="33"/>
        <v>0</v>
      </c>
      <c r="P35" s="603">
        <f t="shared" si="34"/>
        <v>0</v>
      </c>
      <c r="Q35" s="608">
        <f>Discount!$H$36</f>
        <v>0</v>
      </c>
      <c r="R35" s="608">
        <f t="shared" si="35"/>
        <v>0</v>
      </c>
      <c r="S35" s="608">
        <f t="shared" si="36"/>
        <v>0</v>
      </c>
      <c r="T35" s="715">
        <f t="shared" si="37"/>
        <v>0</v>
      </c>
      <c r="U35" s="726">
        <f t="shared" si="38"/>
        <v>0</v>
      </c>
      <c r="V35" s="726">
        <f t="shared" si="39"/>
        <v>0</v>
      </c>
    </row>
    <row r="36" spans="1:22" ht="51.75" customHeight="1">
      <c r="A36" s="736">
        <v>20</v>
      </c>
      <c r="B36" s="741">
        <v>7000020343</v>
      </c>
      <c r="C36" s="742">
        <v>220</v>
      </c>
      <c r="D36" s="743" t="s">
        <v>486</v>
      </c>
      <c r="E36" s="742">
        <v>1000025212</v>
      </c>
      <c r="F36" s="742">
        <v>73090090</v>
      </c>
      <c r="G36" s="737"/>
      <c r="H36" s="738">
        <v>18</v>
      </c>
      <c r="I36" s="739"/>
      <c r="J36" s="732" t="s">
        <v>490</v>
      </c>
      <c r="K36" s="749" t="s">
        <v>299</v>
      </c>
      <c r="L36" s="750">
        <v>2</v>
      </c>
      <c r="M36" s="740"/>
      <c r="N36" s="730" t="str">
        <f t="shared" si="32"/>
        <v>INCLUDED</v>
      </c>
      <c r="O36" s="603">
        <f t="shared" si="33"/>
        <v>0</v>
      </c>
      <c r="P36" s="603">
        <f t="shared" si="34"/>
        <v>0</v>
      </c>
      <c r="Q36" s="608">
        <f>Discount!$H$36</f>
        <v>0</v>
      </c>
      <c r="R36" s="608">
        <f t="shared" si="35"/>
        <v>0</v>
      </c>
      <c r="S36" s="608">
        <f t="shared" si="36"/>
        <v>0</v>
      </c>
      <c r="T36" s="715">
        <f t="shared" si="37"/>
        <v>0</v>
      </c>
      <c r="U36" s="726">
        <f t="shared" si="38"/>
        <v>0</v>
      </c>
      <c r="V36" s="726">
        <f t="shared" si="39"/>
        <v>0</v>
      </c>
    </row>
    <row r="37" spans="1:22" ht="54.75" customHeight="1">
      <c r="A37" s="736">
        <v>21</v>
      </c>
      <c r="B37" s="741">
        <v>7000020343</v>
      </c>
      <c r="C37" s="742">
        <v>240</v>
      </c>
      <c r="D37" s="743" t="s">
        <v>487</v>
      </c>
      <c r="E37" s="742">
        <v>1000005810</v>
      </c>
      <c r="F37" s="742">
        <v>85049010</v>
      </c>
      <c r="G37" s="737"/>
      <c r="H37" s="738">
        <v>18</v>
      </c>
      <c r="I37" s="739"/>
      <c r="J37" s="732" t="s">
        <v>491</v>
      </c>
      <c r="K37" s="749" t="s">
        <v>299</v>
      </c>
      <c r="L37" s="750">
        <v>1</v>
      </c>
      <c r="M37" s="740"/>
      <c r="N37" s="730" t="str">
        <f t="shared" si="32"/>
        <v>INCLUDED</v>
      </c>
      <c r="O37" s="603">
        <f t="shared" si="33"/>
        <v>0</v>
      </c>
      <c r="P37" s="603">
        <f t="shared" si="34"/>
        <v>0</v>
      </c>
      <c r="Q37" s="608">
        <f>Discount!$H$36</f>
        <v>0</v>
      </c>
      <c r="R37" s="608">
        <f t="shared" si="35"/>
        <v>0</v>
      </c>
      <c r="S37" s="608">
        <f t="shared" si="36"/>
        <v>0</v>
      </c>
      <c r="T37" s="715">
        <f t="shared" si="37"/>
        <v>0</v>
      </c>
      <c r="U37" s="726">
        <f t="shared" si="38"/>
        <v>0</v>
      </c>
      <c r="V37" s="726">
        <f t="shared" si="39"/>
        <v>0</v>
      </c>
    </row>
    <row r="38" spans="1:22" ht="54.75" customHeight="1">
      <c r="A38" s="736">
        <v>22</v>
      </c>
      <c r="B38" s="741">
        <v>7000020343</v>
      </c>
      <c r="C38" s="742">
        <v>250</v>
      </c>
      <c r="D38" s="743" t="s">
        <v>487</v>
      </c>
      <c r="E38" s="742">
        <v>1000032089</v>
      </c>
      <c r="F38" s="742">
        <v>85049010</v>
      </c>
      <c r="G38" s="737"/>
      <c r="H38" s="738">
        <v>18</v>
      </c>
      <c r="I38" s="739"/>
      <c r="J38" s="732" t="s">
        <v>492</v>
      </c>
      <c r="K38" s="749" t="s">
        <v>493</v>
      </c>
      <c r="L38" s="750">
        <v>10</v>
      </c>
      <c r="M38" s="740"/>
      <c r="N38" s="730" t="str">
        <f>IF(M38=0, "INCLUDED", IF(ISERROR(M38*L38), M38, M38*L38))</f>
        <v>INCLUDED</v>
      </c>
      <c r="O38" s="603">
        <f>IF(N38="Included",0,N38)</f>
        <v>0</v>
      </c>
      <c r="P38" s="603">
        <f>IF( I38="",H38*(IF(N38="Included",0,N38))/100,I38*(IF(N38="Included",0,N38)))</f>
        <v>0</v>
      </c>
      <c r="Q38" s="608">
        <f>Discount!$H$36</f>
        <v>0</v>
      </c>
      <c r="R38" s="608">
        <f>Q38*O38</f>
        <v>0</v>
      </c>
      <c r="S38" s="608">
        <f>IF(I38="",H38*R38/100,I38*R38)</f>
        <v>0</v>
      </c>
      <c r="T38" s="715">
        <f>M38*L38</f>
        <v>0</v>
      </c>
      <c r="U38" s="726">
        <f>L38*M38</f>
        <v>0</v>
      </c>
      <c r="V38" s="726">
        <f>U38*0.18</f>
        <v>0</v>
      </c>
    </row>
    <row r="39" spans="1:22" ht="54.75" customHeight="1">
      <c r="A39" s="736">
        <v>23</v>
      </c>
      <c r="B39" s="741">
        <v>7000020343</v>
      </c>
      <c r="C39" s="742">
        <v>260</v>
      </c>
      <c r="D39" s="743" t="s">
        <v>487</v>
      </c>
      <c r="E39" s="742">
        <v>1000009584</v>
      </c>
      <c r="F39" s="742">
        <v>85049010</v>
      </c>
      <c r="G39" s="737"/>
      <c r="H39" s="738">
        <v>18</v>
      </c>
      <c r="I39" s="739"/>
      <c r="J39" s="732" t="s">
        <v>494</v>
      </c>
      <c r="K39" s="749" t="s">
        <v>300</v>
      </c>
      <c r="L39" s="750">
        <v>1</v>
      </c>
      <c r="M39" s="740"/>
      <c r="N39" s="730" t="str">
        <f t="shared" ref="N39:N43" si="40">IF(M39=0, "INCLUDED", IF(ISERROR(M39*L39), M39, M39*L39))</f>
        <v>INCLUDED</v>
      </c>
      <c r="O39" s="603">
        <f t="shared" ref="O39:O43" si="41">IF(N39="Included",0,N39)</f>
        <v>0</v>
      </c>
      <c r="P39" s="603">
        <f t="shared" ref="P39:P43" si="42">IF( I39="",H39*(IF(N39="Included",0,N39))/100,I39*(IF(N39="Included",0,N39)))</f>
        <v>0</v>
      </c>
      <c r="Q39" s="608">
        <f>Discount!$H$36</f>
        <v>0</v>
      </c>
      <c r="R39" s="608">
        <f t="shared" ref="R39:R43" si="43">Q39*O39</f>
        <v>0</v>
      </c>
      <c r="S39" s="608">
        <f t="shared" ref="S39:S43" si="44">IF(I39="",H39*R39/100,I39*R39)</f>
        <v>0</v>
      </c>
      <c r="T39" s="715">
        <f t="shared" ref="T39:T43" si="45">M39*L39</f>
        <v>0</v>
      </c>
      <c r="U39" s="726">
        <f t="shared" ref="U39:U43" si="46">L39*M39</f>
        <v>0</v>
      </c>
      <c r="V39" s="726">
        <f t="shared" ref="V39:V43" si="47">U39*0.18</f>
        <v>0</v>
      </c>
    </row>
    <row r="40" spans="1:22" ht="54.75" customHeight="1">
      <c r="A40" s="736">
        <v>24</v>
      </c>
      <c r="B40" s="741">
        <v>7000020343</v>
      </c>
      <c r="C40" s="742">
        <v>270</v>
      </c>
      <c r="D40" s="743" t="s">
        <v>487</v>
      </c>
      <c r="E40" s="742">
        <v>1000049424</v>
      </c>
      <c r="F40" s="742">
        <v>85049010</v>
      </c>
      <c r="G40" s="737"/>
      <c r="H40" s="738">
        <v>18</v>
      </c>
      <c r="I40" s="739"/>
      <c r="J40" s="732" t="s">
        <v>495</v>
      </c>
      <c r="K40" s="749" t="s">
        <v>300</v>
      </c>
      <c r="L40" s="750">
        <v>1</v>
      </c>
      <c r="M40" s="740"/>
      <c r="N40" s="730" t="str">
        <f t="shared" si="40"/>
        <v>INCLUDED</v>
      </c>
      <c r="O40" s="603">
        <f t="shared" si="41"/>
        <v>0</v>
      </c>
      <c r="P40" s="603">
        <f t="shared" si="42"/>
        <v>0</v>
      </c>
      <c r="Q40" s="608">
        <f>Discount!$H$36</f>
        <v>0</v>
      </c>
      <c r="R40" s="608">
        <f t="shared" si="43"/>
        <v>0</v>
      </c>
      <c r="S40" s="608">
        <f t="shared" si="44"/>
        <v>0</v>
      </c>
      <c r="T40" s="715">
        <f t="shared" si="45"/>
        <v>0</v>
      </c>
      <c r="U40" s="726">
        <f t="shared" si="46"/>
        <v>0</v>
      </c>
      <c r="V40" s="726">
        <f t="shared" si="47"/>
        <v>0</v>
      </c>
    </row>
    <row r="41" spans="1:22" ht="54.75" customHeight="1">
      <c r="A41" s="736">
        <v>25</v>
      </c>
      <c r="B41" s="741">
        <v>7000020343</v>
      </c>
      <c r="C41" s="744">
        <v>280</v>
      </c>
      <c r="D41" s="743" t="s">
        <v>487</v>
      </c>
      <c r="E41" s="744">
        <v>1000007913</v>
      </c>
      <c r="F41" s="744">
        <v>85049010</v>
      </c>
      <c r="G41" s="737"/>
      <c r="H41" s="738">
        <v>18</v>
      </c>
      <c r="I41" s="739"/>
      <c r="J41" s="732" t="s">
        <v>496</v>
      </c>
      <c r="K41" s="731" t="s">
        <v>300</v>
      </c>
      <c r="L41" s="719">
        <v>1</v>
      </c>
      <c r="M41" s="740"/>
      <c r="N41" s="730" t="str">
        <f t="shared" ref="N41" si="48">IF(M41=0, "INCLUDED", IF(ISERROR(M41*L41), M41, M41*L41))</f>
        <v>INCLUDED</v>
      </c>
      <c r="O41" s="603">
        <f t="shared" ref="O41" si="49">IF(N41="Included",0,N41)</f>
        <v>0</v>
      </c>
      <c r="P41" s="603">
        <f t="shared" ref="P41" si="50">IF( I41="",H41*(IF(N41="Included",0,N41))/100,I41*(IF(N41="Included",0,N41)))</f>
        <v>0</v>
      </c>
      <c r="Q41" s="608">
        <f>Discount!$H$36</f>
        <v>0</v>
      </c>
      <c r="R41" s="608">
        <f t="shared" ref="R41" si="51">Q41*O41</f>
        <v>0</v>
      </c>
      <c r="S41" s="608">
        <f t="shared" ref="S41" si="52">IF(I41="",H41*R41/100,I41*R41)</f>
        <v>0</v>
      </c>
      <c r="T41" s="715">
        <f t="shared" ref="T41" si="53">M41*L41</f>
        <v>0</v>
      </c>
      <c r="U41" s="726">
        <f t="shared" ref="U41" si="54">L41*M41</f>
        <v>0</v>
      </c>
      <c r="V41" s="726">
        <f t="shared" ref="V41" si="55">U41*0.18</f>
        <v>0</v>
      </c>
    </row>
    <row r="42" spans="1:22" ht="54.75" customHeight="1">
      <c r="A42" s="736">
        <v>26</v>
      </c>
      <c r="B42" s="741">
        <v>7000020343</v>
      </c>
      <c r="C42" s="744">
        <v>290</v>
      </c>
      <c r="D42" s="743" t="s">
        <v>487</v>
      </c>
      <c r="E42" s="744">
        <v>1000028280</v>
      </c>
      <c r="F42" s="744">
        <v>85049010</v>
      </c>
      <c r="G42" s="737"/>
      <c r="H42" s="738">
        <v>18</v>
      </c>
      <c r="I42" s="739"/>
      <c r="J42" s="732" t="s">
        <v>497</v>
      </c>
      <c r="K42" s="731" t="s">
        <v>299</v>
      </c>
      <c r="L42" s="719">
        <v>1</v>
      </c>
      <c r="M42" s="740"/>
      <c r="N42" s="730" t="str">
        <f t="shared" si="40"/>
        <v>INCLUDED</v>
      </c>
      <c r="O42" s="603">
        <f t="shared" si="41"/>
        <v>0</v>
      </c>
      <c r="P42" s="603">
        <f t="shared" si="42"/>
        <v>0</v>
      </c>
      <c r="Q42" s="608">
        <f>Discount!$H$36</f>
        <v>0</v>
      </c>
      <c r="R42" s="608">
        <f t="shared" si="43"/>
        <v>0</v>
      </c>
      <c r="S42" s="608">
        <f t="shared" si="44"/>
        <v>0</v>
      </c>
      <c r="T42" s="715">
        <f t="shared" si="45"/>
        <v>0</v>
      </c>
      <c r="U42" s="726">
        <f t="shared" si="46"/>
        <v>0</v>
      </c>
      <c r="V42" s="726">
        <f t="shared" si="47"/>
        <v>0</v>
      </c>
    </row>
    <row r="43" spans="1:22" ht="54.75" customHeight="1">
      <c r="A43" s="736">
        <v>27</v>
      </c>
      <c r="B43" s="741">
        <v>7000020343</v>
      </c>
      <c r="C43" s="744">
        <v>300</v>
      </c>
      <c r="D43" s="743" t="s">
        <v>487</v>
      </c>
      <c r="E43" s="744">
        <v>1000000935</v>
      </c>
      <c r="F43" s="744">
        <v>85049010</v>
      </c>
      <c r="G43" s="737"/>
      <c r="H43" s="738">
        <v>18</v>
      </c>
      <c r="I43" s="739"/>
      <c r="J43" s="732" t="s">
        <v>498</v>
      </c>
      <c r="K43" s="731" t="s">
        <v>299</v>
      </c>
      <c r="L43" s="719">
        <v>1</v>
      </c>
      <c r="M43" s="740"/>
      <c r="N43" s="730" t="str">
        <f t="shared" si="40"/>
        <v>INCLUDED</v>
      </c>
      <c r="O43" s="603">
        <f t="shared" si="41"/>
        <v>0</v>
      </c>
      <c r="P43" s="603">
        <f t="shared" si="42"/>
        <v>0</v>
      </c>
      <c r="Q43" s="608">
        <f>Discount!$H$36</f>
        <v>0</v>
      </c>
      <c r="R43" s="608">
        <f t="shared" si="43"/>
        <v>0</v>
      </c>
      <c r="S43" s="608">
        <f t="shared" si="44"/>
        <v>0</v>
      </c>
      <c r="T43" s="715">
        <f t="shared" si="45"/>
        <v>0</v>
      </c>
      <c r="U43" s="726">
        <f t="shared" si="46"/>
        <v>0</v>
      </c>
      <c r="V43" s="726">
        <f t="shared" si="47"/>
        <v>0</v>
      </c>
    </row>
    <row r="44" spans="1:22" ht="22.5" customHeight="1">
      <c r="A44" s="818" t="s">
        <v>472</v>
      </c>
      <c r="B44" s="818"/>
      <c r="C44" s="818"/>
      <c r="D44" s="818"/>
      <c r="E44" s="818"/>
      <c r="F44" s="818"/>
      <c r="G44" s="818"/>
      <c r="H44" s="818"/>
      <c r="I44" s="818"/>
      <c r="J44" s="818"/>
      <c r="K44" s="818"/>
      <c r="L44" s="818"/>
      <c r="M44" s="818"/>
      <c r="N44" s="704">
        <f>SUM(N17:N43)</f>
        <v>0</v>
      </c>
      <c r="O44" s="604"/>
      <c r="P44" s="605">
        <f>SUM(P17:P43)</f>
        <v>0</v>
      </c>
      <c r="Q44" s="606"/>
      <c r="R44" s="705">
        <f>SUM(R17:R43)</f>
        <v>0</v>
      </c>
      <c r="S44" s="607">
        <f>SUM(S17:S43)</f>
        <v>0</v>
      </c>
      <c r="T44" s="715">
        <f>SUM(T17:T43)</f>
        <v>0</v>
      </c>
      <c r="U44" s="726">
        <f>SUM(U17:U43)</f>
        <v>0</v>
      </c>
      <c r="V44" s="726">
        <f>SUM(V17:V43)</f>
        <v>0</v>
      </c>
    </row>
    <row r="45" spans="1:22" ht="22.5" customHeight="1">
      <c r="A45" s="818" t="s">
        <v>271</v>
      </c>
      <c r="B45" s="818"/>
      <c r="C45" s="818"/>
      <c r="D45" s="818"/>
      <c r="E45" s="818"/>
      <c r="F45" s="818"/>
      <c r="G45" s="818"/>
      <c r="H45" s="818"/>
      <c r="I45" s="818"/>
      <c r="J45" s="818"/>
      <c r="K45" s="818"/>
      <c r="L45" s="818"/>
      <c r="M45" s="818"/>
      <c r="N45" s="704">
        <f>'Sch-7'!M18</f>
        <v>0</v>
      </c>
      <c r="O45" s="530"/>
      <c r="P45" s="530"/>
      <c r="Q45" s="510"/>
      <c r="R45" s="510"/>
      <c r="S45" s="510"/>
      <c r="U45" s="726">
        <f>N44-U44</f>
        <v>0</v>
      </c>
      <c r="V45" s="726">
        <f>P44-V44</f>
        <v>0</v>
      </c>
    </row>
    <row r="46" spans="1:22" ht="22.5" customHeight="1">
      <c r="A46" s="818" t="s">
        <v>473</v>
      </c>
      <c r="B46" s="818"/>
      <c r="C46" s="818"/>
      <c r="D46" s="818"/>
      <c r="E46" s="818"/>
      <c r="F46" s="818"/>
      <c r="G46" s="818"/>
      <c r="H46" s="818"/>
      <c r="I46" s="818"/>
      <c r="J46" s="818"/>
      <c r="K46" s="818"/>
      <c r="L46" s="818"/>
      <c r="M46" s="818"/>
      <c r="N46" s="704">
        <f>N44+N45</f>
        <v>0</v>
      </c>
      <c r="O46" s="530"/>
      <c r="P46" s="530"/>
      <c r="Q46" s="510"/>
      <c r="R46" s="510"/>
      <c r="S46" s="510"/>
    </row>
    <row r="47" spans="1:22" ht="47.25" customHeight="1">
      <c r="A47" s="532"/>
      <c r="B47" s="820" t="s">
        <v>310</v>
      </c>
      <c r="C47" s="820"/>
      <c r="D47" s="820"/>
      <c r="E47" s="820"/>
      <c r="F47" s="820"/>
      <c r="G47" s="820"/>
      <c r="H47" s="820"/>
      <c r="I47" s="820"/>
      <c r="J47" s="820"/>
      <c r="K47" s="820"/>
      <c r="L47" s="820"/>
      <c r="M47" s="820"/>
      <c r="N47" s="820"/>
      <c r="O47" s="530"/>
      <c r="P47" s="530"/>
      <c r="Q47" s="510"/>
      <c r="R47" s="510"/>
      <c r="S47" s="510"/>
    </row>
    <row r="48" spans="1:22">
      <c r="A48" s="532"/>
      <c r="B48" s="532"/>
      <c r="C48" s="532"/>
      <c r="D48" s="534"/>
      <c r="E48" s="532"/>
      <c r="F48" s="532"/>
      <c r="G48" s="532"/>
      <c r="H48" s="532"/>
      <c r="I48" s="532"/>
      <c r="J48" s="534"/>
      <c r="K48" s="532"/>
      <c r="L48" s="532"/>
      <c r="M48" s="532"/>
      <c r="N48" s="532"/>
      <c r="O48" s="510"/>
      <c r="P48" s="510"/>
      <c r="Q48" s="510"/>
      <c r="R48" s="510"/>
      <c r="S48" s="510"/>
    </row>
    <row r="49" spans="1:19">
      <c r="A49" s="532"/>
      <c r="B49" s="532" t="s">
        <v>316</v>
      </c>
      <c r="C49" s="822" t="str">
        <f>'Names of Bidder'!D27&amp;" "&amp;'Names of Bidder'!E27&amp;" "&amp;'Names of Bidder'!F27</f>
        <v xml:space="preserve">  </v>
      </c>
      <c r="D49" s="819"/>
      <c r="E49" s="532"/>
      <c r="F49" s="532"/>
      <c r="G49" s="532"/>
      <c r="H49" s="532"/>
      <c r="I49" s="533"/>
      <c r="J49" s="708" t="s">
        <v>318</v>
      </c>
      <c r="K49" s="821" t="str">
        <f>IF('Names of Bidder'!D24="","",'Names of Bidder'!D24)</f>
        <v/>
      </c>
      <c r="L49" s="821"/>
      <c r="M49" s="821"/>
      <c r="N49" s="821"/>
      <c r="O49" s="510"/>
      <c r="P49" s="510"/>
      <c r="Q49" s="510"/>
      <c r="R49" s="510"/>
      <c r="S49" s="510"/>
    </row>
    <row r="50" spans="1:19">
      <c r="A50" s="532"/>
      <c r="B50" s="532" t="s">
        <v>317</v>
      </c>
      <c r="C50" s="819" t="str">
        <f>IF('Names of Bidder'!D28="","",'Names of Bidder'!D28)</f>
        <v/>
      </c>
      <c r="D50" s="819"/>
      <c r="E50" s="532"/>
      <c r="F50" s="532"/>
      <c r="G50" s="532"/>
      <c r="H50" s="532"/>
      <c r="I50" s="533"/>
      <c r="J50" s="708" t="s">
        <v>125</v>
      </c>
      <c r="K50" s="821" t="str">
        <f>IF('Names of Bidder'!D25="","",'Names of Bidder'!D25)</f>
        <v/>
      </c>
      <c r="L50" s="821"/>
      <c r="M50" s="821"/>
      <c r="N50" s="821"/>
      <c r="O50" s="510"/>
      <c r="P50" s="510"/>
      <c r="Q50" s="510"/>
      <c r="R50" s="510"/>
      <c r="S50" s="510"/>
    </row>
    <row r="51" spans="1:19">
      <c r="A51" s="532"/>
      <c r="B51" s="532"/>
      <c r="C51" s="532"/>
      <c r="D51" s="534"/>
      <c r="E51" s="532"/>
      <c r="F51" s="532"/>
      <c r="G51" s="532"/>
      <c r="H51" s="532"/>
      <c r="I51" s="532"/>
      <c r="J51" s="534"/>
      <c r="K51" s="532"/>
      <c r="L51" s="532"/>
      <c r="M51" s="532"/>
      <c r="N51" s="532"/>
      <c r="O51" s="510"/>
      <c r="P51" s="510"/>
      <c r="Q51" s="510"/>
      <c r="R51" s="510"/>
      <c r="S51" s="510"/>
    </row>
    <row r="52" spans="1:19">
      <c r="A52" s="532"/>
      <c r="B52" s="532"/>
      <c r="C52" s="532"/>
      <c r="D52" s="534"/>
      <c r="E52" s="532"/>
      <c r="F52" s="532"/>
      <c r="G52" s="534"/>
      <c r="H52" s="534"/>
      <c r="I52" s="534"/>
      <c r="J52" s="534"/>
      <c r="K52" s="532"/>
      <c r="L52" s="532"/>
      <c r="M52" s="532"/>
      <c r="N52" s="532"/>
    </row>
    <row r="53" spans="1:19">
      <c r="G53" s="698"/>
      <c r="H53" s="698"/>
      <c r="I53" s="698"/>
    </row>
    <row r="54" spans="1:19">
      <c r="G54" s="698"/>
      <c r="H54" s="698"/>
      <c r="I54" s="698"/>
    </row>
    <row r="55" spans="1:19">
      <c r="G55" s="698"/>
      <c r="H55" s="698"/>
      <c r="I55" s="698"/>
      <c r="M55" s="717"/>
    </row>
    <row r="56" spans="1:19">
      <c r="G56" s="698"/>
      <c r="H56" s="698"/>
      <c r="I56" s="698"/>
    </row>
    <row r="57" spans="1:19">
      <c r="G57" s="698"/>
      <c r="H57" s="698"/>
      <c r="I57" s="698"/>
    </row>
    <row r="58" spans="1:19">
      <c r="G58" s="698"/>
      <c r="H58" s="698"/>
      <c r="I58" s="698"/>
      <c r="O58" s="717"/>
    </row>
    <row r="59" spans="1:19">
      <c r="G59" s="698"/>
      <c r="H59" s="698"/>
      <c r="I59" s="698"/>
    </row>
    <row r="60" spans="1:19">
      <c r="G60" s="698"/>
      <c r="H60" s="698"/>
      <c r="I60" s="698"/>
    </row>
    <row r="61" spans="1:19">
      <c r="G61" s="698"/>
      <c r="H61" s="698"/>
      <c r="I61" s="698"/>
    </row>
    <row r="62" spans="1:19">
      <c r="G62" s="698"/>
      <c r="H62" s="698"/>
      <c r="I62" s="698"/>
    </row>
    <row r="63" spans="1:19">
      <c r="G63" s="698"/>
      <c r="H63" s="698"/>
      <c r="I63" s="698"/>
    </row>
    <row r="64" spans="1:19">
      <c r="G64" s="698"/>
      <c r="H64" s="698"/>
      <c r="I64" s="698"/>
    </row>
    <row r="65" spans="7:9">
      <c r="G65" s="698"/>
      <c r="H65" s="698"/>
      <c r="I65" s="698"/>
    </row>
    <row r="66" spans="7:9">
      <c r="G66" s="698"/>
      <c r="H66" s="698"/>
      <c r="I66" s="698"/>
    </row>
    <row r="67" spans="7:9">
      <c r="G67" s="698"/>
      <c r="H67" s="698"/>
      <c r="I67" s="698"/>
    </row>
    <row r="68" spans="7:9">
      <c r="G68" s="698"/>
      <c r="H68" s="698"/>
      <c r="I68" s="698"/>
    </row>
    <row r="69" spans="7:9">
      <c r="G69" s="698"/>
      <c r="H69" s="698"/>
      <c r="I69" s="698"/>
    </row>
    <row r="70" spans="7:9">
      <c r="G70" s="698"/>
      <c r="H70" s="698"/>
      <c r="I70" s="698"/>
    </row>
    <row r="71" spans="7:9">
      <c r="G71" s="698"/>
      <c r="H71" s="698"/>
      <c r="I71" s="698"/>
    </row>
    <row r="72" spans="7:9">
      <c r="G72" s="698"/>
      <c r="H72" s="698"/>
      <c r="I72" s="698"/>
    </row>
    <row r="73" spans="7:9">
      <c r="G73" s="698"/>
      <c r="H73" s="698"/>
      <c r="I73" s="698"/>
    </row>
    <row r="74" spans="7:9">
      <c r="G74" s="698"/>
      <c r="H74" s="698"/>
      <c r="I74" s="698"/>
    </row>
    <row r="75" spans="7:9">
      <c r="G75" s="698"/>
      <c r="H75" s="698"/>
      <c r="I75" s="698"/>
    </row>
    <row r="76" spans="7:9">
      <c r="G76" s="698"/>
      <c r="H76" s="698"/>
      <c r="I76" s="698"/>
    </row>
    <row r="77" spans="7:9">
      <c r="G77" s="698"/>
      <c r="H77" s="698"/>
      <c r="I77" s="698"/>
    </row>
    <row r="78" spans="7:9">
      <c r="G78" s="698"/>
      <c r="H78" s="698"/>
      <c r="I78" s="698"/>
    </row>
    <row r="79" spans="7:9">
      <c r="G79" s="698"/>
      <c r="H79" s="698"/>
      <c r="I79" s="698"/>
    </row>
    <row r="80" spans="7:9">
      <c r="G80" s="698"/>
      <c r="H80" s="698"/>
      <c r="I80" s="698"/>
    </row>
    <row r="81" spans="7:9">
      <c r="G81" s="698"/>
      <c r="H81" s="698"/>
      <c r="I81" s="698"/>
    </row>
    <row r="82" spans="7:9">
      <c r="G82" s="698"/>
      <c r="H82" s="698"/>
      <c r="I82" s="698"/>
    </row>
    <row r="83" spans="7:9">
      <c r="G83" s="698"/>
      <c r="H83" s="698"/>
      <c r="I83" s="698"/>
    </row>
  </sheetData>
  <sheetProtection password="CC6F" sheet="1" formatColumns="0" formatRows="0" selectLockedCells="1"/>
  <customSheetViews>
    <customSheetView guid="{F8A50AE1-259E-429D-A506-38EB64D134EF}" scale="60" showPageBreaks="1" fitToPage="1" printArea="1" hiddenColumns="1" view="pageBreakPreview" topLeftCell="A32">
      <selection activeCell="M43" sqref="M43"/>
      <pageMargins left="0.25" right="0.25" top="0.75" bottom="0.5" header="0.3" footer="0.5"/>
      <printOptions horizontalCentered="1"/>
      <pageSetup paperSize="9" scale="51" fitToHeight="0" orientation="landscape" r:id="rId1"/>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2"/>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4"/>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5"/>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6"/>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7"/>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8"/>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9"/>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10"/>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11"/>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2"/>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13"/>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14"/>
      <headerFooter>
        <oddHeader>&amp;RSchedule-1
Page &amp;P of &amp;N</oddHeader>
      </headerFooter>
    </customSheetView>
    <customSheetView guid="{84F40905-A9D3-43A5-987A-8A757D486A94}" scale="60" showPageBreaks="1" fitToPage="1" printArea="1" hiddenColumns="1" view="pageBreakPreview" topLeftCell="A13">
      <selection activeCell="M18" sqref="M18"/>
      <pageMargins left="0.25" right="0.25" top="0.75" bottom="0.5" header="0.3" footer="0.5"/>
      <printOptions horizontalCentered="1"/>
      <pageSetup paperSize="9" scale="51" fitToHeight="0" orientation="landscape" r:id="rId15"/>
      <headerFooter>
        <oddHeader>&amp;RSchedule-1
Page &amp;P of &amp;N</oddHeader>
      </headerFooter>
    </customSheetView>
  </customSheetViews>
  <mergeCells count="22">
    <mergeCell ref="Z10:AL10"/>
    <mergeCell ref="Z8:AL8"/>
    <mergeCell ref="Z9:AL9"/>
    <mergeCell ref="A44:M44"/>
    <mergeCell ref="C50:D50"/>
    <mergeCell ref="B47:N47"/>
    <mergeCell ref="K50:N50"/>
    <mergeCell ref="K49:N49"/>
    <mergeCell ref="A45:M45"/>
    <mergeCell ref="A46:M46"/>
    <mergeCell ref="C49:D49"/>
    <mergeCell ref="A3:N3"/>
    <mergeCell ref="A4:N4"/>
    <mergeCell ref="A6:B6"/>
    <mergeCell ref="A8:G8"/>
    <mergeCell ref="K14:N14"/>
    <mergeCell ref="C12:G12"/>
    <mergeCell ref="C10:G10"/>
    <mergeCell ref="C9:G9"/>
    <mergeCell ref="A7:I7"/>
    <mergeCell ref="A13:N13"/>
    <mergeCell ref="C11:G11"/>
  </mergeCells>
  <conditionalFormatting sqref="I17 I39:I40 I34:I36 I42:I43">
    <cfRule type="expression" dxfId="12" priority="24" stopIfTrue="1">
      <formula>H17&gt;0</formula>
    </cfRule>
  </conditionalFormatting>
  <conditionalFormatting sqref="I37:I38">
    <cfRule type="expression" dxfId="11" priority="6" stopIfTrue="1">
      <formula>H37&gt;0</formula>
    </cfRule>
  </conditionalFormatting>
  <conditionalFormatting sqref="I31:I33 I26:I28">
    <cfRule type="expression" dxfId="10" priority="5" stopIfTrue="1">
      <formula>H26&gt;0</formula>
    </cfRule>
  </conditionalFormatting>
  <conditionalFormatting sqref="I29:I30">
    <cfRule type="expression" dxfId="9" priority="4" stopIfTrue="1">
      <formula>H29&gt;0</formula>
    </cfRule>
  </conditionalFormatting>
  <conditionalFormatting sqref="I23:I25 I18:I20">
    <cfRule type="expression" dxfId="8" priority="3" stopIfTrue="1">
      <formula>H18&gt;0</formula>
    </cfRule>
  </conditionalFormatting>
  <conditionalFormatting sqref="I21:I22">
    <cfRule type="expression" dxfId="7" priority="2" stopIfTrue="1">
      <formula>H21&gt;0</formula>
    </cfRule>
  </conditionalFormatting>
  <conditionalFormatting sqref="I41">
    <cfRule type="expression" dxfId="6" priority="1" stopIfTrue="1">
      <formula>H41&gt;0</formula>
    </cfRule>
  </conditionalFormatting>
  <dataValidations count="3">
    <dataValidation type="decimal" operator="greaterThanOrEqual" allowBlank="1" showInputMessage="1" showErrorMessage="1" sqref="M17:M43" xr:uid="{00000000-0002-0000-0400-000000000000}">
      <formula1>0</formula1>
    </dataValidation>
    <dataValidation type="list" operator="greaterThan" allowBlank="1" showInputMessage="1" showErrorMessage="1" sqref="I17:I43" xr:uid="{00000000-0002-0000-0400-000001000000}">
      <formula1>"0%,5%,12%,18%,28%"</formula1>
    </dataValidation>
    <dataValidation type="whole" operator="greaterThan" allowBlank="1" showInputMessage="1" showErrorMessage="1" sqref="G17:G43" xr:uid="{00000000-0002-0000-0400-000002000000}">
      <formula1>0</formula1>
    </dataValidation>
  </dataValidations>
  <printOptions horizontalCentered="1"/>
  <pageMargins left="0.25" right="0.25" top="0.75" bottom="0.5" header="0.3" footer="0.5"/>
  <pageSetup paperSize="9" scale="51"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50"/>
  <sheetViews>
    <sheetView view="pageBreakPreview" topLeftCell="A35" zoomScale="60" zoomScaleNormal="100" workbookViewId="0">
      <selection activeCell="I43" sqref="I43"/>
    </sheetView>
  </sheetViews>
  <sheetFormatPr defaultColWidth="9.109375" defaultRowHeight="15.6"/>
  <cols>
    <col min="1" max="1" width="6.109375" style="427" customWidth="1"/>
    <col min="2" max="2" width="21.109375" style="427" customWidth="1"/>
    <col min="3" max="3" width="11.33203125" style="427" customWidth="1"/>
    <col min="4" max="4" width="23.88671875" style="427" customWidth="1"/>
    <col min="5" max="5" width="20.33203125" style="427" customWidth="1"/>
    <col min="6" max="6" width="62" style="419" customWidth="1"/>
    <col min="7" max="7" width="11.33203125" style="427" customWidth="1"/>
    <col min="8" max="8" width="11" style="427" customWidth="1"/>
    <col min="9" max="9" width="22.109375" style="9" customWidth="1"/>
    <col min="10" max="10" width="30.44140625" style="427" customWidth="1"/>
    <col min="11" max="13" width="10.33203125" style="424" customWidth="1"/>
    <col min="14" max="14" width="9.109375" style="424" customWidth="1"/>
    <col min="15" max="17" width="9.109375" style="424"/>
    <col min="18" max="28" width="9.109375" style="415"/>
    <col min="29" max="16384" width="9.109375" style="423"/>
  </cols>
  <sheetData>
    <row r="1" spans="1:32" ht="27.75" customHeight="1">
      <c r="A1" s="1" t="str">
        <f>Basic!B5</f>
        <v>Spec. No: CC/NT/W-RT/DOM/A00/22/00726</v>
      </c>
      <c r="B1" s="1"/>
      <c r="C1" s="1"/>
      <c r="D1" s="418"/>
      <c r="E1" s="418"/>
      <c r="F1" s="418"/>
      <c r="G1" s="421"/>
      <c r="H1" s="421"/>
      <c r="I1" s="422"/>
      <c r="J1" s="609" t="s">
        <v>14</v>
      </c>
    </row>
    <row r="2" spans="1:32" ht="21.75" customHeight="1">
      <c r="A2" s="417"/>
      <c r="B2" s="417"/>
      <c r="C2" s="417"/>
      <c r="D2" s="417"/>
      <c r="E2" s="417"/>
      <c r="F2" s="417"/>
      <c r="G2" s="351"/>
      <c r="H2" s="351"/>
      <c r="I2" s="425"/>
      <c r="J2" s="351"/>
    </row>
    <row r="3" spans="1:32" ht="69" customHeight="1">
      <c r="A3" s="808"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08"/>
      <c r="C3" s="808"/>
      <c r="D3" s="808"/>
      <c r="E3" s="808"/>
      <c r="F3" s="808"/>
      <c r="G3" s="808"/>
      <c r="H3" s="808"/>
      <c r="I3" s="808"/>
      <c r="J3" s="808"/>
      <c r="K3" s="426"/>
      <c r="N3" s="825"/>
      <c r="O3" s="825"/>
      <c r="R3" s="424"/>
      <c r="S3" s="424"/>
      <c r="T3" s="424"/>
      <c r="U3" s="424"/>
      <c r="V3" s="424"/>
      <c r="W3" s="424"/>
      <c r="X3" s="424"/>
      <c r="Y3" s="424"/>
      <c r="Z3" s="424"/>
      <c r="AA3" s="424"/>
      <c r="AC3" s="415"/>
      <c r="AD3" s="415"/>
      <c r="AE3" s="415"/>
      <c r="AF3" s="415"/>
    </row>
    <row r="4" spans="1:32" ht="21.9" customHeight="1">
      <c r="A4" s="826" t="s">
        <v>0</v>
      </c>
      <c r="B4" s="826"/>
      <c r="C4" s="826"/>
      <c r="D4" s="826"/>
      <c r="E4" s="826"/>
      <c r="F4" s="826"/>
      <c r="G4" s="826"/>
      <c r="H4" s="826"/>
      <c r="I4" s="826"/>
      <c r="J4" s="826"/>
    </row>
    <row r="5" spans="1:32" ht="15" customHeight="1">
      <c r="J5" s="351"/>
    </row>
    <row r="6" spans="1:32" ht="22.5" customHeight="1">
      <c r="A6" s="810" t="s">
        <v>349</v>
      </c>
      <c r="B6" s="810"/>
      <c r="C6" s="4"/>
      <c r="D6" s="351"/>
      <c r="E6" s="4"/>
      <c r="F6" s="4"/>
      <c r="G6" s="4"/>
      <c r="H6" s="4"/>
      <c r="I6" s="4"/>
      <c r="J6" s="351"/>
    </row>
    <row r="7" spans="1:32" ht="25.5" customHeight="1">
      <c r="A7" s="815" t="str">
        <f>'Sch-1'!A7</f>
        <v/>
      </c>
      <c r="B7" s="815"/>
      <c r="C7" s="815"/>
      <c r="D7" s="815"/>
      <c r="E7" s="815"/>
      <c r="F7" s="815"/>
      <c r="G7" s="577"/>
      <c r="H7" s="454" t="s">
        <v>1</v>
      </c>
      <c r="I7" s="577"/>
      <c r="J7" s="351"/>
    </row>
    <row r="8" spans="1:32" ht="29.25" customHeight="1">
      <c r="A8" s="811" t="str">
        <f>"Bidder’s Name and Address  (" &amp; MID('Names of Bidder'!B9,9, 20) &amp; ") :"</f>
        <v>Bidder’s Name and Address  (Sole Bidder) :</v>
      </c>
      <c r="B8" s="811"/>
      <c r="C8" s="811"/>
      <c r="D8" s="811"/>
      <c r="E8" s="811"/>
      <c r="F8" s="811"/>
      <c r="G8" s="811"/>
      <c r="H8" s="455" t="s">
        <v>2</v>
      </c>
      <c r="I8" s="535"/>
      <c r="J8" s="351"/>
    </row>
    <row r="9" spans="1:32" ht="26.25" customHeight="1">
      <c r="A9" s="459" t="s">
        <v>12</v>
      </c>
      <c r="B9" s="407"/>
      <c r="C9" s="814" t="str">
        <f>IF('Names of Bidder'!D9=0, "", 'Names of Bidder'!D9)</f>
        <v/>
      </c>
      <c r="D9" s="814"/>
      <c r="E9" s="814"/>
      <c r="F9" s="579"/>
      <c r="G9" s="579"/>
      <c r="H9" s="455" t="s">
        <v>3</v>
      </c>
      <c r="I9" s="408"/>
      <c r="J9" s="351"/>
    </row>
    <row r="10" spans="1:32" ht="17.25" customHeight="1">
      <c r="A10" s="459" t="s">
        <v>11</v>
      </c>
      <c r="B10" s="407"/>
      <c r="C10" s="813" t="str">
        <f>IF('Names of Bidder'!D10=0, "", 'Names of Bidder'!D10)</f>
        <v/>
      </c>
      <c r="D10" s="813"/>
      <c r="E10" s="813"/>
      <c r="F10" s="579"/>
      <c r="G10" s="579"/>
      <c r="H10" s="455" t="s">
        <v>4</v>
      </c>
      <c r="I10" s="408"/>
      <c r="J10" s="351"/>
    </row>
    <row r="11" spans="1:32" ht="18" customHeight="1">
      <c r="A11" s="408"/>
      <c r="B11" s="408"/>
      <c r="C11" s="813" t="str">
        <f>IF('Names of Bidder'!D11=0, "", 'Names of Bidder'!D11)</f>
        <v/>
      </c>
      <c r="D11" s="813"/>
      <c r="E11" s="813"/>
      <c r="F11" s="579"/>
      <c r="G11" s="579"/>
      <c r="H11" s="455" t="s">
        <v>5</v>
      </c>
      <c r="I11" s="408"/>
      <c r="J11" s="351"/>
    </row>
    <row r="12" spans="1:32" ht="18" customHeight="1">
      <c r="A12" s="408"/>
      <c r="B12" s="408"/>
      <c r="C12" s="813" t="str">
        <f>IF('Names of Bidder'!D12=0, "", 'Names of Bidder'!D12)</f>
        <v/>
      </c>
      <c r="D12" s="813"/>
      <c r="E12" s="813"/>
      <c r="F12" s="579"/>
      <c r="G12" s="579"/>
      <c r="H12" s="455" t="s">
        <v>6</v>
      </c>
      <c r="I12" s="408"/>
      <c r="J12" s="351"/>
    </row>
    <row r="13" spans="1:32" s="469" customFormat="1" ht="26.4" customHeight="1">
      <c r="A13" s="823" t="s">
        <v>363</v>
      </c>
      <c r="B13" s="823"/>
      <c r="C13" s="823"/>
      <c r="D13" s="823"/>
      <c r="E13" s="823"/>
      <c r="F13" s="823"/>
      <c r="G13" s="823"/>
      <c r="H13" s="823"/>
      <c r="I13" s="823"/>
      <c r="J13" s="823"/>
      <c r="K13" s="467"/>
      <c r="L13" s="467"/>
      <c r="M13" s="467"/>
      <c r="N13" s="467"/>
      <c r="O13" s="467"/>
      <c r="P13" s="467"/>
      <c r="Q13" s="467"/>
      <c r="R13" s="468"/>
      <c r="S13" s="468"/>
      <c r="T13" s="468"/>
      <c r="U13" s="468"/>
      <c r="V13" s="468"/>
      <c r="W13" s="468"/>
      <c r="X13" s="468"/>
      <c r="Y13" s="468"/>
      <c r="Z13" s="468"/>
      <c r="AA13" s="468"/>
      <c r="AB13" s="468"/>
    </row>
    <row r="14" spans="1:32" ht="20.25" customHeight="1" thickBot="1">
      <c r="A14" s="428"/>
      <c r="B14" s="428"/>
      <c r="C14" s="428"/>
      <c r="D14" s="428"/>
      <c r="E14" s="428"/>
      <c r="F14" s="420"/>
      <c r="G14" s="429"/>
      <c r="H14" s="429"/>
      <c r="I14" s="828" t="s">
        <v>354</v>
      </c>
      <c r="J14" s="828"/>
    </row>
    <row r="15" spans="1:32" ht="102" customHeight="1">
      <c r="A15" s="13" t="s">
        <v>7</v>
      </c>
      <c r="B15" s="17" t="s">
        <v>266</v>
      </c>
      <c r="C15" s="17" t="s">
        <v>278</v>
      </c>
      <c r="D15" s="17" t="s">
        <v>280</v>
      </c>
      <c r="E15" s="17" t="s">
        <v>13</v>
      </c>
      <c r="F15" s="14" t="s">
        <v>15</v>
      </c>
      <c r="G15" s="14" t="s">
        <v>9</v>
      </c>
      <c r="H15" s="14" t="s">
        <v>16</v>
      </c>
      <c r="I15" s="14" t="s">
        <v>362</v>
      </c>
      <c r="J15" s="15" t="s">
        <v>361</v>
      </c>
    </row>
    <row r="16" spans="1:32">
      <c r="A16" s="390">
        <v>1</v>
      </c>
      <c r="B16" s="390">
        <v>2</v>
      </c>
      <c r="C16" s="390">
        <v>3</v>
      </c>
      <c r="D16" s="390">
        <v>4</v>
      </c>
      <c r="E16" s="390">
        <v>5</v>
      </c>
      <c r="F16" s="390">
        <v>6</v>
      </c>
      <c r="G16" s="390">
        <v>7</v>
      </c>
      <c r="H16" s="390">
        <v>8</v>
      </c>
      <c r="I16" s="390">
        <v>9</v>
      </c>
      <c r="J16" s="390" t="s">
        <v>355</v>
      </c>
    </row>
    <row r="17" spans="1:10" ht="51.75" customHeight="1">
      <c r="A17" s="736">
        <v>1</v>
      </c>
      <c r="B17" s="742">
        <v>7000020343</v>
      </c>
      <c r="C17" s="742">
        <v>10</v>
      </c>
      <c r="D17" s="743" t="s">
        <v>483</v>
      </c>
      <c r="E17" s="742">
        <v>1000000566</v>
      </c>
      <c r="F17" s="729" t="s">
        <v>488</v>
      </c>
      <c r="G17" s="744" t="s">
        <v>299</v>
      </c>
      <c r="H17" s="742">
        <v>4</v>
      </c>
      <c r="I17" s="740"/>
      <c r="J17" s="745" t="str">
        <f t="shared" ref="J17:J43" si="0">IF(I17=0, "INCLUDED", IF(ISERROR(I17*H17), I17, I17*H17))</f>
        <v>INCLUDED</v>
      </c>
    </row>
    <row r="18" spans="1:10" ht="51.75" customHeight="1">
      <c r="A18" s="736">
        <v>2</v>
      </c>
      <c r="B18" s="742">
        <v>7000020343</v>
      </c>
      <c r="C18" s="742">
        <v>20</v>
      </c>
      <c r="D18" s="743" t="s">
        <v>483</v>
      </c>
      <c r="E18" s="742">
        <v>1000013964</v>
      </c>
      <c r="F18" s="729" t="s">
        <v>489</v>
      </c>
      <c r="G18" s="744" t="s">
        <v>300</v>
      </c>
      <c r="H18" s="742">
        <v>4</v>
      </c>
      <c r="I18" s="740"/>
      <c r="J18" s="745" t="str">
        <f t="shared" si="0"/>
        <v>INCLUDED</v>
      </c>
    </row>
    <row r="19" spans="1:10" ht="52.5" customHeight="1">
      <c r="A19" s="736">
        <v>3</v>
      </c>
      <c r="B19" s="742">
        <v>7000020343</v>
      </c>
      <c r="C19" s="742">
        <v>30</v>
      </c>
      <c r="D19" s="743" t="s">
        <v>483</v>
      </c>
      <c r="E19" s="742">
        <v>1000025212</v>
      </c>
      <c r="F19" s="729" t="s">
        <v>490</v>
      </c>
      <c r="G19" s="744" t="s">
        <v>299</v>
      </c>
      <c r="H19" s="742">
        <v>2</v>
      </c>
      <c r="I19" s="740"/>
      <c r="J19" s="745" t="str">
        <f t="shared" si="0"/>
        <v>INCLUDED</v>
      </c>
    </row>
    <row r="20" spans="1:10" ht="52.5" customHeight="1">
      <c r="A20" s="736">
        <v>4</v>
      </c>
      <c r="B20" s="742">
        <v>7000020343</v>
      </c>
      <c r="C20" s="742">
        <v>50</v>
      </c>
      <c r="D20" s="743" t="s">
        <v>484</v>
      </c>
      <c r="E20" s="742">
        <v>1000005810</v>
      </c>
      <c r="F20" s="729" t="s">
        <v>491</v>
      </c>
      <c r="G20" s="744" t="s">
        <v>299</v>
      </c>
      <c r="H20" s="742">
        <v>1</v>
      </c>
      <c r="I20" s="740"/>
      <c r="J20" s="745" t="str">
        <f t="shared" si="0"/>
        <v>INCLUDED</v>
      </c>
    </row>
    <row r="21" spans="1:10" ht="60" customHeight="1">
      <c r="A21" s="736">
        <v>5</v>
      </c>
      <c r="B21" s="742">
        <v>7000020343</v>
      </c>
      <c r="C21" s="742">
        <v>60</v>
      </c>
      <c r="D21" s="743" t="s">
        <v>484</v>
      </c>
      <c r="E21" s="742">
        <v>1000032089</v>
      </c>
      <c r="F21" s="729" t="s">
        <v>492</v>
      </c>
      <c r="G21" s="744" t="s">
        <v>493</v>
      </c>
      <c r="H21" s="742">
        <v>10</v>
      </c>
      <c r="I21" s="740"/>
      <c r="J21" s="745" t="str">
        <f t="shared" si="0"/>
        <v>INCLUDED</v>
      </c>
    </row>
    <row r="22" spans="1:10" ht="60" customHeight="1">
      <c r="A22" s="736">
        <v>6</v>
      </c>
      <c r="B22" s="742">
        <v>7000020343</v>
      </c>
      <c r="C22" s="742">
        <v>70</v>
      </c>
      <c r="D22" s="743" t="s">
        <v>484</v>
      </c>
      <c r="E22" s="742">
        <v>1000009584</v>
      </c>
      <c r="F22" s="729" t="s">
        <v>494</v>
      </c>
      <c r="G22" s="744" t="s">
        <v>300</v>
      </c>
      <c r="H22" s="742">
        <v>1</v>
      </c>
      <c r="I22" s="740"/>
      <c r="J22" s="745" t="str">
        <f t="shared" si="0"/>
        <v>INCLUDED</v>
      </c>
    </row>
    <row r="23" spans="1:10" ht="52.5" customHeight="1">
      <c r="A23" s="736">
        <v>7</v>
      </c>
      <c r="B23" s="742">
        <v>7000020343</v>
      </c>
      <c r="C23" s="742">
        <v>80</v>
      </c>
      <c r="D23" s="743" t="s">
        <v>484</v>
      </c>
      <c r="E23" s="742">
        <v>1000049424</v>
      </c>
      <c r="F23" s="729" t="s">
        <v>495</v>
      </c>
      <c r="G23" s="744" t="s">
        <v>300</v>
      </c>
      <c r="H23" s="742">
        <v>1</v>
      </c>
      <c r="I23" s="740"/>
      <c r="J23" s="745" t="str">
        <f t="shared" si="0"/>
        <v>INCLUDED</v>
      </c>
    </row>
    <row r="24" spans="1:10" ht="52.5" customHeight="1">
      <c r="A24" s="736">
        <v>8</v>
      </c>
      <c r="B24" s="742">
        <v>7000020343</v>
      </c>
      <c r="C24" s="742">
        <v>90</v>
      </c>
      <c r="D24" s="743" t="s">
        <v>484</v>
      </c>
      <c r="E24" s="742">
        <v>1000007913</v>
      </c>
      <c r="F24" s="729" t="s">
        <v>496</v>
      </c>
      <c r="G24" s="744" t="s">
        <v>300</v>
      </c>
      <c r="H24" s="742">
        <v>1</v>
      </c>
      <c r="I24" s="740"/>
      <c r="J24" s="745" t="str">
        <f t="shared" si="0"/>
        <v>INCLUDED</v>
      </c>
    </row>
    <row r="25" spans="1:10" ht="52.5" customHeight="1">
      <c r="A25" s="736">
        <v>9</v>
      </c>
      <c r="B25" s="742">
        <v>7000020343</v>
      </c>
      <c r="C25" s="742">
        <v>100</v>
      </c>
      <c r="D25" s="743" t="s">
        <v>484</v>
      </c>
      <c r="E25" s="744">
        <v>1000028280</v>
      </c>
      <c r="F25" s="729" t="s">
        <v>497</v>
      </c>
      <c r="G25" s="744" t="s">
        <v>299</v>
      </c>
      <c r="H25" s="742">
        <v>1</v>
      </c>
      <c r="I25" s="740"/>
      <c r="J25" s="745" t="str">
        <f t="shared" si="0"/>
        <v>INCLUDED</v>
      </c>
    </row>
    <row r="26" spans="1:10" ht="51.75" customHeight="1">
      <c r="A26" s="736">
        <v>10</v>
      </c>
      <c r="B26" s="742">
        <v>7000020343</v>
      </c>
      <c r="C26" s="742">
        <v>110</v>
      </c>
      <c r="D26" s="743" t="s">
        <v>484</v>
      </c>
      <c r="E26" s="742">
        <v>1000000935</v>
      </c>
      <c r="F26" s="729" t="s">
        <v>498</v>
      </c>
      <c r="G26" s="744" t="s">
        <v>299</v>
      </c>
      <c r="H26" s="742">
        <v>1</v>
      </c>
      <c r="I26" s="740"/>
      <c r="J26" s="745" t="str">
        <f t="shared" ref="J26:J33" si="1">IF(I26=0, "INCLUDED", IF(ISERROR(I26*H26), I26, I26*H26))</f>
        <v>INCLUDED</v>
      </c>
    </row>
    <row r="27" spans="1:10" ht="52.5" customHeight="1">
      <c r="A27" s="736">
        <v>11</v>
      </c>
      <c r="B27" s="742">
        <v>7000020343</v>
      </c>
      <c r="C27" s="742">
        <v>150</v>
      </c>
      <c r="D27" s="743" t="s">
        <v>485</v>
      </c>
      <c r="E27" s="742">
        <v>1000006178</v>
      </c>
      <c r="F27" s="729" t="s">
        <v>499</v>
      </c>
      <c r="G27" s="744" t="s">
        <v>299</v>
      </c>
      <c r="H27" s="742">
        <v>7</v>
      </c>
      <c r="I27" s="740"/>
      <c r="J27" s="745" t="str">
        <f t="shared" si="1"/>
        <v>INCLUDED</v>
      </c>
    </row>
    <row r="28" spans="1:10" ht="52.5" customHeight="1">
      <c r="A28" s="736">
        <v>12</v>
      </c>
      <c r="B28" s="742">
        <v>7000020343</v>
      </c>
      <c r="C28" s="742">
        <v>160</v>
      </c>
      <c r="D28" s="743" t="s">
        <v>485</v>
      </c>
      <c r="E28" s="742">
        <v>1000013992</v>
      </c>
      <c r="F28" s="729" t="s">
        <v>500</v>
      </c>
      <c r="G28" s="744" t="s">
        <v>300</v>
      </c>
      <c r="H28" s="742">
        <v>7</v>
      </c>
      <c r="I28" s="740"/>
      <c r="J28" s="745" t="str">
        <f t="shared" si="1"/>
        <v>INCLUDED</v>
      </c>
    </row>
    <row r="29" spans="1:10" ht="60" customHeight="1">
      <c r="A29" s="736">
        <v>13</v>
      </c>
      <c r="B29" s="742">
        <v>7000020343</v>
      </c>
      <c r="C29" s="742">
        <v>120</v>
      </c>
      <c r="D29" s="743" t="s">
        <v>485</v>
      </c>
      <c r="E29" s="742">
        <v>1000006608</v>
      </c>
      <c r="F29" s="729" t="s">
        <v>501</v>
      </c>
      <c r="G29" s="744" t="s">
        <v>300</v>
      </c>
      <c r="H29" s="742">
        <v>2</v>
      </c>
      <c r="I29" s="740"/>
      <c r="J29" s="745" t="str">
        <f t="shared" si="1"/>
        <v>INCLUDED</v>
      </c>
    </row>
    <row r="30" spans="1:10" ht="60" customHeight="1">
      <c r="A30" s="736">
        <v>14</v>
      </c>
      <c r="B30" s="742">
        <v>7000020343</v>
      </c>
      <c r="C30" s="742">
        <v>130</v>
      </c>
      <c r="D30" s="743" t="s">
        <v>485</v>
      </c>
      <c r="E30" s="742">
        <v>1000000855</v>
      </c>
      <c r="F30" s="729" t="s">
        <v>502</v>
      </c>
      <c r="G30" s="744" t="s">
        <v>299</v>
      </c>
      <c r="H30" s="742">
        <v>2</v>
      </c>
      <c r="I30" s="740"/>
      <c r="J30" s="745" t="str">
        <f t="shared" si="1"/>
        <v>INCLUDED</v>
      </c>
    </row>
    <row r="31" spans="1:10" ht="52.5" customHeight="1">
      <c r="A31" s="736">
        <v>15</v>
      </c>
      <c r="B31" s="742">
        <v>7000020343</v>
      </c>
      <c r="C31" s="742">
        <v>140</v>
      </c>
      <c r="D31" s="743" t="s">
        <v>485</v>
      </c>
      <c r="E31" s="742">
        <v>1000025212</v>
      </c>
      <c r="F31" s="729" t="s">
        <v>490</v>
      </c>
      <c r="G31" s="744" t="s">
        <v>299</v>
      </c>
      <c r="H31" s="742">
        <v>2</v>
      </c>
      <c r="I31" s="740"/>
      <c r="J31" s="745" t="str">
        <f t="shared" si="1"/>
        <v>INCLUDED</v>
      </c>
    </row>
    <row r="32" spans="1:10" ht="52.5" customHeight="1">
      <c r="A32" s="736">
        <v>16</v>
      </c>
      <c r="B32" s="742">
        <v>7000020343</v>
      </c>
      <c r="C32" s="742">
        <v>180</v>
      </c>
      <c r="D32" s="743" t="s">
        <v>486</v>
      </c>
      <c r="E32" s="742">
        <v>1000006178</v>
      </c>
      <c r="F32" s="729" t="s">
        <v>499</v>
      </c>
      <c r="G32" s="744" t="s">
        <v>299</v>
      </c>
      <c r="H32" s="742">
        <v>6</v>
      </c>
      <c r="I32" s="740"/>
      <c r="J32" s="745" t="str">
        <f t="shared" si="1"/>
        <v>INCLUDED</v>
      </c>
    </row>
    <row r="33" spans="1:18" ht="52.5" customHeight="1">
      <c r="A33" s="736">
        <v>17</v>
      </c>
      <c r="B33" s="742">
        <v>7000020343</v>
      </c>
      <c r="C33" s="742">
        <v>190</v>
      </c>
      <c r="D33" s="743" t="s">
        <v>486</v>
      </c>
      <c r="E33" s="744">
        <v>1000013992</v>
      </c>
      <c r="F33" s="729" t="s">
        <v>500</v>
      </c>
      <c r="G33" s="744" t="s">
        <v>300</v>
      </c>
      <c r="H33" s="742">
        <v>6</v>
      </c>
      <c r="I33" s="740"/>
      <c r="J33" s="745" t="str">
        <f t="shared" si="1"/>
        <v>INCLUDED</v>
      </c>
    </row>
    <row r="34" spans="1:18" ht="51.75" customHeight="1">
      <c r="A34" s="736">
        <v>18</v>
      </c>
      <c r="B34" s="742">
        <v>7000020343</v>
      </c>
      <c r="C34" s="742">
        <v>200</v>
      </c>
      <c r="D34" s="743" t="s">
        <v>486</v>
      </c>
      <c r="E34" s="742">
        <v>1000006608</v>
      </c>
      <c r="F34" s="729" t="s">
        <v>501</v>
      </c>
      <c r="G34" s="744" t="s">
        <v>300</v>
      </c>
      <c r="H34" s="742">
        <v>2</v>
      </c>
      <c r="I34" s="740"/>
      <c r="J34" s="745" t="str">
        <f t="shared" ref="J34:J41" si="2">IF(I34=0, "INCLUDED", IF(ISERROR(I34*H34), I34, I34*H34))</f>
        <v>INCLUDED</v>
      </c>
    </row>
    <row r="35" spans="1:18" ht="52.5" customHeight="1">
      <c r="A35" s="736">
        <v>19</v>
      </c>
      <c r="B35" s="742">
        <v>7000020343</v>
      </c>
      <c r="C35" s="742">
        <v>210</v>
      </c>
      <c r="D35" s="743" t="s">
        <v>486</v>
      </c>
      <c r="E35" s="742">
        <v>1000000855</v>
      </c>
      <c r="F35" s="729" t="s">
        <v>502</v>
      </c>
      <c r="G35" s="744" t="s">
        <v>299</v>
      </c>
      <c r="H35" s="742">
        <v>2</v>
      </c>
      <c r="I35" s="740"/>
      <c r="J35" s="745" t="str">
        <f t="shared" si="2"/>
        <v>INCLUDED</v>
      </c>
    </row>
    <row r="36" spans="1:18" ht="52.5" customHeight="1">
      <c r="A36" s="736">
        <v>20</v>
      </c>
      <c r="B36" s="742">
        <v>7000020343</v>
      </c>
      <c r="C36" s="742">
        <v>220</v>
      </c>
      <c r="D36" s="743" t="s">
        <v>486</v>
      </c>
      <c r="E36" s="742">
        <v>1000025212</v>
      </c>
      <c r="F36" s="729" t="s">
        <v>490</v>
      </c>
      <c r="G36" s="744" t="s">
        <v>299</v>
      </c>
      <c r="H36" s="742">
        <v>2</v>
      </c>
      <c r="I36" s="740"/>
      <c r="J36" s="745" t="str">
        <f t="shared" si="2"/>
        <v>INCLUDED</v>
      </c>
    </row>
    <row r="37" spans="1:18" ht="60" customHeight="1">
      <c r="A37" s="736">
        <v>21</v>
      </c>
      <c r="B37" s="742">
        <v>7000020343</v>
      </c>
      <c r="C37" s="742">
        <v>240</v>
      </c>
      <c r="D37" s="743" t="s">
        <v>487</v>
      </c>
      <c r="E37" s="742">
        <v>1000005810</v>
      </c>
      <c r="F37" s="729" t="s">
        <v>491</v>
      </c>
      <c r="G37" s="744" t="s">
        <v>299</v>
      </c>
      <c r="H37" s="742">
        <v>1</v>
      </c>
      <c r="I37" s="740"/>
      <c r="J37" s="745" t="str">
        <f t="shared" si="2"/>
        <v>INCLUDED</v>
      </c>
    </row>
    <row r="38" spans="1:18" ht="60" customHeight="1">
      <c r="A38" s="736">
        <v>22</v>
      </c>
      <c r="B38" s="742">
        <v>7000020343</v>
      </c>
      <c r="C38" s="742">
        <v>250</v>
      </c>
      <c r="D38" s="743" t="s">
        <v>487</v>
      </c>
      <c r="E38" s="742">
        <v>1000032089</v>
      </c>
      <c r="F38" s="729" t="s">
        <v>492</v>
      </c>
      <c r="G38" s="744" t="s">
        <v>493</v>
      </c>
      <c r="H38" s="742">
        <v>10</v>
      </c>
      <c r="I38" s="740"/>
      <c r="J38" s="745" t="str">
        <f t="shared" si="2"/>
        <v>INCLUDED</v>
      </c>
    </row>
    <row r="39" spans="1:18" ht="52.5" customHeight="1">
      <c r="A39" s="736">
        <v>23</v>
      </c>
      <c r="B39" s="742">
        <v>7000020343</v>
      </c>
      <c r="C39" s="742">
        <v>260</v>
      </c>
      <c r="D39" s="743" t="s">
        <v>487</v>
      </c>
      <c r="E39" s="742">
        <v>1000009584</v>
      </c>
      <c r="F39" s="729" t="s">
        <v>494</v>
      </c>
      <c r="G39" s="744" t="s">
        <v>300</v>
      </c>
      <c r="H39" s="742">
        <v>1</v>
      </c>
      <c r="I39" s="740"/>
      <c r="J39" s="745" t="str">
        <f t="shared" si="2"/>
        <v>INCLUDED</v>
      </c>
    </row>
    <row r="40" spans="1:18" ht="52.5" customHeight="1">
      <c r="A40" s="736">
        <v>24</v>
      </c>
      <c r="B40" s="742">
        <v>7000020343</v>
      </c>
      <c r="C40" s="742">
        <v>270</v>
      </c>
      <c r="D40" s="743" t="s">
        <v>487</v>
      </c>
      <c r="E40" s="742">
        <v>1000049424</v>
      </c>
      <c r="F40" s="729" t="s">
        <v>495</v>
      </c>
      <c r="G40" s="744" t="s">
        <v>300</v>
      </c>
      <c r="H40" s="742">
        <v>1</v>
      </c>
      <c r="I40" s="740"/>
      <c r="J40" s="745" t="str">
        <f t="shared" si="2"/>
        <v>INCLUDED</v>
      </c>
    </row>
    <row r="41" spans="1:18" ht="52.5" customHeight="1">
      <c r="A41" s="736">
        <v>25</v>
      </c>
      <c r="B41" s="742">
        <v>7000020343</v>
      </c>
      <c r="C41" s="742">
        <v>280</v>
      </c>
      <c r="D41" s="743" t="s">
        <v>487</v>
      </c>
      <c r="E41" s="744">
        <v>1000007913</v>
      </c>
      <c r="F41" s="729" t="s">
        <v>496</v>
      </c>
      <c r="G41" s="744" t="s">
        <v>300</v>
      </c>
      <c r="H41" s="742">
        <v>1</v>
      </c>
      <c r="I41" s="740"/>
      <c r="J41" s="745" t="str">
        <f t="shared" si="2"/>
        <v>INCLUDED</v>
      </c>
    </row>
    <row r="42" spans="1:18" ht="51.75" customHeight="1">
      <c r="A42" s="736">
        <v>26</v>
      </c>
      <c r="B42" s="742">
        <v>7000020343</v>
      </c>
      <c r="C42" s="742">
        <v>290</v>
      </c>
      <c r="D42" s="743" t="s">
        <v>487</v>
      </c>
      <c r="E42" s="742">
        <v>1000028280</v>
      </c>
      <c r="F42" s="729" t="s">
        <v>497</v>
      </c>
      <c r="G42" s="744" t="s">
        <v>299</v>
      </c>
      <c r="H42" s="742">
        <v>1</v>
      </c>
      <c r="I42" s="740"/>
      <c r="J42" s="745" t="str">
        <f t="shared" si="0"/>
        <v>INCLUDED</v>
      </c>
    </row>
    <row r="43" spans="1:18" ht="52.5" customHeight="1">
      <c r="A43" s="736">
        <v>27</v>
      </c>
      <c r="B43" s="742">
        <v>7000020343</v>
      </c>
      <c r="C43" s="742">
        <v>300</v>
      </c>
      <c r="D43" s="743" t="s">
        <v>487</v>
      </c>
      <c r="E43" s="744">
        <v>1000000935</v>
      </c>
      <c r="F43" s="729" t="s">
        <v>498</v>
      </c>
      <c r="G43" s="744" t="s">
        <v>299</v>
      </c>
      <c r="H43" s="742">
        <v>1</v>
      </c>
      <c r="I43" s="740"/>
      <c r="J43" s="745" t="str">
        <f t="shared" si="0"/>
        <v>INCLUDED</v>
      </c>
    </row>
    <row r="44" spans="1:18" ht="33" customHeight="1">
      <c r="A44" s="829" t="s">
        <v>315</v>
      </c>
      <c r="B44" s="829"/>
      <c r="C44" s="829"/>
      <c r="D44" s="829"/>
      <c r="E44" s="829"/>
      <c r="F44" s="829"/>
      <c r="G44" s="829"/>
      <c r="H44" s="829"/>
      <c r="I44" s="829"/>
      <c r="J44" s="735">
        <f>SUM(J17:J43)</f>
        <v>0</v>
      </c>
      <c r="K44" s="734"/>
      <c r="L44" s="734"/>
      <c r="M44" s="734"/>
      <c r="N44" s="734"/>
      <c r="O44" s="734"/>
      <c r="P44" s="734"/>
      <c r="Q44" s="734"/>
      <c r="R44" s="734"/>
    </row>
    <row r="45" spans="1:18" ht="57.75" customHeight="1">
      <c r="A45" s="430"/>
      <c r="B45" s="827" t="s">
        <v>477</v>
      </c>
      <c r="C45" s="827"/>
      <c r="D45" s="827"/>
      <c r="E45" s="827"/>
      <c r="F45" s="827"/>
      <c r="G45" s="827"/>
      <c r="H45" s="827"/>
      <c r="I45" s="827"/>
      <c r="J45" s="827"/>
      <c r="K45" s="470"/>
    </row>
    <row r="46" spans="1:18" ht="24.75" customHeight="1">
      <c r="B46" s="417"/>
      <c r="C46" s="417"/>
      <c r="D46" s="417"/>
      <c r="E46" s="417"/>
      <c r="F46" s="417"/>
      <c r="G46" s="417"/>
      <c r="H46" s="351"/>
      <c r="I46" s="417"/>
      <c r="J46" s="351"/>
      <c r="K46" s="470"/>
    </row>
    <row r="47" spans="1:18" s="471" customFormat="1">
      <c r="A47" s="532"/>
      <c r="B47" s="536" t="s">
        <v>316</v>
      </c>
      <c r="C47" s="822" t="str">
        <f>'Sch-1'!C49:D49</f>
        <v xml:space="preserve">  </v>
      </c>
      <c r="D47" s="819"/>
      <c r="E47" s="532"/>
      <c r="F47" s="532"/>
      <c r="G47" s="824" t="s">
        <v>318</v>
      </c>
      <c r="H47" s="824"/>
      <c r="I47" s="821" t="str">
        <f>'Sch-1'!K49</f>
        <v/>
      </c>
      <c r="J47" s="821"/>
    </row>
    <row r="48" spans="1:18" s="471" customFormat="1">
      <c r="A48" s="532"/>
      <c r="B48" s="536" t="s">
        <v>317</v>
      </c>
      <c r="C48" s="819" t="str">
        <f>'Sch-1'!C50:D50</f>
        <v/>
      </c>
      <c r="D48" s="819"/>
      <c r="E48" s="532"/>
      <c r="F48" s="532"/>
      <c r="G48" s="824" t="s">
        <v>125</v>
      </c>
      <c r="H48" s="824"/>
      <c r="I48" s="821" t="str">
        <f>'Sch-1'!K50</f>
        <v/>
      </c>
      <c r="J48" s="821"/>
    </row>
    <row r="49" spans="2:11">
      <c r="B49" s="537"/>
      <c r="C49" s="538"/>
      <c r="D49" s="351"/>
      <c r="E49" s="539"/>
      <c r="F49" s="540"/>
      <c r="G49" s="351"/>
      <c r="H49" s="534"/>
      <c r="I49" s="541"/>
      <c r="J49" s="534"/>
      <c r="K49" s="470"/>
    </row>
    <row r="50" spans="2:11">
      <c r="B50" s="542"/>
      <c r="C50" s="543"/>
      <c r="D50" s="542"/>
      <c r="E50" s="539"/>
      <c r="F50" s="540"/>
      <c r="G50" s="542"/>
      <c r="H50" s="534"/>
      <c r="I50" s="541"/>
      <c r="J50" s="534"/>
      <c r="K50" s="470"/>
    </row>
  </sheetData>
  <sheetProtection password="CC6F" sheet="1" formatColumns="0" formatRows="0" selectLockedCells="1"/>
  <customSheetViews>
    <customSheetView guid="{F8A50AE1-259E-429D-A506-38EB64D134EF}" scale="60" showPageBreaks="1" fitToPage="1" printArea="1" view="pageBreakPreview" topLeftCell="A35">
      <selection activeCell="I43" sqref="I43"/>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2"/>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4"/>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5"/>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6"/>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7"/>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9"/>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10"/>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11"/>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2"/>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13"/>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14"/>
      <headerFooter>
        <oddHeader>&amp;RSchedule-2
Page &amp;P of &amp;N</oddHeader>
      </headerFooter>
    </customSheetView>
    <customSheetView guid="{84F40905-A9D3-43A5-987A-8A757D486A94}" scale="60" showPageBreaks="1" fitToPage="1" printArea="1" view="pageBreakPreview" topLeftCell="A13">
      <selection activeCell="I31" sqref="I31"/>
      <pageMargins left="0.45" right="0.45" top="0.75" bottom="0.5" header="0.3" footer="0.3"/>
      <printOptions horizontalCentered="1"/>
      <pageSetup paperSize="9" scale="62" fitToHeight="0" orientation="landscape" r:id="rId15"/>
      <headerFooter>
        <oddHeader>&amp;RSchedule-2
Page &amp;P of &amp;N</oddHeader>
      </headerFooter>
    </customSheetView>
  </customSheetViews>
  <mergeCells count="20">
    <mergeCell ref="C10:E10"/>
    <mergeCell ref="C9:E9"/>
    <mergeCell ref="C12:E12"/>
    <mergeCell ref="C11:E11"/>
    <mergeCell ref="A13:J13"/>
    <mergeCell ref="G48:H48"/>
    <mergeCell ref="G47:H47"/>
    <mergeCell ref="I48:J48"/>
    <mergeCell ref="N3:O3"/>
    <mergeCell ref="A4:J4"/>
    <mergeCell ref="A3:J3"/>
    <mergeCell ref="C48:D48"/>
    <mergeCell ref="B45:J45"/>
    <mergeCell ref="C47:D47"/>
    <mergeCell ref="I47:J47"/>
    <mergeCell ref="A6:B6"/>
    <mergeCell ref="I14:J14"/>
    <mergeCell ref="A7:F7"/>
    <mergeCell ref="A8:G8"/>
    <mergeCell ref="A44:I44"/>
  </mergeCells>
  <dataValidations count="2">
    <dataValidation type="decimal" operator="greaterThan" allowBlank="1" showInputMessage="1" showErrorMessage="1" error="Enter only Numeric value greater than zero or leave the cell blank !" sqref="I64627:I64628" xr:uid="{00000000-0002-0000-0500-000000000000}">
      <formula1>0</formula1>
    </dataValidation>
    <dataValidation type="decimal" operator="greaterThanOrEqual" allowBlank="1" showInputMessage="1" showErrorMessage="1" sqref="I17:I43"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8"/>
  <sheetViews>
    <sheetView view="pageBreakPreview" topLeftCell="A13" zoomScale="60" zoomScaleNormal="80" workbookViewId="0">
      <selection activeCell="O27" sqref="O27"/>
    </sheetView>
  </sheetViews>
  <sheetFormatPr defaultColWidth="38.5546875" defaultRowHeight="15.6"/>
  <cols>
    <col min="1" max="1" width="5.5546875" style="20" customWidth="1"/>
    <col min="2" max="2" width="16.109375" style="20" customWidth="1"/>
    <col min="3" max="3" width="9.6640625" style="20" customWidth="1"/>
    <col min="4" max="4" width="15.88671875" style="20" customWidth="1"/>
    <col min="5" max="5" width="9.33203125" style="20" customWidth="1"/>
    <col min="6" max="6" width="26.44140625" style="412" customWidth="1"/>
    <col min="7" max="7" width="15.33203125" style="412" customWidth="1"/>
    <col min="8" max="8" width="13.88671875" style="412" customWidth="1"/>
    <col min="9" max="9" width="18.5546875" style="412" customWidth="1"/>
    <col min="10" max="10" width="13.88671875" style="412" customWidth="1"/>
    <col min="11" max="11" width="18.88671875" style="412" customWidth="1"/>
    <col min="12" max="12" width="59.5546875" style="9" customWidth="1"/>
    <col min="13" max="13" width="12" style="10" customWidth="1"/>
    <col min="14" max="14" width="13.88671875" style="457" customWidth="1"/>
    <col min="15" max="15" width="22.6640625" style="10" customWidth="1"/>
    <col min="16" max="16" width="24" style="10" customWidth="1"/>
    <col min="17" max="17" width="9.109375" style="7" hidden="1" customWidth="1"/>
    <col min="18" max="18" width="16.44140625" style="8" hidden="1" customWidth="1"/>
    <col min="19" max="19" width="20.88671875" style="8" hidden="1" customWidth="1"/>
    <col min="20" max="20" width="16.44140625" style="449" hidden="1" customWidth="1"/>
    <col min="21" max="21" width="16.88671875" style="8" hidden="1" customWidth="1"/>
    <col min="22" max="22" width="14.5546875" style="7" hidden="1" customWidth="1"/>
    <col min="23" max="23" width="9.109375" style="7" hidden="1" customWidth="1"/>
    <col min="24" max="26" width="9.109375" style="7" customWidth="1"/>
    <col min="27" max="27" width="9.109375" style="7" hidden="1" customWidth="1"/>
    <col min="28" max="31" width="9.109375" style="7" customWidth="1"/>
    <col min="32" max="243" width="9.109375" style="8" customWidth="1"/>
    <col min="244" max="244" width="12.5546875" style="8" customWidth="1"/>
    <col min="245" max="245" width="73.44140625" style="8" customWidth="1"/>
    <col min="246" max="246" width="8.6640625" style="8" customWidth="1"/>
    <col min="247" max="247" width="10.5546875" style="8" customWidth="1"/>
    <col min="248" max="248" width="14.5546875" style="8" customWidth="1"/>
    <col min="249" max="16384" width="38.5546875" style="8"/>
  </cols>
  <sheetData>
    <row r="1" spans="1:31" ht="24.75" customHeight="1">
      <c r="A1" s="18" t="str">
        <f>Cover!B3</f>
        <v>Spec. No: CC/NT/W-RT/DOM/A00/22/00726</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08"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08"/>
      <c r="C3" s="808"/>
      <c r="D3" s="808"/>
      <c r="E3" s="808"/>
      <c r="F3" s="808"/>
      <c r="G3" s="808"/>
      <c r="H3" s="808"/>
      <c r="I3" s="808"/>
      <c r="J3" s="808"/>
      <c r="K3" s="808"/>
      <c r="L3" s="808"/>
      <c r="M3" s="808"/>
      <c r="N3" s="808"/>
      <c r="O3" s="808"/>
      <c r="P3" s="808"/>
    </row>
    <row r="4" spans="1:31">
      <c r="A4" s="809" t="s">
        <v>19</v>
      </c>
      <c r="B4" s="809"/>
      <c r="C4" s="809"/>
      <c r="D4" s="809"/>
      <c r="E4" s="809"/>
      <c r="F4" s="809"/>
      <c r="G4" s="809"/>
      <c r="H4" s="809"/>
      <c r="I4" s="809"/>
      <c r="J4" s="809"/>
      <c r="K4" s="809"/>
      <c r="L4" s="809"/>
      <c r="M4" s="809"/>
      <c r="N4" s="809"/>
      <c r="O4" s="809"/>
      <c r="P4" s="809"/>
    </row>
    <row r="6" spans="1:31" ht="21.75" customHeight="1">
      <c r="A6" s="810" t="s">
        <v>349</v>
      </c>
      <c r="B6" s="810"/>
      <c r="C6" s="4"/>
      <c r="D6" s="351"/>
      <c r="E6" s="4"/>
      <c r="F6" s="4"/>
      <c r="G6" s="4"/>
      <c r="H6" s="4"/>
      <c r="I6" s="4"/>
    </row>
    <row r="7" spans="1:31" ht="21" customHeight="1">
      <c r="A7" s="815" t="str">
        <f>'Sch-1'!A7</f>
        <v/>
      </c>
      <c r="B7" s="815"/>
      <c r="C7" s="815"/>
      <c r="D7" s="815"/>
      <c r="E7" s="815"/>
      <c r="F7" s="815"/>
      <c r="G7" s="815"/>
      <c r="H7" s="815"/>
      <c r="I7" s="815"/>
      <c r="J7" s="413"/>
      <c r="K7" s="413"/>
      <c r="L7" s="392"/>
      <c r="M7" s="11" t="s">
        <v>1</v>
      </c>
      <c r="N7" s="458"/>
      <c r="O7" s="8"/>
      <c r="P7" s="3"/>
    </row>
    <row r="8" spans="1:31" ht="22.5" customHeight="1">
      <c r="A8" s="811" t="str">
        <f>"Bidder’s Name and Address  (" &amp; MID('Names of Bidder'!B9,9, 20) &amp; ") :"</f>
        <v>Bidder’s Name and Address  (Sole Bidder) :</v>
      </c>
      <c r="B8" s="811"/>
      <c r="C8" s="811"/>
      <c r="D8" s="811"/>
      <c r="E8" s="811"/>
      <c r="F8" s="811"/>
      <c r="G8" s="811"/>
      <c r="H8" s="535"/>
      <c r="I8" s="535"/>
      <c r="J8" s="512"/>
      <c r="K8" s="512"/>
      <c r="L8" s="512"/>
      <c r="M8" s="12" t="str">
        <f>'Sch-1'!K8</f>
        <v>Contract Services</v>
      </c>
      <c r="N8" s="512"/>
      <c r="O8" s="8"/>
      <c r="P8" s="3"/>
    </row>
    <row r="9" spans="1:31" ht="24.75" customHeight="1">
      <c r="A9" s="459" t="s">
        <v>12</v>
      </c>
      <c r="B9" s="407"/>
      <c r="C9" s="814" t="str">
        <f>IF('Names of Bidder'!D9=0, "", 'Names of Bidder'!D9)</f>
        <v/>
      </c>
      <c r="D9" s="814"/>
      <c r="E9" s="814"/>
      <c r="F9" s="814"/>
      <c r="G9" s="814"/>
      <c r="H9" s="443"/>
      <c r="I9" s="408"/>
      <c r="J9" s="393"/>
      <c r="K9" s="393"/>
      <c r="L9" s="393"/>
      <c r="M9" s="12" t="str">
        <f>'Sch-1'!K9</f>
        <v>Power Grid Corporation of India Ltd.,</v>
      </c>
      <c r="N9" s="449"/>
      <c r="O9" s="8"/>
      <c r="P9" s="3"/>
    </row>
    <row r="10" spans="1:31" ht="21" customHeight="1">
      <c r="A10" s="459" t="s">
        <v>11</v>
      </c>
      <c r="B10" s="407"/>
      <c r="C10" s="813" t="str">
        <f>IF('Names of Bidder'!D10=0, "", 'Names of Bidder'!D10)</f>
        <v/>
      </c>
      <c r="D10" s="813"/>
      <c r="E10" s="813"/>
      <c r="F10" s="813"/>
      <c r="G10" s="813"/>
      <c r="H10" s="443"/>
      <c r="I10" s="408"/>
      <c r="J10" s="393"/>
      <c r="K10" s="393"/>
      <c r="L10" s="393"/>
      <c r="M10" s="12" t="str">
        <f>'Sch-1'!K10</f>
        <v>"Saudamini", Plot No.-2</v>
      </c>
      <c r="N10" s="449"/>
      <c r="O10" s="8"/>
      <c r="P10" s="3"/>
    </row>
    <row r="11" spans="1:31" ht="20.25" customHeight="1">
      <c r="A11" s="408"/>
      <c r="B11" s="408"/>
      <c r="C11" s="813" t="str">
        <f>IF('Names of Bidder'!D11=0, "", 'Names of Bidder'!D11)</f>
        <v/>
      </c>
      <c r="D11" s="813"/>
      <c r="E11" s="813"/>
      <c r="F11" s="813"/>
      <c r="G11" s="813"/>
      <c r="H11" s="443"/>
      <c r="I11" s="408"/>
      <c r="J11" s="393"/>
      <c r="K11" s="393"/>
      <c r="L11" s="393"/>
      <c r="M11" s="12" t="str">
        <f>'Sch-1'!K11</f>
        <v xml:space="preserve">Sector-29, </v>
      </c>
      <c r="N11" s="449"/>
      <c r="O11" s="8"/>
      <c r="P11" s="3"/>
    </row>
    <row r="12" spans="1:31" ht="21" customHeight="1">
      <c r="A12" s="408"/>
      <c r="B12" s="408"/>
      <c r="C12" s="813" t="str">
        <f>IF('Names of Bidder'!D12=0, "", 'Names of Bidder'!D12)</f>
        <v/>
      </c>
      <c r="D12" s="813"/>
      <c r="E12" s="813"/>
      <c r="F12" s="813"/>
      <c r="G12" s="813"/>
      <c r="H12" s="443"/>
      <c r="I12" s="408"/>
      <c r="J12" s="393"/>
      <c r="K12" s="393"/>
      <c r="L12" s="393"/>
      <c r="M12" s="12" t="str">
        <f>'Sch-1'!K12</f>
        <v>Gurgaon (Haryana) - 122001</v>
      </c>
      <c r="N12" s="449"/>
      <c r="O12" s="8"/>
      <c r="P12" s="3"/>
    </row>
    <row r="13" spans="1:31">
      <c r="A13" s="21"/>
      <c r="B13" s="21"/>
      <c r="C13" s="21"/>
      <c r="D13" s="21"/>
      <c r="E13" s="21"/>
      <c r="F13" s="414"/>
      <c r="G13" s="414"/>
      <c r="H13" s="414"/>
      <c r="I13" s="414"/>
      <c r="J13" s="414"/>
      <c r="K13" s="414"/>
      <c r="L13" s="393"/>
      <c r="M13" s="261"/>
      <c r="N13" s="443"/>
      <c r="O13" s="12"/>
      <c r="P13" s="3"/>
    </row>
    <row r="14" spans="1:31" ht="24.75" customHeight="1">
      <c r="A14" s="839" t="s">
        <v>21</v>
      </c>
      <c r="B14" s="839"/>
      <c r="C14" s="839"/>
      <c r="D14" s="839"/>
      <c r="E14" s="839"/>
      <c r="F14" s="839"/>
      <c r="G14" s="839"/>
      <c r="H14" s="839"/>
      <c r="I14" s="839"/>
      <c r="J14" s="839"/>
      <c r="K14" s="839"/>
      <c r="L14" s="839"/>
      <c r="M14" s="839"/>
      <c r="N14" s="839"/>
      <c r="O14" s="839"/>
      <c r="P14" s="839"/>
    </row>
    <row r="15" spans="1:31" ht="24.75" customHeight="1">
      <c r="A15" s="718"/>
      <c r="B15" s="718"/>
      <c r="C15" s="718"/>
      <c r="D15" s="718"/>
      <c r="E15" s="718"/>
      <c r="F15" s="718"/>
      <c r="G15" s="718"/>
      <c r="H15" s="718"/>
      <c r="I15" s="718"/>
      <c r="J15" s="718"/>
      <c r="K15" s="718"/>
      <c r="L15" s="718"/>
      <c r="M15" s="830" t="s">
        <v>354</v>
      </c>
      <c r="N15" s="830"/>
      <c r="O15" s="830"/>
      <c r="P15" s="830"/>
    </row>
    <row r="16" spans="1:31" s="432" customFormat="1" ht="118.5" customHeight="1">
      <c r="A16" s="476" t="s">
        <v>7</v>
      </c>
      <c r="B16" s="477" t="s">
        <v>266</v>
      </c>
      <c r="C16" s="477" t="s">
        <v>278</v>
      </c>
      <c r="D16" s="477" t="s">
        <v>277</v>
      </c>
      <c r="E16" s="477" t="s">
        <v>279</v>
      </c>
      <c r="F16" s="477" t="s">
        <v>280</v>
      </c>
      <c r="G16" s="476" t="s">
        <v>25</v>
      </c>
      <c r="H16" s="478" t="s">
        <v>320</v>
      </c>
      <c r="I16" s="479" t="s">
        <v>475</v>
      </c>
      <c r="J16" s="479" t="s">
        <v>309</v>
      </c>
      <c r="K16" s="479" t="s">
        <v>476</v>
      </c>
      <c r="L16" s="480" t="s">
        <v>15</v>
      </c>
      <c r="M16" s="481" t="s">
        <v>9</v>
      </c>
      <c r="N16" s="481" t="s">
        <v>16</v>
      </c>
      <c r="O16" s="480" t="s">
        <v>23</v>
      </c>
      <c r="P16" s="480" t="s">
        <v>24</v>
      </c>
      <c r="Q16" s="431"/>
      <c r="R16" s="611" t="s">
        <v>345</v>
      </c>
      <c r="S16" s="614" t="s">
        <v>346</v>
      </c>
      <c r="T16" s="611" t="s">
        <v>343</v>
      </c>
      <c r="U16" s="611" t="s">
        <v>344</v>
      </c>
      <c r="V16" s="431"/>
      <c r="W16" s="431"/>
      <c r="X16" s="431"/>
      <c r="Y16" s="431"/>
      <c r="Z16" s="431"/>
      <c r="AA16" s="431"/>
      <c r="AB16" s="431"/>
      <c r="AC16" s="431"/>
      <c r="AD16" s="431"/>
      <c r="AE16" s="431"/>
    </row>
    <row r="17" spans="1:31" s="432" customFormat="1">
      <c r="A17" s="16">
        <v>1</v>
      </c>
      <c r="B17" s="16">
        <v>2</v>
      </c>
      <c r="C17" s="16">
        <v>3</v>
      </c>
      <c r="D17" s="16">
        <v>4</v>
      </c>
      <c r="E17" s="16">
        <v>5</v>
      </c>
      <c r="F17" s="390">
        <v>6</v>
      </c>
      <c r="G17" s="390">
        <v>7</v>
      </c>
      <c r="H17" s="478">
        <v>8</v>
      </c>
      <c r="I17" s="478">
        <v>9</v>
      </c>
      <c r="J17" s="478">
        <v>10</v>
      </c>
      <c r="K17" s="478">
        <v>11</v>
      </c>
      <c r="L17" s="390">
        <v>12</v>
      </c>
      <c r="M17" s="16">
        <v>13</v>
      </c>
      <c r="N17" s="16">
        <v>14</v>
      </c>
      <c r="O17" s="16">
        <v>15</v>
      </c>
      <c r="P17" s="16" t="s">
        <v>321</v>
      </c>
      <c r="Q17" s="431"/>
      <c r="V17" s="431"/>
      <c r="W17" s="431"/>
      <c r="X17" s="431"/>
      <c r="Y17" s="431"/>
      <c r="Z17" s="431"/>
      <c r="AA17" s="431"/>
      <c r="AB17" s="431"/>
      <c r="AC17" s="431"/>
      <c r="AD17" s="431"/>
      <c r="AE17" s="431"/>
    </row>
    <row r="18" spans="1:31" ht="47.25" customHeight="1">
      <c r="A18" s="746">
        <v>1</v>
      </c>
      <c r="B18" s="747">
        <v>7000020343</v>
      </c>
      <c r="C18" s="744">
        <v>40</v>
      </c>
      <c r="D18" s="744">
        <v>20</v>
      </c>
      <c r="E18" s="744">
        <v>10</v>
      </c>
      <c r="F18" s="748" t="s">
        <v>503</v>
      </c>
      <c r="G18" s="744">
        <v>100000041</v>
      </c>
      <c r="H18" s="744">
        <v>998736</v>
      </c>
      <c r="I18" s="721"/>
      <c r="J18" s="720">
        <v>18</v>
      </c>
      <c r="K18" s="722"/>
      <c r="L18" s="733" t="s">
        <v>506</v>
      </c>
      <c r="M18" s="742" t="s">
        <v>299</v>
      </c>
      <c r="N18" s="742">
        <v>4</v>
      </c>
      <c r="O18" s="725"/>
      <c r="P18" s="723" t="str">
        <f t="shared" ref="P18" si="0">IF(O18=0, "INCLUDED", IF(ISERROR(N18*O18), O18, N18*O18))</f>
        <v>INCLUDED</v>
      </c>
      <c r="Q18" s="510">
        <f t="shared" ref="Q18" si="1">IF(P18="Included",0,P18)</f>
        <v>0</v>
      </c>
      <c r="R18" s="450">
        <f>IF( K18="",J18*(IF(P18="Included",0,P18))/100,K18*(IF(P18="Included",0,P18)))</f>
        <v>0</v>
      </c>
      <c r="S18" s="610">
        <f>Discount!$J$36</f>
        <v>0</v>
      </c>
      <c r="T18" s="450">
        <f>S18*Q18</f>
        <v>0</v>
      </c>
      <c r="U18" s="451">
        <f>IF(K18="",J18*T18/100,K18*T18)</f>
        <v>0</v>
      </c>
      <c r="V18" s="716">
        <f>O18*N18</f>
        <v>0</v>
      </c>
      <c r="W18" s="263"/>
      <c r="X18" s="263"/>
      <c r="Y18" s="263"/>
      <c r="Z18" s="263"/>
      <c r="AA18" s="263"/>
    </row>
    <row r="19" spans="1:31" ht="47.25" customHeight="1">
      <c r="A19" s="746">
        <v>2</v>
      </c>
      <c r="B19" s="747">
        <v>7000020343</v>
      </c>
      <c r="C19" s="744">
        <v>40</v>
      </c>
      <c r="D19" s="744">
        <v>20</v>
      </c>
      <c r="E19" s="744">
        <v>20</v>
      </c>
      <c r="F19" s="748" t="s">
        <v>503</v>
      </c>
      <c r="G19" s="744">
        <v>100000042</v>
      </c>
      <c r="H19" s="744">
        <v>998736</v>
      </c>
      <c r="I19" s="721"/>
      <c r="J19" s="720">
        <v>18</v>
      </c>
      <c r="K19" s="722"/>
      <c r="L19" s="733" t="s">
        <v>507</v>
      </c>
      <c r="M19" s="742" t="s">
        <v>300</v>
      </c>
      <c r="N19" s="742">
        <v>4</v>
      </c>
      <c r="O19" s="725"/>
      <c r="P19" s="723" t="str">
        <f t="shared" ref="P19" si="2">IF(O19=0, "INCLUDED", IF(ISERROR(N19*O19), O19, N19*O19))</f>
        <v>INCLUDED</v>
      </c>
      <c r="Q19" s="510">
        <f t="shared" ref="Q19" si="3">IF(P19="Included",0,P19)</f>
        <v>0</v>
      </c>
      <c r="R19" s="450">
        <f t="shared" ref="R19" si="4">IF( K19="",J19*(IF(P19="Included",0,P19))/100,K19*(IF(P19="Included",0,P19)))</f>
        <v>0</v>
      </c>
      <c r="S19" s="610">
        <f>Discount!$J$36</f>
        <v>0</v>
      </c>
      <c r="T19" s="450">
        <f t="shared" ref="T19" si="5">S19*Q19</f>
        <v>0</v>
      </c>
      <c r="U19" s="451">
        <f t="shared" ref="U19" si="6">IF(K19="",J19*T19/100,K19*T19)</f>
        <v>0</v>
      </c>
      <c r="V19" s="716">
        <f t="shared" ref="V19" si="7">O19*N19</f>
        <v>0</v>
      </c>
      <c r="W19" s="263"/>
      <c r="X19" s="263"/>
      <c r="Y19" s="263"/>
      <c r="Z19" s="263"/>
      <c r="AA19" s="263"/>
    </row>
    <row r="20" spans="1:31" ht="47.25" customHeight="1">
      <c r="A20" s="746">
        <v>3</v>
      </c>
      <c r="B20" s="747">
        <v>7000020343</v>
      </c>
      <c r="C20" s="742">
        <v>170</v>
      </c>
      <c r="D20" s="742">
        <v>50</v>
      </c>
      <c r="E20" s="742">
        <v>30</v>
      </c>
      <c r="F20" s="748" t="s">
        <v>504</v>
      </c>
      <c r="G20" s="742">
        <v>100001953</v>
      </c>
      <c r="H20" s="742">
        <v>998736</v>
      </c>
      <c r="I20" s="721"/>
      <c r="J20" s="720">
        <v>18</v>
      </c>
      <c r="K20" s="722"/>
      <c r="L20" s="733" t="s">
        <v>508</v>
      </c>
      <c r="M20" s="744" t="s">
        <v>299</v>
      </c>
      <c r="N20" s="744">
        <v>2</v>
      </c>
      <c r="O20" s="725"/>
      <c r="P20" s="723" t="str">
        <f t="shared" ref="P20:P21" si="8">IF(O20=0, "INCLUDED", IF(ISERROR(N20*O20), O20, N20*O20))</f>
        <v>INCLUDED</v>
      </c>
      <c r="Q20" s="510">
        <f t="shared" ref="Q20:Q21" si="9">IF(P20="Included",0,P20)</f>
        <v>0</v>
      </c>
      <c r="R20" s="450">
        <f t="shared" ref="R20:R21" si="10">IF( K20="",J20*(IF(P20="Included",0,P20))/100,K20*(IF(P20="Included",0,P20)))</f>
        <v>0</v>
      </c>
      <c r="S20" s="610">
        <f>Discount!$J$36</f>
        <v>0</v>
      </c>
      <c r="T20" s="450">
        <f t="shared" ref="T20:T21" si="11">S20*Q20</f>
        <v>0</v>
      </c>
      <c r="U20" s="451">
        <f t="shared" ref="U20:U21" si="12">IF(K20="",J20*T20/100,K20*T20)</f>
        <v>0</v>
      </c>
      <c r="V20" s="716">
        <f t="shared" ref="V20:V21" si="13">O20*N20</f>
        <v>0</v>
      </c>
      <c r="W20" s="263"/>
      <c r="X20" s="263"/>
      <c r="Y20" s="263"/>
      <c r="Z20" s="263"/>
      <c r="AA20" s="263"/>
    </row>
    <row r="21" spans="1:31" ht="47.25" customHeight="1">
      <c r="A21" s="746">
        <v>4</v>
      </c>
      <c r="B21" s="747">
        <v>7000020343</v>
      </c>
      <c r="C21" s="742">
        <v>170</v>
      </c>
      <c r="D21" s="742">
        <v>50</v>
      </c>
      <c r="E21" s="742">
        <v>40</v>
      </c>
      <c r="F21" s="748" t="s">
        <v>504</v>
      </c>
      <c r="G21" s="742">
        <v>100000043</v>
      </c>
      <c r="H21" s="742">
        <v>998736</v>
      </c>
      <c r="I21" s="721"/>
      <c r="J21" s="720">
        <v>18</v>
      </c>
      <c r="K21" s="722"/>
      <c r="L21" s="733" t="s">
        <v>509</v>
      </c>
      <c r="M21" s="744" t="s">
        <v>300</v>
      </c>
      <c r="N21" s="744">
        <v>2</v>
      </c>
      <c r="O21" s="725"/>
      <c r="P21" s="723" t="str">
        <f t="shared" si="8"/>
        <v>INCLUDED</v>
      </c>
      <c r="Q21" s="510">
        <f t="shared" si="9"/>
        <v>0</v>
      </c>
      <c r="R21" s="450">
        <f t="shared" si="10"/>
        <v>0</v>
      </c>
      <c r="S21" s="610">
        <f>Discount!$J$36</f>
        <v>0</v>
      </c>
      <c r="T21" s="450">
        <f t="shared" si="11"/>
        <v>0</v>
      </c>
      <c r="U21" s="451">
        <f t="shared" si="12"/>
        <v>0</v>
      </c>
      <c r="V21" s="716">
        <f t="shared" si="13"/>
        <v>0</v>
      </c>
      <c r="W21" s="263"/>
      <c r="X21" s="263"/>
      <c r="Y21" s="263"/>
      <c r="Z21" s="263"/>
      <c r="AA21" s="263"/>
    </row>
    <row r="22" spans="1:31" ht="47.25" customHeight="1">
      <c r="A22" s="746">
        <v>5</v>
      </c>
      <c r="B22" s="747">
        <v>7000020343</v>
      </c>
      <c r="C22" s="742">
        <v>170</v>
      </c>
      <c r="D22" s="742">
        <v>50</v>
      </c>
      <c r="E22" s="742">
        <v>10</v>
      </c>
      <c r="F22" s="748" t="s">
        <v>504</v>
      </c>
      <c r="G22" s="742">
        <v>100000044</v>
      </c>
      <c r="H22" s="742">
        <v>998736</v>
      </c>
      <c r="I22" s="721"/>
      <c r="J22" s="720">
        <v>18</v>
      </c>
      <c r="K22" s="722"/>
      <c r="L22" s="733" t="s">
        <v>510</v>
      </c>
      <c r="M22" s="744" t="s">
        <v>299</v>
      </c>
      <c r="N22" s="744">
        <v>7</v>
      </c>
      <c r="O22" s="725"/>
      <c r="P22" s="723" t="str">
        <f t="shared" ref="P22:P23" si="14">IF(O22=0, "INCLUDED", IF(ISERROR(N22*O22), O22, N22*O22))</f>
        <v>INCLUDED</v>
      </c>
      <c r="Q22" s="510">
        <f t="shared" ref="Q22:Q23" si="15">IF(P22="Included",0,P22)</f>
        <v>0</v>
      </c>
      <c r="R22" s="450">
        <f t="shared" ref="R22:R23" si="16">IF( K22="",J22*(IF(P22="Included",0,P22))/100,K22*(IF(P22="Included",0,P22)))</f>
        <v>0</v>
      </c>
      <c r="S22" s="610">
        <f>Discount!$J$36</f>
        <v>0</v>
      </c>
      <c r="T22" s="450">
        <f t="shared" ref="T22:T23" si="17">S22*Q22</f>
        <v>0</v>
      </c>
      <c r="U22" s="451">
        <f t="shared" ref="U22:U23" si="18">IF(K22="",J22*T22/100,K22*T22)</f>
        <v>0</v>
      </c>
      <c r="V22" s="716">
        <f t="shared" ref="V22:V23" si="19">O22*N22</f>
        <v>0</v>
      </c>
      <c r="W22" s="263"/>
      <c r="X22" s="263"/>
      <c r="Y22" s="263"/>
      <c r="Z22" s="263"/>
      <c r="AA22" s="263"/>
    </row>
    <row r="23" spans="1:31" ht="47.25" customHeight="1">
      <c r="A23" s="746">
        <v>6</v>
      </c>
      <c r="B23" s="747">
        <v>7000020343</v>
      </c>
      <c r="C23" s="742">
        <v>170</v>
      </c>
      <c r="D23" s="742">
        <v>50</v>
      </c>
      <c r="E23" s="742">
        <v>20</v>
      </c>
      <c r="F23" s="748" t="s">
        <v>504</v>
      </c>
      <c r="G23" s="742">
        <v>100000045</v>
      </c>
      <c r="H23" s="742">
        <v>998736</v>
      </c>
      <c r="I23" s="721"/>
      <c r="J23" s="720">
        <v>18</v>
      </c>
      <c r="K23" s="722"/>
      <c r="L23" s="733" t="s">
        <v>511</v>
      </c>
      <c r="M23" s="744" t="s">
        <v>300</v>
      </c>
      <c r="N23" s="744">
        <v>7</v>
      </c>
      <c r="O23" s="725"/>
      <c r="P23" s="723" t="str">
        <f t="shared" si="14"/>
        <v>INCLUDED</v>
      </c>
      <c r="Q23" s="510">
        <f t="shared" si="15"/>
        <v>0</v>
      </c>
      <c r="R23" s="450">
        <f t="shared" si="16"/>
        <v>0</v>
      </c>
      <c r="S23" s="610">
        <f>Discount!$J$36</f>
        <v>0</v>
      </c>
      <c r="T23" s="450">
        <f t="shared" si="17"/>
        <v>0</v>
      </c>
      <c r="U23" s="451">
        <f t="shared" si="18"/>
        <v>0</v>
      </c>
      <c r="V23" s="716">
        <f t="shared" si="19"/>
        <v>0</v>
      </c>
      <c r="W23" s="263"/>
      <c r="X23" s="263"/>
      <c r="Y23" s="263"/>
      <c r="Z23" s="263"/>
      <c r="AA23" s="263"/>
    </row>
    <row r="24" spans="1:31" ht="58.5" customHeight="1">
      <c r="A24" s="746">
        <v>7</v>
      </c>
      <c r="B24" s="747">
        <v>7000020343</v>
      </c>
      <c r="C24" s="742">
        <v>230</v>
      </c>
      <c r="D24" s="742">
        <v>70</v>
      </c>
      <c r="E24" s="742">
        <v>10</v>
      </c>
      <c r="F24" s="748" t="s">
        <v>505</v>
      </c>
      <c r="G24" s="742">
        <v>100000044</v>
      </c>
      <c r="H24" s="742">
        <v>998736</v>
      </c>
      <c r="I24" s="721"/>
      <c r="J24" s="720">
        <v>18</v>
      </c>
      <c r="K24" s="722"/>
      <c r="L24" s="733" t="s">
        <v>510</v>
      </c>
      <c r="M24" s="744" t="s">
        <v>299</v>
      </c>
      <c r="N24" s="744">
        <v>6</v>
      </c>
      <c r="O24" s="725"/>
      <c r="P24" s="723" t="str">
        <f t="shared" ref="P24:P25" si="20">IF(O24=0, "INCLUDED", IF(ISERROR(N24*O24), O24, N24*O24))</f>
        <v>INCLUDED</v>
      </c>
      <c r="Q24" s="510">
        <f t="shared" ref="Q24:Q25" si="21">IF(P24="Included",0,P24)</f>
        <v>0</v>
      </c>
      <c r="R24" s="450">
        <f t="shared" ref="R24:R25" si="22">IF( K24="",J24*(IF(P24="Included",0,P24))/100,K24*(IF(P24="Included",0,P24)))</f>
        <v>0</v>
      </c>
      <c r="S24" s="610">
        <f>Discount!$J$36</f>
        <v>0</v>
      </c>
      <c r="T24" s="450">
        <f t="shared" ref="T24:T25" si="23">S24*Q24</f>
        <v>0</v>
      </c>
      <c r="U24" s="451">
        <f t="shared" ref="U24:U25" si="24">IF(K24="",J24*T24/100,K24*T24)</f>
        <v>0</v>
      </c>
      <c r="V24" s="716">
        <f t="shared" ref="V24:V25" si="25">O24*N24</f>
        <v>0</v>
      </c>
      <c r="W24" s="263"/>
      <c r="X24" s="263"/>
      <c r="Y24" s="263"/>
      <c r="Z24" s="263"/>
      <c r="AA24" s="263"/>
    </row>
    <row r="25" spans="1:31" ht="47.25" customHeight="1">
      <c r="A25" s="746">
        <v>8</v>
      </c>
      <c r="B25" s="747">
        <v>7000020343</v>
      </c>
      <c r="C25" s="742">
        <v>230</v>
      </c>
      <c r="D25" s="742">
        <v>70</v>
      </c>
      <c r="E25" s="742">
        <v>20</v>
      </c>
      <c r="F25" s="748" t="s">
        <v>505</v>
      </c>
      <c r="G25" s="742">
        <v>100000045</v>
      </c>
      <c r="H25" s="742">
        <v>998736</v>
      </c>
      <c r="I25" s="721"/>
      <c r="J25" s="720">
        <v>18</v>
      </c>
      <c r="K25" s="722"/>
      <c r="L25" s="733" t="s">
        <v>511</v>
      </c>
      <c r="M25" s="744" t="s">
        <v>300</v>
      </c>
      <c r="N25" s="744">
        <v>6</v>
      </c>
      <c r="O25" s="725"/>
      <c r="P25" s="723" t="str">
        <f t="shared" si="20"/>
        <v>INCLUDED</v>
      </c>
      <c r="Q25" s="510">
        <f t="shared" si="21"/>
        <v>0</v>
      </c>
      <c r="R25" s="450">
        <f t="shared" si="22"/>
        <v>0</v>
      </c>
      <c r="S25" s="610">
        <f>Discount!$J$36</f>
        <v>0</v>
      </c>
      <c r="T25" s="450">
        <f t="shared" si="23"/>
        <v>0</v>
      </c>
      <c r="U25" s="451">
        <f t="shared" si="24"/>
        <v>0</v>
      </c>
      <c r="V25" s="716">
        <f t="shared" si="25"/>
        <v>0</v>
      </c>
      <c r="W25" s="263"/>
      <c r="X25" s="263"/>
      <c r="Y25" s="263"/>
      <c r="Z25" s="263"/>
      <c r="AA25" s="263"/>
    </row>
    <row r="26" spans="1:31" ht="47.25" customHeight="1">
      <c r="A26" s="746">
        <v>9</v>
      </c>
      <c r="B26" s="741">
        <v>7000020343</v>
      </c>
      <c r="C26" s="744">
        <v>230</v>
      </c>
      <c r="D26" s="744">
        <v>70</v>
      </c>
      <c r="E26" s="744">
        <v>30</v>
      </c>
      <c r="F26" s="743" t="s">
        <v>505</v>
      </c>
      <c r="G26" s="744">
        <v>100001953</v>
      </c>
      <c r="H26" s="744">
        <v>998736</v>
      </c>
      <c r="I26" s="721"/>
      <c r="J26" s="720">
        <v>18</v>
      </c>
      <c r="K26" s="722"/>
      <c r="L26" s="732" t="s">
        <v>508</v>
      </c>
      <c r="M26" s="744" t="s">
        <v>299</v>
      </c>
      <c r="N26" s="744">
        <v>2</v>
      </c>
      <c r="O26" s="725"/>
      <c r="P26" s="723" t="str">
        <f t="shared" ref="P26:P27" si="26">IF(O26=0, "INCLUDED", IF(ISERROR(N26*O26), O26, N26*O26))</f>
        <v>INCLUDED</v>
      </c>
      <c r="Q26" s="510">
        <f t="shared" ref="Q26:Q27" si="27">IF(P26="Included",0,P26)</f>
        <v>0</v>
      </c>
      <c r="R26" s="450">
        <f t="shared" ref="R26:R27" si="28">IF( K26="",J26*(IF(P26="Included",0,P26))/100,K26*(IF(P26="Included",0,P26)))</f>
        <v>0</v>
      </c>
      <c r="S26" s="610">
        <f>Discount!$J$36</f>
        <v>0</v>
      </c>
      <c r="T26" s="450">
        <f t="shared" ref="T26:T27" si="29">S26*Q26</f>
        <v>0</v>
      </c>
      <c r="U26" s="451">
        <f t="shared" ref="U26:U27" si="30">IF(K26="",J26*T26/100,K26*T26)</f>
        <v>0</v>
      </c>
      <c r="V26" s="716">
        <f t="shared" ref="V26:V27" si="31">O26*N26</f>
        <v>0</v>
      </c>
      <c r="W26" s="263"/>
      <c r="X26" s="263"/>
      <c r="Y26" s="263"/>
      <c r="Z26" s="263"/>
      <c r="AA26" s="263"/>
    </row>
    <row r="27" spans="1:31" ht="47.25" customHeight="1">
      <c r="A27" s="746">
        <v>10</v>
      </c>
      <c r="B27" s="741">
        <v>7000020343</v>
      </c>
      <c r="C27" s="744">
        <v>230</v>
      </c>
      <c r="D27" s="744">
        <v>70</v>
      </c>
      <c r="E27" s="744">
        <v>40</v>
      </c>
      <c r="F27" s="743" t="s">
        <v>505</v>
      </c>
      <c r="G27" s="744">
        <v>100000043</v>
      </c>
      <c r="H27" s="744">
        <v>998736</v>
      </c>
      <c r="I27" s="721"/>
      <c r="J27" s="720">
        <v>18</v>
      </c>
      <c r="K27" s="722"/>
      <c r="L27" s="732" t="s">
        <v>509</v>
      </c>
      <c r="M27" s="744" t="s">
        <v>300</v>
      </c>
      <c r="N27" s="744">
        <v>2</v>
      </c>
      <c r="O27" s="725"/>
      <c r="P27" s="723" t="str">
        <f t="shared" si="26"/>
        <v>INCLUDED</v>
      </c>
      <c r="Q27" s="510">
        <f t="shared" si="27"/>
        <v>0</v>
      </c>
      <c r="R27" s="450">
        <f t="shared" si="28"/>
        <v>0</v>
      </c>
      <c r="S27" s="610">
        <f>Discount!$J$36</f>
        <v>0</v>
      </c>
      <c r="T27" s="450">
        <f t="shared" si="29"/>
        <v>0</v>
      </c>
      <c r="U27" s="451">
        <f t="shared" si="30"/>
        <v>0</v>
      </c>
      <c r="V27" s="716">
        <f t="shared" si="31"/>
        <v>0</v>
      </c>
      <c r="W27" s="263"/>
      <c r="X27" s="263"/>
      <c r="Y27" s="263"/>
      <c r="Z27" s="263"/>
      <c r="AA27" s="263"/>
    </row>
    <row r="28" spans="1:31" ht="28.5" customHeight="1">
      <c r="A28" s="836" t="s">
        <v>315</v>
      </c>
      <c r="B28" s="837"/>
      <c r="C28" s="837"/>
      <c r="D28" s="837"/>
      <c r="E28" s="837"/>
      <c r="F28" s="837"/>
      <c r="G28" s="837"/>
      <c r="H28" s="837"/>
      <c r="I28" s="837"/>
      <c r="J28" s="837"/>
      <c r="K28" s="837"/>
      <c r="L28" s="837"/>
      <c r="M28" s="837"/>
      <c r="N28" s="837"/>
      <c r="O28" s="838"/>
      <c r="P28" s="735">
        <f>SUM(P18:P27)</f>
        <v>0</v>
      </c>
      <c r="Q28" s="613"/>
      <c r="R28" s="612">
        <f>SUM(R18:R27)</f>
        <v>0</v>
      </c>
      <c r="S28" s="262"/>
      <c r="T28" s="452"/>
      <c r="U28" s="612">
        <f>SUM(U18:U27)</f>
        <v>0</v>
      </c>
      <c r="V28" s="716">
        <f>SUM(V18:V27)</f>
        <v>0</v>
      </c>
      <c r="W28" s="263"/>
      <c r="X28" s="263"/>
      <c r="Y28" s="263"/>
      <c r="Z28" s="263"/>
      <c r="AA28" s="263">
        <f>P28*0.18</f>
        <v>0</v>
      </c>
    </row>
    <row r="29" spans="1:31" ht="21.75" customHeight="1">
      <c r="B29" s="711"/>
      <c r="C29" s="712"/>
      <c r="D29" s="712"/>
      <c r="E29" s="712"/>
      <c r="F29" s="712"/>
      <c r="G29" s="712"/>
      <c r="H29" s="712"/>
      <c r="I29" s="712"/>
      <c r="J29" s="712"/>
      <c r="K29" s="712"/>
      <c r="L29" s="712"/>
      <c r="M29" s="475"/>
      <c r="N29" s="466"/>
      <c r="O29" s="475"/>
      <c r="P29" s="475"/>
      <c r="Q29" s="473"/>
      <c r="R29" s="262"/>
      <c r="S29" s="262"/>
      <c r="T29" s="452"/>
      <c r="U29" s="262"/>
      <c r="V29" s="263"/>
      <c r="W29" s="263"/>
      <c r="X29" s="263"/>
      <c r="Y29" s="263"/>
      <c r="Z29" s="263"/>
      <c r="AA29" s="263"/>
    </row>
    <row r="30" spans="1:31" ht="30" customHeight="1">
      <c r="A30" s="585" t="s">
        <v>356</v>
      </c>
      <c r="B30" s="831" t="s">
        <v>357</v>
      </c>
      <c r="C30" s="831"/>
      <c r="D30" s="831"/>
      <c r="E30" s="831"/>
      <c r="F30" s="831"/>
      <c r="G30" s="831"/>
      <c r="H30" s="831"/>
      <c r="I30" s="831"/>
      <c r="J30" s="831"/>
      <c r="K30" s="831"/>
      <c r="L30" s="831"/>
      <c r="M30" s="831"/>
      <c r="N30" s="831"/>
      <c r="O30" s="831"/>
      <c r="P30" s="831"/>
      <c r="Q30" s="473"/>
      <c r="R30" s="262"/>
      <c r="S30" s="262"/>
      <c r="T30" s="452"/>
      <c r="U30" s="262"/>
      <c r="V30" s="263"/>
      <c r="W30" s="263"/>
      <c r="X30" s="263"/>
      <c r="Y30" s="263"/>
      <c r="Z30" s="263"/>
      <c r="AA30" s="263"/>
    </row>
    <row r="31" spans="1:31" ht="21.75" customHeight="1">
      <c r="A31" s="713"/>
      <c r="B31" s="433"/>
      <c r="C31" s="329"/>
      <c r="D31" s="330"/>
      <c r="E31" s="331"/>
      <c r="F31" s="425"/>
      <c r="G31" s="425"/>
      <c r="H31" s="425"/>
      <c r="I31" s="425"/>
      <c r="J31" s="425"/>
      <c r="K31" s="425"/>
      <c r="L31" s="415"/>
      <c r="M31" s="475"/>
      <c r="N31" s="466"/>
      <c r="O31" s="475"/>
      <c r="P31" s="475"/>
      <c r="Q31" s="473"/>
      <c r="R31" s="262"/>
      <c r="S31" s="262"/>
      <c r="T31" s="452"/>
      <c r="U31" s="262"/>
      <c r="V31" s="263"/>
      <c r="W31" s="263"/>
      <c r="X31" s="263"/>
      <c r="Y31" s="263"/>
      <c r="Z31" s="263"/>
      <c r="AA31" s="263"/>
    </row>
    <row r="32" spans="1:31" ht="21.75" customHeight="1">
      <c r="A32" s="713"/>
      <c r="B32" s="433"/>
      <c r="C32" s="329"/>
      <c r="D32" s="330"/>
      <c r="E32" s="331"/>
      <c r="F32" s="425"/>
      <c r="G32" s="425"/>
      <c r="H32" s="425"/>
      <c r="I32" s="425"/>
      <c r="J32" s="425"/>
      <c r="K32" s="425"/>
      <c r="L32" s="415"/>
      <c r="M32" s="475"/>
      <c r="N32" s="466"/>
      <c r="O32" s="475"/>
      <c r="P32" s="475"/>
      <c r="Q32" s="473"/>
      <c r="R32" s="262"/>
      <c r="S32" s="262"/>
      <c r="T32" s="452"/>
      <c r="U32" s="262"/>
      <c r="V32" s="263"/>
      <c r="W32" s="263"/>
      <c r="X32" s="263"/>
      <c r="Y32" s="263"/>
      <c r="Z32" s="263"/>
      <c r="AA32" s="263"/>
    </row>
    <row r="33" spans="1:21" s="466" customFormat="1" ht="14.4">
      <c r="A33" s="585"/>
      <c r="B33" s="586" t="s">
        <v>316</v>
      </c>
      <c r="C33" s="834" t="str">
        <f>'Sch-1'!C49:D49</f>
        <v xml:space="preserve">  </v>
      </c>
      <c r="D33" s="834"/>
      <c r="E33" s="834"/>
      <c r="F33" s="585"/>
      <c r="G33" s="585"/>
      <c r="H33" s="585"/>
      <c r="I33" s="585"/>
      <c r="J33" s="585"/>
      <c r="K33" s="585"/>
      <c r="L33" s="585"/>
      <c r="M33" s="832" t="s">
        <v>318</v>
      </c>
      <c r="N33" s="832"/>
      <c r="O33" s="835" t="str">
        <f>'Sch-1'!K49</f>
        <v/>
      </c>
      <c r="P33" s="835"/>
      <c r="R33" s="474"/>
      <c r="S33" s="474"/>
      <c r="T33" s="474"/>
      <c r="U33" s="474"/>
    </row>
    <row r="34" spans="1:21" s="466" customFormat="1" ht="14.4">
      <c r="A34" s="585"/>
      <c r="B34" s="586" t="s">
        <v>317</v>
      </c>
      <c r="C34" s="833" t="str">
        <f>'Sch-1'!C50:D50</f>
        <v/>
      </c>
      <c r="D34" s="833"/>
      <c r="E34" s="833"/>
      <c r="F34" s="585"/>
      <c r="G34" s="585"/>
      <c r="H34" s="585"/>
      <c r="I34" s="585"/>
      <c r="J34" s="585"/>
      <c r="K34" s="585"/>
      <c r="L34" s="585"/>
      <c r="M34" s="832" t="s">
        <v>125</v>
      </c>
      <c r="N34" s="832"/>
      <c r="O34" s="835" t="str">
        <f>'Sch-1'!K50</f>
        <v/>
      </c>
      <c r="P34" s="835"/>
      <c r="R34" s="474"/>
      <c r="S34" s="474"/>
      <c r="T34" s="474"/>
      <c r="U34" s="474"/>
    </row>
    <row r="35" spans="1:21">
      <c r="B35" s="433"/>
      <c r="C35" s="329"/>
      <c r="D35" s="3"/>
      <c r="E35" s="331"/>
      <c r="F35" s="434"/>
      <c r="G35" s="425"/>
      <c r="H35" s="425"/>
      <c r="I35" s="425"/>
      <c r="J35" s="425"/>
      <c r="K35" s="425"/>
      <c r="L35" s="415"/>
      <c r="M35" s="475"/>
      <c r="N35" s="466"/>
      <c r="O35" s="475"/>
      <c r="P35" s="475"/>
      <c r="Q35" s="475"/>
    </row>
    <row r="36" spans="1:21">
      <c r="B36" s="435"/>
      <c r="C36" s="334"/>
      <c r="D36" s="335"/>
      <c r="E36" s="331"/>
      <c r="F36" s="434"/>
      <c r="G36" s="436"/>
      <c r="H36" s="436"/>
      <c r="I36" s="436"/>
      <c r="J36" s="436"/>
      <c r="K36" s="436"/>
      <c r="L36" s="415"/>
      <c r="M36" s="475"/>
      <c r="N36" s="466"/>
      <c r="O36" s="475"/>
      <c r="P36" s="475"/>
      <c r="Q36" s="475"/>
    </row>
    <row r="38" spans="1:21">
      <c r="P38" s="699">
        <f>P28*0.18</f>
        <v>0</v>
      </c>
    </row>
  </sheetData>
  <sheetProtection password="CC6F" sheet="1" formatColumns="0" formatRows="0" selectLockedCells="1"/>
  <customSheetViews>
    <customSheetView guid="{F8A50AE1-259E-429D-A506-38EB64D134EF}" scale="60" showPageBreaks="1" fitToPage="1" printArea="1" hiddenColumns="1" view="pageBreakPreview" topLeftCell="A13">
      <selection activeCell="O27" sqref="O27"/>
      <pageMargins left="0.2" right="0.2" top="0.75" bottom="0.5" header="0.3" footer="0.3"/>
      <printOptions horizontalCentered="1"/>
      <pageSetup paperSize="9" scale="48" fitToHeight="0" orientation="landscape" r:id="rId1"/>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2"/>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4"/>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5"/>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6"/>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7"/>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9"/>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10"/>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11"/>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2"/>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13"/>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14"/>
      <headerFooter>
        <oddHeader>&amp;RSchedule-3
Page &amp;P of &amp;N</oddHeader>
      </headerFooter>
    </customSheetView>
    <customSheetView guid="{84F40905-A9D3-43A5-987A-8A757D486A94}" scale="60" showPageBreaks="1" fitToPage="1" printArea="1" hiddenColumns="1" view="pageBreakPreview" topLeftCell="A13">
      <selection activeCell="O19" sqref="O19"/>
      <pageMargins left="0.2" right="0.2" top="0.75" bottom="0.5" header="0.3" footer="0.3"/>
      <printOptions horizontalCentered="1"/>
      <pageSetup paperSize="9" scale="48" fitToHeight="0" orientation="landscape" r:id="rId15"/>
      <headerFooter>
        <oddHeader>&amp;RSchedule-3
Page &amp;P of &amp;N</oddHeader>
      </headerFooter>
    </customSheetView>
  </customSheetViews>
  <mergeCells count="19">
    <mergeCell ref="C12:G12"/>
    <mergeCell ref="A14:P14"/>
    <mergeCell ref="C11:G11"/>
    <mergeCell ref="C10:G10"/>
    <mergeCell ref="C9:G9"/>
    <mergeCell ref="A3:P3"/>
    <mergeCell ref="A4:P4"/>
    <mergeCell ref="A6:B6"/>
    <mergeCell ref="A7:I7"/>
    <mergeCell ref="A8:G8"/>
    <mergeCell ref="M15:P15"/>
    <mergeCell ref="B30:P30"/>
    <mergeCell ref="M34:N34"/>
    <mergeCell ref="M33:N33"/>
    <mergeCell ref="C34:E34"/>
    <mergeCell ref="C33:E33"/>
    <mergeCell ref="O34:P34"/>
    <mergeCell ref="O33:P33"/>
    <mergeCell ref="A28:O28"/>
  </mergeCells>
  <conditionalFormatting sqref="K18:K27">
    <cfRule type="expression" dxfId="5" priority="7" stopIfTrue="1">
      <formula>J18&gt;0</formula>
    </cfRule>
  </conditionalFormatting>
  <dataValidations count="5">
    <dataValidation type="list" allowBlank="1" showInputMessage="1" showErrorMessage="1" sqref="IJ64463 A64463:K64463" xr:uid="{00000000-0002-0000-0600-000000000000}">
      <formula1>#REF!</formula1>
    </dataValidation>
    <dataValidation type="decimal" operator="greaterThan" allowBlank="1" showInputMessage="1" showErrorMessage="1" error="Enter only Numeric Value greater than zero or leave the cell blank !" sqref="O64433:O64479" xr:uid="{00000000-0002-0000-0600-000001000000}">
      <formula1>0</formula1>
    </dataValidation>
    <dataValidation type="list" operator="greaterThan" allowBlank="1" showInputMessage="1" showErrorMessage="1" sqref="K18:K27" xr:uid="{00000000-0002-0000-0600-000002000000}">
      <formula1>"0%,5%,12%,18%,28%"</formula1>
    </dataValidation>
    <dataValidation type="whole" operator="greaterThan" allowBlank="1" showInputMessage="1" showErrorMessage="1" sqref="I18:I27" xr:uid="{00000000-0002-0000-0600-000003000000}">
      <formula1>0</formula1>
    </dataValidation>
    <dataValidation type="decimal" operator="greaterThanOrEqual" allowBlank="1" showInputMessage="1" showErrorMessage="1" sqref="O18:O27" xr:uid="{00000000-0002-0000-0600-000004000000}">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09375" defaultRowHeight="15.6"/>
  <cols>
    <col min="1" max="1" width="7.5546875" style="501" customWidth="1"/>
    <col min="2" max="2" width="9" style="501" customWidth="1"/>
    <col min="3" max="3" width="10.33203125" style="501" customWidth="1"/>
    <col min="4" max="4" width="10.88671875" style="501" customWidth="1"/>
    <col min="5" max="5" width="11.109375" style="501" customWidth="1"/>
    <col min="6" max="6" width="13.6640625" style="501" customWidth="1"/>
    <col min="7" max="7" width="15.44140625" style="501" customWidth="1"/>
    <col min="8" max="11" width="16.88671875" style="501" customWidth="1"/>
    <col min="12" max="12" width="14.44140625" style="502" customWidth="1"/>
    <col min="13" max="13" width="9" style="501" customWidth="1"/>
    <col min="14" max="14" width="11.44140625" style="501" customWidth="1"/>
    <col min="15" max="15" width="13.33203125" style="501" customWidth="1"/>
    <col min="16" max="16" width="15.6640625" style="506" customWidth="1"/>
    <col min="17" max="16384" width="9.109375" style="506"/>
  </cols>
  <sheetData>
    <row r="1" spans="1:16" s="503" customFormat="1" ht="24.75" customHeight="1">
      <c r="A1" s="486" t="str">
        <f>Cover!B3</f>
        <v>Spec. No: CC/NT/W-RT/DOM/A00/22/00726</v>
      </c>
      <c r="B1" s="486"/>
      <c r="C1" s="486"/>
      <c r="D1" s="486"/>
      <c r="E1" s="486"/>
      <c r="F1" s="486"/>
      <c r="G1" s="487"/>
      <c r="H1" s="487"/>
      <c r="I1" s="487"/>
      <c r="J1" s="487"/>
      <c r="K1" s="487"/>
      <c r="L1" s="488"/>
      <c r="M1" s="489"/>
      <c r="N1" s="490"/>
      <c r="O1" s="490"/>
      <c r="P1" s="491" t="s">
        <v>26</v>
      </c>
    </row>
    <row r="2" spans="1:16" s="503" customFormat="1">
      <c r="A2" s="11"/>
      <c r="B2" s="11"/>
      <c r="C2" s="11"/>
      <c r="D2" s="11"/>
      <c r="E2" s="11"/>
      <c r="F2" s="11"/>
      <c r="G2" s="492"/>
      <c r="H2" s="492"/>
      <c r="I2" s="492"/>
      <c r="J2" s="492"/>
      <c r="K2" s="492"/>
      <c r="L2" s="493"/>
      <c r="M2" s="494"/>
      <c r="N2" s="495"/>
      <c r="O2" s="495"/>
    </row>
    <row r="3" spans="1:16" s="503" customFormat="1" ht="61.5" customHeight="1">
      <c r="A3" s="85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50"/>
      <c r="C3" s="850"/>
      <c r="D3" s="850"/>
      <c r="E3" s="850"/>
      <c r="F3" s="850"/>
      <c r="G3" s="850"/>
      <c r="H3" s="850"/>
      <c r="I3" s="850"/>
      <c r="J3" s="850"/>
      <c r="K3" s="850"/>
      <c r="L3" s="850"/>
      <c r="M3" s="850"/>
      <c r="N3" s="850"/>
      <c r="O3" s="850"/>
      <c r="P3" s="850"/>
    </row>
    <row r="4" spans="1:16" s="503" customFormat="1">
      <c r="A4" s="851" t="s">
        <v>19</v>
      </c>
      <c r="B4" s="851"/>
      <c r="C4" s="851"/>
      <c r="D4" s="851"/>
      <c r="E4" s="851"/>
      <c r="F4" s="851"/>
      <c r="G4" s="851"/>
      <c r="H4" s="851"/>
      <c r="I4" s="851"/>
      <c r="J4" s="851"/>
      <c r="K4" s="851"/>
      <c r="L4" s="851"/>
      <c r="M4" s="851"/>
      <c r="N4" s="851"/>
      <c r="O4" s="851"/>
      <c r="P4" s="851"/>
    </row>
    <row r="5" spans="1:16" s="503" customFormat="1">
      <c r="A5" s="496"/>
      <c r="B5" s="496"/>
      <c r="C5" s="496"/>
      <c r="D5" s="496"/>
      <c r="E5" s="496"/>
      <c r="F5" s="496"/>
      <c r="G5" s="497"/>
      <c r="H5" s="497"/>
      <c r="I5" s="497"/>
      <c r="J5" s="497"/>
      <c r="K5" s="497"/>
      <c r="L5" s="497"/>
      <c r="M5" s="496"/>
      <c r="N5" s="496"/>
      <c r="O5" s="496"/>
    </row>
    <row r="6" spans="1:16" s="503" customFormat="1" ht="20.25" customHeight="1">
      <c r="A6" s="810" t="s">
        <v>349</v>
      </c>
      <c r="B6" s="810"/>
      <c r="C6" s="4"/>
      <c r="D6" s="351"/>
      <c r="E6" s="4"/>
      <c r="F6" s="4"/>
      <c r="G6" s="4"/>
      <c r="H6" s="4"/>
      <c r="I6" s="4"/>
      <c r="J6" s="497"/>
      <c r="K6" s="497"/>
      <c r="L6" s="497"/>
      <c r="M6" s="496"/>
      <c r="N6" s="496"/>
      <c r="O6" s="496"/>
    </row>
    <row r="7" spans="1:16" s="503" customFormat="1" ht="21" customHeight="1">
      <c r="A7" s="815" t="str">
        <f>'Sch-1'!A7</f>
        <v/>
      </c>
      <c r="B7" s="815"/>
      <c r="C7" s="815"/>
      <c r="D7" s="815"/>
      <c r="E7" s="815"/>
      <c r="F7" s="815"/>
      <c r="G7" s="815"/>
      <c r="H7" s="815"/>
      <c r="I7" s="815"/>
      <c r="J7" s="5"/>
      <c r="K7" s="5"/>
      <c r="L7" s="392"/>
      <c r="M7" s="5"/>
      <c r="N7" s="498" t="s">
        <v>1</v>
      </c>
      <c r="O7" s="495"/>
    </row>
    <row r="8" spans="1:16" s="503" customFormat="1" ht="21" customHeight="1">
      <c r="A8" s="811" t="str">
        <f>"Bidder’s Name and Address  (" &amp; MID('Names of Bidder'!B9,9, 20) &amp; ") :"</f>
        <v>Bidder’s Name and Address  (Sole Bidder) :</v>
      </c>
      <c r="B8" s="811"/>
      <c r="C8" s="811"/>
      <c r="D8" s="811"/>
      <c r="E8" s="811"/>
      <c r="F8" s="811"/>
      <c r="G8" s="811"/>
      <c r="H8" s="535"/>
      <c r="I8" s="535"/>
      <c r="J8" s="512"/>
      <c r="K8" s="512"/>
      <c r="L8" s="512"/>
      <c r="M8" s="512"/>
      <c r="N8" s="12" t="str">
        <f>'Sch-1'!K8</f>
        <v>Contract Services</v>
      </c>
      <c r="O8" s="495"/>
    </row>
    <row r="9" spans="1:16" s="503" customFormat="1" ht="24" customHeight="1">
      <c r="A9" s="459" t="s">
        <v>12</v>
      </c>
      <c r="B9" s="407"/>
      <c r="C9" s="814" t="str">
        <f>IF('Names of Bidder'!D9=0, "", 'Names of Bidder'!D9)</f>
        <v/>
      </c>
      <c r="D9" s="814"/>
      <c r="E9" s="814"/>
      <c r="F9" s="814"/>
      <c r="G9" s="814"/>
      <c r="H9" s="443"/>
      <c r="I9" s="408"/>
      <c r="J9" s="261"/>
      <c r="K9" s="261"/>
      <c r="L9" s="504"/>
      <c r="N9" s="12" t="str">
        <f>'Sch-1'!K9</f>
        <v>Power Grid Corporation of India Ltd.,</v>
      </c>
      <c r="O9" s="495"/>
    </row>
    <row r="10" spans="1:16" s="503" customFormat="1">
      <c r="A10" s="459" t="s">
        <v>11</v>
      </c>
      <c r="B10" s="407"/>
      <c r="C10" s="813" t="str">
        <f>IF('Names of Bidder'!D10=0, "", 'Names of Bidder'!D10)</f>
        <v/>
      </c>
      <c r="D10" s="813"/>
      <c r="E10" s="813"/>
      <c r="F10" s="813"/>
      <c r="G10" s="813"/>
      <c r="H10" s="443"/>
      <c r="I10" s="408"/>
      <c r="J10" s="261"/>
      <c r="K10" s="261"/>
      <c r="L10" s="504"/>
      <c r="N10" s="12" t="str">
        <f>'Sch-1'!K10</f>
        <v>"Saudamini", Plot No.-2</v>
      </c>
      <c r="O10" s="495"/>
    </row>
    <row r="11" spans="1:16" s="503" customFormat="1">
      <c r="A11" s="408"/>
      <c r="B11" s="408"/>
      <c r="C11" s="813" t="str">
        <f>IF('Names of Bidder'!D11=0, "", 'Names of Bidder'!D11)</f>
        <v/>
      </c>
      <c r="D11" s="813"/>
      <c r="E11" s="813"/>
      <c r="F11" s="813"/>
      <c r="G11" s="813"/>
      <c r="H11" s="443"/>
      <c r="I11" s="408"/>
      <c r="J11" s="261"/>
      <c r="K11" s="261"/>
      <c r="L11" s="504"/>
      <c r="N11" s="12" t="str">
        <f>'Sch-1'!K11</f>
        <v xml:space="preserve">Sector-29, </v>
      </c>
      <c r="O11" s="495"/>
    </row>
    <row r="12" spans="1:16" s="503" customFormat="1">
      <c r="A12" s="408"/>
      <c r="B12" s="408"/>
      <c r="C12" s="813" t="str">
        <f>IF('Names of Bidder'!D12=0, "", 'Names of Bidder'!D12)</f>
        <v/>
      </c>
      <c r="D12" s="813"/>
      <c r="E12" s="813"/>
      <c r="F12" s="813"/>
      <c r="G12" s="813"/>
      <c r="H12" s="443"/>
      <c r="I12" s="408"/>
      <c r="J12" s="261"/>
      <c r="K12" s="261"/>
      <c r="L12" s="504"/>
      <c r="N12" s="12" t="str">
        <f>'Sch-1'!K12</f>
        <v>Gurgaon (Haryana) - 122001</v>
      </c>
      <c r="O12" s="495"/>
    </row>
    <row r="13" spans="1:16" s="503" customFormat="1">
      <c r="A13" s="408"/>
      <c r="B13" s="408"/>
      <c r="C13" s="578"/>
      <c r="D13" s="578"/>
      <c r="E13" s="578"/>
      <c r="F13" s="578"/>
      <c r="G13" s="578"/>
      <c r="H13" s="443"/>
      <c r="I13" s="408"/>
      <c r="J13" s="261"/>
      <c r="K13" s="261"/>
      <c r="L13" s="504"/>
      <c r="N13" s="12"/>
      <c r="O13" s="495"/>
    </row>
    <row r="14" spans="1:16" s="503" customFormat="1" ht="21" customHeight="1">
      <c r="A14" s="839" t="s">
        <v>27</v>
      </c>
      <c r="B14" s="839"/>
      <c r="C14" s="839"/>
      <c r="D14" s="839"/>
      <c r="E14" s="839"/>
      <c r="F14" s="839"/>
      <c r="G14" s="839"/>
      <c r="H14" s="839"/>
      <c r="I14" s="839"/>
      <c r="J14" s="839"/>
      <c r="K14" s="839"/>
      <c r="L14" s="839"/>
      <c r="M14" s="839"/>
      <c r="N14" s="839"/>
      <c r="O14" s="839"/>
      <c r="P14" s="839"/>
    </row>
    <row r="15" spans="1:16" s="503" customFormat="1" ht="63.75" customHeight="1">
      <c r="A15" s="482" t="s">
        <v>7</v>
      </c>
      <c r="B15" s="483" t="s">
        <v>266</v>
      </c>
      <c r="C15" s="483" t="s">
        <v>267</v>
      </c>
      <c r="D15" s="483" t="s">
        <v>277</v>
      </c>
      <c r="E15" s="483" t="s">
        <v>279</v>
      </c>
      <c r="F15" s="483" t="s">
        <v>280</v>
      </c>
      <c r="G15" s="482" t="s">
        <v>25</v>
      </c>
      <c r="H15" s="513" t="s">
        <v>323</v>
      </c>
      <c r="I15" s="514" t="s">
        <v>322</v>
      </c>
      <c r="J15" s="514" t="s">
        <v>309</v>
      </c>
      <c r="K15" s="514" t="s">
        <v>319</v>
      </c>
      <c r="L15" s="483" t="s">
        <v>15</v>
      </c>
      <c r="M15" s="484" t="s">
        <v>9</v>
      </c>
      <c r="N15" s="484" t="s">
        <v>16</v>
      </c>
      <c r="O15" s="485" t="s">
        <v>28</v>
      </c>
      <c r="P15" s="485" t="s">
        <v>29</v>
      </c>
    </row>
    <row r="16" spans="1:16" s="590" customFormat="1" ht="14.4">
      <c r="A16" s="587">
        <v>1</v>
      </c>
      <c r="B16" s="587">
        <v>2</v>
      </c>
      <c r="C16" s="587">
        <v>3</v>
      </c>
      <c r="D16" s="587">
        <v>4</v>
      </c>
      <c r="E16" s="587">
        <v>5</v>
      </c>
      <c r="F16" s="587">
        <v>6</v>
      </c>
      <c r="G16" s="587">
        <v>7</v>
      </c>
      <c r="H16" s="588">
        <v>8</v>
      </c>
      <c r="I16" s="588">
        <v>9</v>
      </c>
      <c r="J16" s="588">
        <v>10</v>
      </c>
      <c r="K16" s="588">
        <v>11</v>
      </c>
      <c r="L16" s="589">
        <v>12</v>
      </c>
      <c r="M16" s="587">
        <v>13</v>
      </c>
      <c r="N16" s="587">
        <v>14</v>
      </c>
      <c r="O16" s="587">
        <v>15</v>
      </c>
      <c r="P16" s="587" t="s">
        <v>321</v>
      </c>
    </row>
    <row r="17" spans="1:17">
      <c r="A17" s="499"/>
      <c r="B17" s="499"/>
      <c r="C17" s="499"/>
      <c r="D17" s="499"/>
      <c r="E17" s="499"/>
      <c r="F17" s="499"/>
      <c r="G17" s="499"/>
      <c r="H17" s="499"/>
      <c r="I17" s="499"/>
      <c r="J17" s="499"/>
      <c r="K17" s="499"/>
      <c r="L17" s="500"/>
      <c r="M17" s="499"/>
      <c r="N17" s="499"/>
      <c r="O17" s="499"/>
      <c r="P17" s="505"/>
    </row>
    <row r="18" spans="1:17" s="501" customFormat="1" ht="45" customHeight="1">
      <c r="A18" s="499"/>
      <c r="B18" s="507"/>
      <c r="C18" s="507"/>
      <c r="D18" s="507"/>
      <c r="F18" s="507"/>
      <c r="G18" s="507"/>
      <c r="H18" s="507"/>
      <c r="I18" s="584" t="s">
        <v>338</v>
      </c>
      <c r="J18" s="507"/>
      <c r="K18" s="507"/>
      <c r="L18" s="507"/>
      <c r="M18" s="507"/>
      <c r="N18" s="507"/>
      <c r="O18" s="507"/>
      <c r="P18" s="507"/>
    </row>
    <row r="19" spans="1:17" ht="26.25" customHeight="1">
      <c r="A19" s="499"/>
      <c r="B19" s="847"/>
      <c r="C19" s="848"/>
      <c r="D19" s="848"/>
      <c r="E19" s="848"/>
      <c r="F19" s="848"/>
      <c r="G19" s="848"/>
      <c r="H19" s="848"/>
      <c r="I19" s="848"/>
      <c r="J19" s="848"/>
      <c r="K19" s="849"/>
      <c r="L19" s="508"/>
      <c r="M19" s="508"/>
      <c r="N19" s="508"/>
      <c r="O19" s="508"/>
      <c r="P19" s="509"/>
      <c r="Q19" s="444"/>
    </row>
    <row r="20" spans="1:17" ht="27.75" customHeight="1">
      <c r="A20" s="844" t="s">
        <v>324</v>
      </c>
      <c r="B20" s="844"/>
      <c r="C20" s="844"/>
      <c r="D20" s="844"/>
      <c r="E20" s="844"/>
      <c r="F20" s="844"/>
      <c r="G20" s="844"/>
      <c r="H20" s="844"/>
      <c r="I20" s="844"/>
      <c r="J20" s="844"/>
      <c r="K20" s="844"/>
      <c r="L20" s="844"/>
      <c r="M20" s="844"/>
      <c r="N20" s="844"/>
      <c r="O20" s="844"/>
      <c r="P20" s="844"/>
      <c r="Q20" s="444"/>
    </row>
    <row r="21" spans="1:17" ht="39" customHeight="1">
      <c r="A21" s="845" t="s">
        <v>325</v>
      </c>
      <c r="B21" s="845"/>
      <c r="C21" s="845"/>
      <c r="D21" s="845"/>
      <c r="E21" s="845"/>
      <c r="F21" s="845"/>
      <c r="G21" s="845"/>
      <c r="H21" s="845"/>
      <c r="I21" s="845"/>
      <c r="J21" s="845"/>
      <c r="K21" s="845"/>
      <c r="L21" s="845"/>
      <c r="M21" s="845"/>
      <c r="N21" s="845"/>
      <c r="O21" s="845"/>
      <c r="P21" s="845"/>
      <c r="Q21" s="444"/>
    </row>
    <row r="23" spans="1:17" s="510" customFormat="1">
      <c r="B23" s="511" t="s">
        <v>316</v>
      </c>
      <c r="C23" s="843" t="str">
        <f>'Sch-3'!C33:D33</f>
        <v xml:space="preserve">  </v>
      </c>
      <c r="D23" s="842"/>
    </row>
    <row r="24" spans="1:17" s="510" customFormat="1">
      <c r="B24" s="511" t="s">
        <v>317</v>
      </c>
      <c r="C24" s="841" t="str">
        <f>'Sch-3'!C34:D34</f>
        <v/>
      </c>
      <c r="D24" s="842"/>
      <c r="L24" s="840" t="s">
        <v>318</v>
      </c>
      <c r="M24" s="840"/>
      <c r="N24" s="846" t="str">
        <f>'Sch-3'!O33</f>
        <v/>
      </c>
      <c r="O24" s="846"/>
      <c r="P24" s="846"/>
    </row>
    <row r="25" spans="1:17">
      <c r="L25" s="840" t="s">
        <v>125</v>
      </c>
      <c r="M25" s="840"/>
      <c r="N25" s="846" t="str">
        <f>'Sch-3'!O34</f>
        <v/>
      </c>
      <c r="O25" s="846"/>
      <c r="P25" s="846"/>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F8A50AE1-259E-429D-A506-38EB64D134EF}" scale="60" showPageBreaks="1" printArea="1" view="pageBreakPreview">
      <selection activeCell="E17" sqref="E17"/>
      <pageMargins left="0.7" right="0.7" top="0.75" bottom="0.75" header="0.3" footer="0.3"/>
      <pageSetup paperSize="9" scale="58" orientation="landscape" r:id="rId1"/>
    </customSheetView>
    <customSheetView guid="{C44C314C-9BEB-403F-A933-6B948E5C1171}" showPageBreaks="1" printArea="1" view="pageBreakPreview">
      <selection activeCell="E17" sqref="E17"/>
      <pageMargins left="0.7" right="0.7" top="0.75" bottom="0.75" header="0.3" footer="0.3"/>
      <pageSetup paperSize="9" scale="58" orientation="landscape" r:id="rId2"/>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3"/>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4"/>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5"/>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6"/>
    </customSheetView>
    <customSheetView guid="{CCA37BAE-906F-43D5-9FD9-B13563E4B9D7}" showPageBreaks="1" printArea="1" view="pageBreakPreview">
      <selection activeCell="Q18" sqref="Q18"/>
      <pageMargins left="0.7" right="0.7" top="0.75" bottom="0.75" header="0.3" footer="0.3"/>
      <pageSetup paperSize="9" scale="58" orientation="landscape" r:id="rId7"/>
    </customSheetView>
    <customSheetView guid="{B96E710B-6DD7-4DE1-95AB-C9EE060CD030}" scale="80" showPageBreaks="1" printArea="1" view="pageBreakPreview">
      <selection activeCell="G22" sqref="G22"/>
      <pageMargins left="0.7" right="0.7" top="0.75" bottom="0.75" header="0.3" footer="0.3"/>
      <pageSetup paperSize="9" scale="58" orientation="landscape" r:id="rId8"/>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9"/>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10"/>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11"/>
    </customSheetView>
    <customSheetView guid="{63D51328-7CBC-4A1E-B96D-BAE91416501B}" showPageBreaks="1" printArea="1" view="pageBreakPreview">
      <selection activeCell="Q18" sqref="Q18"/>
      <pageMargins left="0.7" right="0.7" top="0.75" bottom="0.75" header="0.3" footer="0.3"/>
      <pageSetup paperSize="9" scale="58" orientation="landscape" r:id="rId12"/>
    </customSheetView>
    <customSheetView guid="{112647D2-7580-431B-99B5-DD512E2AD50E}" showPageBreaks="1" printArea="1" view="pageBreakPreview">
      <selection activeCell="E17" sqref="E17"/>
      <pageMargins left="0.7" right="0.7" top="0.75" bottom="0.75" header="0.3" footer="0.3"/>
      <pageSetup paperSize="9" scale="58" orientation="landscape" r:id="rId13"/>
    </customSheetView>
    <customSheetView guid="{BDFA0401-0547-4E51-8BD2-84F711B066CA}" scale="60" showPageBreaks="1" printArea="1" view="pageBreakPreview">
      <selection activeCell="E17" sqref="E17"/>
      <pageMargins left="0.7" right="0.7" top="0.75" bottom="0.75" header="0.3" footer="0.3"/>
      <pageSetup paperSize="9" scale="58" orientation="landscape" r:id="rId14"/>
    </customSheetView>
    <customSheetView guid="{84F40905-A9D3-43A5-987A-8A757D486A94}" scale="60" showPageBreaks="1" printArea="1" view="pageBreakPreview">
      <selection activeCell="E17" sqref="E17"/>
      <pageMargins left="0.7" right="0.7" top="0.75" bottom="0.75" header="0.3" footer="0.3"/>
      <pageSetup paperSize="9" scale="58" orientation="landscape" r:id="rId15"/>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4140625" defaultRowHeight="15.6"/>
  <cols>
    <col min="1" max="1" width="11.88671875" style="28" customWidth="1"/>
    <col min="2" max="2" width="46.6640625" style="28" customWidth="1"/>
    <col min="3" max="3" width="20" style="28" customWidth="1"/>
    <col min="4" max="4" width="23.44140625" style="28" customWidth="1"/>
    <col min="5" max="5" width="22.88671875" style="28" customWidth="1"/>
    <col min="6" max="6" width="11.44140625" style="85" hidden="1" customWidth="1"/>
    <col min="7" max="7" width="34.109375" style="85" hidden="1" customWidth="1"/>
    <col min="8" max="8" width="11.44140625" style="85" hidden="1" customWidth="1"/>
    <col min="9" max="9" width="14" style="386" hidden="1" customWidth="1"/>
    <col min="10" max="10" width="14.44140625" style="386" hidden="1" customWidth="1"/>
    <col min="11" max="11" width="17.109375" style="386" hidden="1" customWidth="1"/>
    <col min="12" max="13" width="11.44140625" style="386" hidden="1" customWidth="1"/>
    <col min="14" max="14" width="21.33203125" style="386" hidden="1" customWidth="1"/>
    <col min="15" max="15" width="18.33203125" style="86" hidden="1" customWidth="1"/>
    <col min="16" max="17" width="11.44140625" style="86" hidden="1" customWidth="1"/>
    <col min="18" max="18" width="11.44140625" style="112" hidden="1" customWidth="1"/>
    <col min="19" max="20" width="11.44140625" style="85" hidden="1" customWidth="1"/>
    <col min="21" max="24" width="11.44140625" style="85" customWidth="1"/>
    <col min="25" max="16384" width="11.44140625" style="112"/>
  </cols>
  <sheetData>
    <row r="1" spans="1:15" ht="18" customHeight="1">
      <c r="A1" s="81" t="str">
        <f>Cover!B3</f>
        <v>Spec. No: CC/NT/W-RT/DOM/A00/22/00726</v>
      </c>
      <c r="B1" s="82"/>
      <c r="C1" s="83"/>
      <c r="D1" s="83"/>
      <c r="E1" s="84" t="s">
        <v>128</v>
      </c>
    </row>
    <row r="2" spans="1:15" ht="8.1" customHeight="1">
      <c r="A2" s="87"/>
      <c r="B2" s="88"/>
      <c r="C2" s="89"/>
      <c r="D2" s="89"/>
      <c r="E2" s="90"/>
      <c r="F2" s="91"/>
    </row>
    <row r="3" spans="1:15" ht="84.75" customHeight="1">
      <c r="A3" s="860" t="str">
        <f>Cover!$B$2</f>
        <v>765kV Reactor Package RT-24 for 4x110MVAR, 765kV, 1-Ph, Bus Reactors and 7x80MVAR, 765kV, 1-Ph, Line Reactors at Kurnool-III S/S and 6x80MVAR, 765kV, 1-Ph, Line Reactors at Maheshwaram (PG) S/S associated with ‘Evacuation of power from RE Sources in Kurnool Wind Energy Zone (3000 MW) /Solar Energy Zone (1500 MW) Part A and Part B’.</v>
      </c>
      <c r="B3" s="860"/>
      <c r="C3" s="860"/>
      <c r="D3" s="860"/>
      <c r="E3" s="860"/>
    </row>
    <row r="4" spans="1:15" ht="21.9" customHeight="1">
      <c r="A4" s="861" t="s">
        <v>129</v>
      </c>
      <c r="B4" s="861"/>
      <c r="C4" s="861"/>
      <c r="D4" s="861"/>
      <c r="E4" s="861"/>
    </row>
    <row r="5" spans="1:15" ht="12" customHeight="1">
      <c r="A5" s="92"/>
      <c r="B5" s="93"/>
      <c r="C5" s="93"/>
      <c r="D5" s="93"/>
      <c r="E5" s="93"/>
    </row>
    <row r="6" spans="1:15" ht="24" customHeight="1">
      <c r="A6" s="810" t="s">
        <v>349</v>
      </c>
      <c r="B6" s="810"/>
      <c r="C6" s="4"/>
      <c r="D6" s="351"/>
      <c r="E6" s="4"/>
      <c r="F6" s="4"/>
      <c r="G6" s="4"/>
      <c r="H6" s="4"/>
      <c r="I6" s="4"/>
    </row>
    <row r="7" spans="1:15" ht="18" customHeight="1">
      <c r="A7" s="815" t="str">
        <f>'Sch-1'!A7</f>
        <v/>
      </c>
      <c r="B7" s="815"/>
      <c r="C7" s="815"/>
      <c r="D7" s="498" t="s">
        <v>1</v>
      </c>
      <c r="E7" s="577"/>
      <c r="F7" s="577"/>
      <c r="G7" s="577"/>
      <c r="H7" s="577"/>
      <c r="I7" s="577"/>
    </row>
    <row r="8" spans="1:15" ht="18" customHeight="1">
      <c r="A8" s="811" t="str">
        <f>"Bidder’s Name and Address  (" &amp; MID('Names of Bidder'!B9,9, 20) &amp; ") :"</f>
        <v>Bidder’s Name and Address  (Sole Bidder) :</v>
      </c>
      <c r="B8" s="811"/>
      <c r="C8" s="811"/>
      <c r="D8" s="12" t="s">
        <v>2</v>
      </c>
      <c r="E8" s="580"/>
      <c r="F8" s="580"/>
      <c r="G8" s="580"/>
      <c r="H8" s="535"/>
      <c r="I8" s="535"/>
    </row>
    <row r="9" spans="1:15" ht="18" customHeight="1">
      <c r="A9" s="459" t="s">
        <v>12</v>
      </c>
      <c r="B9" s="459" t="str">
        <f>IF('Names of Bidder'!D9=0, "", 'Names of Bidder'!D9)</f>
        <v/>
      </c>
      <c r="C9" s="112"/>
      <c r="D9" s="12" t="s">
        <v>3</v>
      </c>
      <c r="E9" s="579"/>
      <c r="F9" s="579"/>
      <c r="G9" s="579"/>
      <c r="H9" s="443"/>
      <c r="I9" s="408"/>
    </row>
    <row r="10" spans="1:15" ht="18" customHeight="1">
      <c r="A10" s="459" t="s">
        <v>11</v>
      </c>
      <c r="B10" s="578" t="str">
        <f>IF('Names of Bidder'!D10=0, "", 'Names of Bidder'!D10)</f>
        <v/>
      </c>
      <c r="C10" s="112"/>
      <c r="D10" s="12" t="s">
        <v>4</v>
      </c>
      <c r="E10" s="579"/>
      <c r="F10" s="579"/>
      <c r="G10" s="579"/>
      <c r="H10" s="443"/>
      <c r="I10" s="408"/>
    </row>
    <row r="11" spans="1:15" ht="18" customHeight="1">
      <c r="A11" s="408"/>
      <c r="B11" s="578" t="str">
        <f>IF('Names of Bidder'!D11=0, "", 'Names of Bidder'!D11)</f>
        <v/>
      </c>
      <c r="C11" s="112"/>
      <c r="D11" s="12" t="s">
        <v>5</v>
      </c>
      <c r="E11" s="579"/>
      <c r="F11" s="579"/>
      <c r="G11" s="579"/>
      <c r="H11" s="443"/>
      <c r="I11" s="408"/>
    </row>
    <row r="12" spans="1:15" ht="18" customHeight="1">
      <c r="A12" s="408"/>
      <c r="B12" s="578" t="str">
        <f>IF('Names of Bidder'!D12=0, "", 'Names of Bidder'!D12)</f>
        <v/>
      </c>
      <c r="C12" s="112"/>
      <c r="D12" s="12" t="s">
        <v>6</v>
      </c>
      <c r="E12" s="579"/>
      <c r="F12" s="579"/>
      <c r="G12" s="579"/>
      <c r="H12" s="443"/>
      <c r="I12" s="408"/>
    </row>
    <row r="13" spans="1:15" ht="8.1" customHeight="1" thickBot="1">
      <c r="B13" s="141"/>
    </row>
    <row r="14" spans="1:15" ht="21.9" customHeight="1">
      <c r="A14" s="632" t="s">
        <v>130</v>
      </c>
      <c r="B14" s="862" t="s">
        <v>131</v>
      </c>
      <c r="C14" s="862"/>
      <c r="D14" s="863" t="s">
        <v>132</v>
      </c>
      <c r="E14" s="864"/>
      <c r="I14" s="859" t="s">
        <v>133</v>
      </c>
      <c r="J14" s="859"/>
      <c r="K14" s="859"/>
      <c r="M14" s="852" t="s">
        <v>134</v>
      </c>
      <c r="N14" s="852"/>
      <c r="O14" s="852"/>
    </row>
    <row r="15" spans="1:15" ht="29.25" customHeight="1">
      <c r="A15" s="633" t="s">
        <v>135</v>
      </c>
      <c r="B15" s="853" t="s">
        <v>326</v>
      </c>
      <c r="C15" s="853"/>
      <c r="D15" s="854">
        <f>'Sch-1'!P44</f>
        <v>0</v>
      </c>
      <c r="E15" s="855"/>
      <c r="I15" s="387" t="s">
        <v>136</v>
      </c>
      <c r="K15" s="387" t="e">
        <f>ROUND('[6]Sch-1'!U3*#REF!,0)</f>
        <v>#REF!</v>
      </c>
      <c r="M15" s="387" t="s">
        <v>136</v>
      </c>
      <c r="O15" s="97" t="e">
        <f>ROUND('[6]Sch-1'!U5*#REF!,0)</f>
        <v>#REF!</v>
      </c>
    </row>
    <row r="16" spans="1:15" ht="87.75" customHeight="1">
      <c r="A16" s="634"/>
      <c r="B16" s="856" t="s">
        <v>327</v>
      </c>
      <c r="C16" s="856"/>
      <c r="D16" s="857"/>
      <c r="E16" s="858"/>
      <c r="G16" s="98"/>
    </row>
    <row r="17" spans="1:15" ht="25.5" customHeight="1">
      <c r="A17" s="633" t="s">
        <v>137</v>
      </c>
      <c r="B17" s="853" t="s">
        <v>328</v>
      </c>
      <c r="C17" s="853"/>
      <c r="D17" s="854">
        <f>'Sch-3'!R28</f>
        <v>0</v>
      </c>
      <c r="E17" s="855"/>
      <c r="I17" s="387" t="s">
        <v>138</v>
      </c>
      <c r="K17" s="388">
        <f>IF(ISERROR(ROUND((#REF!+#REF!)*#REF!,0)),0, ROUND((#REF!+#REF!)*#REF!,0))</f>
        <v>0</v>
      </c>
      <c r="M17" s="387" t="s">
        <v>138</v>
      </c>
      <c r="O17" s="100">
        <f>IF(ISERROR(ROUND((#REF!+#REF!)*#REF!,0)),0, ROUND((#REF!+#REF!)*#REF!,0))</f>
        <v>0</v>
      </c>
    </row>
    <row r="18" spans="1:15" ht="84" customHeight="1">
      <c r="A18" s="634"/>
      <c r="B18" s="856" t="s">
        <v>329</v>
      </c>
      <c r="C18" s="856"/>
      <c r="D18" s="869"/>
      <c r="E18" s="870"/>
      <c r="G18" s="101"/>
      <c r="I18" s="389" t="e">
        <f>#REF!/'Sch-1'!Y1</f>
        <v>#REF!</v>
      </c>
      <c r="K18" s="386">
        <f>'[6]Sch-1'!U3</f>
        <v>0</v>
      </c>
      <c r="M18" s="389" t="e">
        <f>I18</f>
        <v>#REF!</v>
      </c>
      <c r="O18" s="86">
        <f>'[6]Sch-1'!U5</f>
        <v>0</v>
      </c>
    </row>
    <row r="19" spans="1:15" ht="33" customHeight="1" thickBot="1">
      <c r="A19" s="635"/>
      <c r="B19" s="636" t="s">
        <v>332</v>
      </c>
      <c r="C19" s="637"/>
      <c r="D19" s="867">
        <f>D15+D17</f>
        <v>0</v>
      </c>
      <c r="E19" s="868"/>
    </row>
    <row r="20" spans="1:15" ht="30" customHeight="1">
      <c r="A20" s="102"/>
      <c r="B20" s="102"/>
      <c r="C20" s="103"/>
      <c r="D20" s="102"/>
      <c r="E20" s="102"/>
    </row>
    <row r="21" spans="1:15" ht="30" customHeight="1">
      <c r="A21" s="104" t="s">
        <v>143</v>
      </c>
      <c r="B21" s="640" t="str">
        <f>'Names of Bidder'!D27&amp;" "&amp;'Names of Bidder'!E27&amp;" "&amp;'Names of Bidder'!F27</f>
        <v xml:space="preserve">  </v>
      </c>
      <c r="C21" s="103" t="s">
        <v>144</v>
      </c>
      <c r="D21" s="865" t="str">
        <f>IF('Names of Bidder'!D24="","",'Names of Bidder'!D24)</f>
        <v/>
      </c>
      <c r="E21" s="866"/>
      <c r="F21" s="105"/>
    </row>
    <row r="22" spans="1:15" ht="30" customHeight="1">
      <c r="A22" s="104" t="s">
        <v>145</v>
      </c>
      <c r="B22" s="714" t="str">
        <f>IF('Names of Bidder'!D28="","",'Names of Bidder'!D28)</f>
        <v/>
      </c>
      <c r="C22" s="103" t="s">
        <v>146</v>
      </c>
      <c r="D22" s="865" t="str">
        <f>IF('Names of Bidder'!D25="","",'Names of Bidder'!D25)</f>
        <v/>
      </c>
      <c r="E22" s="866"/>
      <c r="F22" s="105"/>
    </row>
    <row r="23" spans="1:15" ht="30" customHeight="1">
      <c r="A23" s="106"/>
      <c r="B23" s="107"/>
      <c r="C23" s="103"/>
      <c r="D23" s="85"/>
      <c r="E23" s="85"/>
      <c r="F23" s="105"/>
    </row>
    <row r="24" spans="1:15" ht="33" customHeight="1">
      <c r="A24" s="106"/>
      <c r="B24" s="107"/>
      <c r="C24" s="91"/>
      <c r="D24" s="108"/>
      <c r="E24" s="109"/>
      <c r="F24" s="105"/>
    </row>
    <row r="25" spans="1:15" ht="21.9" customHeight="1">
      <c r="A25" s="110"/>
      <c r="B25" s="110"/>
      <c r="C25" s="110"/>
      <c r="D25" s="110"/>
      <c r="E25" s="111"/>
    </row>
    <row r="26" spans="1:15" ht="21.9" customHeight="1">
      <c r="A26" s="110"/>
      <c r="B26" s="110"/>
      <c r="C26" s="110"/>
      <c r="D26" s="110"/>
      <c r="E26" s="111"/>
    </row>
    <row r="27" spans="1:15" ht="21.9" customHeight="1">
      <c r="A27" s="110"/>
      <c r="B27" s="110"/>
      <c r="C27" s="110"/>
      <c r="D27" s="110"/>
      <c r="E27" s="111"/>
    </row>
    <row r="28" spans="1:15" ht="21.9" customHeight="1">
      <c r="A28" s="110"/>
      <c r="B28" s="110"/>
      <c r="C28" s="110"/>
      <c r="D28" s="110"/>
      <c r="E28" s="111"/>
    </row>
    <row r="29" spans="1:15" ht="21.9" customHeight="1">
      <c r="A29" s="110"/>
      <c r="B29" s="110"/>
      <c r="C29" s="110"/>
      <c r="D29" s="110"/>
      <c r="E29" s="111"/>
    </row>
    <row r="30" spans="1:15" ht="21.9" customHeight="1">
      <c r="A30" s="110"/>
      <c r="B30" s="110"/>
      <c r="C30" s="110"/>
      <c r="D30" s="110"/>
      <c r="E30" s="111"/>
    </row>
    <row r="31" spans="1:15" ht="24.9" customHeight="1">
      <c r="A31" s="109"/>
      <c r="B31" s="109"/>
      <c r="C31" s="109"/>
      <c r="D31" s="109"/>
      <c r="E31" s="109"/>
    </row>
    <row r="32" spans="1:15" ht="24.9" customHeight="1">
      <c r="A32" s="109"/>
      <c r="B32" s="109"/>
      <c r="C32" s="109"/>
      <c r="D32" s="109"/>
      <c r="E32" s="109"/>
    </row>
    <row r="33" spans="1:5" ht="24.9" customHeight="1">
      <c r="A33" s="109"/>
      <c r="B33" s="109"/>
      <c r="C33" s="109"/>
      <c r="D33" s="109"/>
      <c r="E33" s="109"/>
    </row>
    <row r="34" spans="1:5" ht="24.9" customHeight="1">
      <c r="A34" s="109"/>
      <c r="B34" s="109"/>
      <c r="C34" s="109"/>
      <c r="D34" s="109"/>
      <c r="E34" s="109"/>
    </row>
    <row r="35" spans="1:5" ht="24.9" customHeight="1">
      <c r="A35" s="109"/>
      <c r="B35" s="109"/>
      <c r="C35" s="109"/>
      <c r="D35" s="109"/>
      <c r="E35" s="109"/>
    </row>
    <row r="36" spans="1:5" ht="24.9" customHeight="1">
      <c r="A36" s="109"/>
      <c r="B36" s="109"/>
      <c r="C36" s="109"/>
      <c r="D36" s="109"/>
      <c r="E36" s="109"/>
    </row>
    <row r="37" spans="1:5" ht="24.9" customHeight="1">
      <c r="A37" s="109"/>
      <c r="B37" s="109"/>
      <c r="C37" s="109"/>
      <c r="D37" s="109"/>
      <c r="E37" s="109"/>
    </row>
    <row r="38" spans="1:5" ht="24.9" customHeight="1">
      <c r="A38" s="109"/>
      <c r="B38" s="109"/>
      <c r="C38" s="109"/>
      <c r="D38" s="109"/>
      <c r="E38" s="109"/>
    </row>
    <row r="39" spans="1:5" ht="24.9" customHeight="1">
      <c r="A39" s="109"/>
      <c r="B39" s="109"/>
      <c r="C39" s="109"/>
      <c r="D39" s="109"/>
      <c r="E39" s="109"/>
    </row>
    <row r="40" spans="1:5" ht="24.9" customHeight="1">
      <c r="A40" s="109"/>
      <c r="B40" s="109"/>
      <c r="C40" s="109"/>
      <c r="D40" s="109"/>
      <c r="E40" s="109"/>
    </row>
    <row r="41" spans="1:5" ht="24.9" customHeight="1">
      <c r="A41" s="109"/>
      <c r="B41" s="109"/>
      <c r="C41" s="109"/>
      <c r="D41" s="109"/>
      <c r="E41" s="109"/>
    </row>
    <row r="42" spans="1:5" ht="24.9" customHeight="1">
      <c r="A42" s="109"/>
      <c r="B42" s="109"/>
      <c r="C42" s="109"/>
      <c r="D42" s="109"/>
      <c r="E42" s="109"/>
    </row>
    <row r="43" spans="1:5" ht="24.9" customHeight="1">
      <c r="A43" s="109"/>
      <c r="B43" s="109"/>
      <c r="C43" s="109"/>
      <c r="D43" s="109"/>
      <c r="E43" s="109"/>
    </row>
    <row r="44" spans="1:5" ht="24.9" customHeight="1">
      <c r="A44" s="109"/>
      <c r="B44" s="109"/>
      <c r="C44" s="109"/>
      <c r="D44" s="109"/>
      <c r="E44" s="109"/>
    </row>
    <row r="45" spans="1:5" ht="24.9" customHeight="1">
      <c r="A45" s="109"/>
      <c r="B45" s="109"/>
      <c r="C45" s="109"/>
      <c r="D45" s="109"/>
      <c r="E45" s="109"/>
    </row>
    <row r="46" spans="1:5" ht="24.9" customHeight="1">
      <c r="A46" s="109"/>
      <c r="B46" s="109"/>
      <c r="C46" s="109"/>
      <c r="D46" s="109"/>
      <c r="E46" s="109"/>
    </row>
    <row r="47" spans="1:5" ht="24.9" customHeight="1">
      <c r="A47" s="109"/>
      <c r="B47" s="109"/>
      <c r="C47" s="109"/>
      <c r="D47" s="109"/>
      <c r="E47" s="109"/>
    </row>
    <row r="48" spans="1:5" ht="24.9" customHeight="1">
      <c r="A48" s="109"/>
      <c r="B48" s="109"/>
      <c r="C48" s="109"/>
      <c r="D48" s="109"/>
      <c r="E48" s="109"/>
    </row>
    <row r="49" spans="1:5" ht="24.9" customHeight="1">
      <c r="A49" s="109"/>
      <c r="B49" s="109"/>
      <c r="C49" s="109"/>
      <c r="D49" s="109"/>
      <c r="E49" s="109"/>
    </row>
    <row r="50" spans="1:5" ht="24.9" customHeight="1">
      <c r="A50" s="109"/>
      <c r="B50" s="109"/>
      <c r="C50" s="109"/>
      <c r="D50" s="109"/>
      <c r="E50" s="109"/>
    </row>
    <row r="51" spans="1:5" ht="24.9" customHeight="1">
      <c r="A51" s="109"/>
      <c r="B51" s="109"/>
      <c r="C51" s="109"/>
      <c r="D51" s="109"/>
      <c r="E51" s="109"/>
    </row>
    <row r="52" spans="1:5" ht="24.9" customHeight="1">
      <c r="A52" s="109"/>
      <c r="B52" s="109"/>
      <c r="C52" s="109"/>
      <c r="D52" s="109"/>
      <c r="E52" s="109"/>
    </row>
    <row r="53" spans="1:5" ht="24.9"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F8A50AE1-259E-429D-A506-38EB64D134EF}"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{Adil Iqbal Khan}</cp:lastModifiedBy>
  <cp:lastPrinted>2022-07-07T06:53:49Z</cp:lastPrinted>
  <dcterms:created xsi:type="dcterms:W3CDTF">2014-08-12T11:34:40Z</dcterms:created>
  <dcterms:modified xsi:type="dcterms:W3CDTF">2022-12-30T11:55:29Z</dcterms:modified>
</cp:coreProperties>
</file>