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C:\Users\hasrishu\OneDrive - Power Grid Corporation of India Limited\C&amp;M\00 Updating Folder\01 Open Tender\2025-26\2) Diversion of Budhipadar-Korba &amp; Angul-SNG - NHAI\Bid docs\"/>
    </mc:Choice>
  </mc:AlternateContent>
  <xr:revisionPtr revIDLastSave="54" documentId="13_ncr:4800b_{18ED4A63-B4A9-44CB-BD4F-686D65206EB5}" xr6:coauthVersionLast="36" xr6:coauthVersionMax="47" xr10:uidLastSave="{802DF8DD-A2FA-42C5-828C-5BAFC2A0A08B}"/>
  <bookViews>
    <workbookView xWindow="-120" yWindow="-120" windowWidth="29040" windowHeight="15840" tabRatio="875" firstSheet="1" activeTab="11" xr2:uid="{00000000-000D-0000-FFFF-FFFF00000000}"/>
  </bookViews>
  <sheets>
    <sheet name="Basic Data" sheetId="1" state="hidden" r:id="rId1"/>
    <sheet name="Cover" sheetId="2" r:id="rId2"/>
    <sheet name="Instructions" sheetId="3" r:id="rId3"/>
    <sheet name="Names of Bidder" sheetId="25" r:id="rId4"/>
    <sheet name="Sch-1" sheetId="5" r:id="rId5"/>
    <sheet name="Sch-1 Dis" sheetId="6" state="hidden" r:id="rId6"/>
    <sheet name="Sch-2" sheetId="7" r:id="rId7"/>
    <sheet name="Sch-2 Dis" sheetId="8" state="hidden" r:id="rId8"/>
    <sheet name="Sch-3 " sheetId="9" r:id="rId9"/>
    <sheet name="Sch-4" sheetId="10" r:id="rId10"/>
    <sheet name="Sch-4 Dis" sheetId="11" state="hidden" r:id="rId11"/>
    <sheet name="Sch-5" sheetId="12" r:id="rId12"/>
    <sheet name="Sch-5 After Discount" sheetId="13" state="hidden" r:id="rId13"/>
    <sheet name="Sch-6 Dis" sheetId="15" state="hidden" r:id="rId14"/>
    <sheet name="Discount" sheetId="16" state="hidden" r:id="rId15"/>
    <sheet name="Octroi" sheetId="17" state="hidden" r:id="rId16"/>
    <sheet name="Entry Tax" sheetId="18" state="hidden" r:id="rId17"/>
    <sheet name="Other Taxes &amp; Duties" sheetId="19" state="hidden" r:id="rId18"/>
    <sheet name="Bid Form 2nd Envelope" sheetId="20" r:id="rId19"/>
    <sheet name="Q &amp; C" sheetId="21" state="hidden" r:id="rId20"/>
    <sheet name="T &amp; D" sheetId="22" state="hidden" r:id="rId21"/>
    <sheet name="N to W" sheetId="23" state="hidden" r:id="rId22"/>
  </sheets>
  <externalReferences>
    <externalReference r:id="rId23"/>
  </externalReference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ab">#REF!</definedName>
    <definedName name="logo1">"Picture 7"</definedName>
    <definedName name="_xlnm.Print_Area" localSheetId="18">'Bid Form 2nd Envelope'!$A$1:$F$51</definedName>
    <definedName name="_xlnm.Print_Area" localSheetId="1">Cover!$B$1:$E$15</definedName>
    <definedName name="_xlnm.Print_Area" localSheetId="14">Discount!$A$2:$G$41</definedName>
    <definedName name="_xlnm.Print_Area" localSheetId="16">'Entry Tax'!$A$1:$E$16</definedName>
    <definedName name="_xlnm.Print_Area" localSheetId="2">Instructions!$A$1:$C$49</definedName>
    <definedName name="_xlnm.Print_Area" localSheetId="15">Octroi!$A$1:$E$16</definedName>
    <definedName name="_xlnm.Print_Area" localSheetId="17">'Other Taxes &amp; Duties'!$A$1:$F$16</definedName>
    <definedName name="_xlnm.Print_Area" localSheetId="19">'Q &amp; C'!$A$1:$F$43</definedName>
    <definedName name="_xlnm.Print_Area" localSheetId="4">'Sch-1'!$A$1:$N$103</definedName>
    <definedName name="_xlnm.Print_Area" localSheetId="5">'Sch-1 Dis'!$A$1:$H$32</definedName>
    <definedName name="_xlnm.Print_Area" localSheetId="6">'Sch-2'!$A$1:$G$91</definedName>
    <definedName name="_xlnm.Print_Area" localSheetId="7">'Sch-2 Dis'!$A$1:$G$24</definedName>
    <definedName name="_xlnm.Print_Area" localSheetId="8">'Sch-3 '!$A$1:$L$79</definedName>
    <definedName name="_xlnm.Print_Area" localSheetId="9">'Sch-4'!$A$1:$E$40</definedName>
    <definedName name="_xlnm.Print_Area" localSheetId="10">'Sch-4 Dis'!$A$1:$E$44</definedName>
    <definedName name="_xlnm.Print_Area" localSheetId="11">'Sch-5'!$A$1:$D$27</definedName>
    <definedName name="_xlnm.Print_Area" localSheetId="12">'Sch-5 After Discount'!$A$1:$D$32</definedName>
    <definedName name="_xlnm.Print_Area" localSheetId="13">'Sch-6 Dis'!$A$1:$F$28</definedName>
    <definedName name="_xlnm.Print_Area" localSheetId="20">'T &amp; D'!$A$1:$E$12</definedName>
    <definedName name="_xlnm.Print_Titles" localSheetId="4">'Sch-1'!$14:$16</definedName>
    <definedName name="_xlnm.Print_Titles" localSheetId="5">'Sch-1 Dis'!$15:$17</definedName>
    <definedName name="_xlnm.Print_Titles" localSheetId="6">'Sch-2'!$13:$15</definedName>
    <definedName name="_xlnm.Print_Titles" localSheetId="7">'Sch-2 Dis'!$13:$15</definedName>
    <definedName name="_xlnm.Print_Titles" localSheetId="8">'Sch-3 '!$14:$16</definedName>
    <definedName name="_xlnm.Print_Titles" localSheetId="9">'Sch-4'!$3:$13</definedName>
    <definedName name="_xlnm.Print_Titles" localSheetId="10">'Sch-4 Dis'!$3:$13</definedName>
    <definedName name="_xlnm.Print_Titles" localSheetId="11">'Sch-5'!$3:$13</definedName>
    <definedName name="_xlnm.Print_Titles" localSheetId="12">'Sch-5 After Discount'!$3:$13</definedName>
    <definedName name="_xlnm.Print_Titles" localSheetId="13">'Sch-6 Dis'!$14:$14</definedName>
    <definedName name="_xlnm.Recorder">#REF!</definedName>
    <definedName name="TEST">#REF!</definedName>
    <definedName name="Z_01ACF2E1_8E61_4459_ABC1_B6C183DEED61_.wvu.PrintArea" localSheetId="16" hidden="1">'Entry Tax'!$A$1:$E$16</definedName>
    <definedName name="Z_01ACF2E1_8E61_4459_ABC1_B6C183DEED61_.wvu.PrintArea" localSheetId="15" hidden="1">Octroi!$A$1:$E$16</definedName>
    <definedName name="Z_01ACF2E1_8E61_4459_ABC1_B6C183DEED61_.wvu.PrintArea" localSheetId="17" hidden="1">'Other Taxes &amp; Duties'!$A$1:$F$16</definedName>
    <definedName name="Z_08A645C4_A23F_4400_B0CE_1685BC312A6F_.wvu.Cols" localSheetId="14" hidden="1">Discount!$H:$O</definedName>
    <definedName name="Z_08A645C4_A23F_4400_B0CE_1685BC312A6F_.wvu.Cols" localSheetId="4" hidden="1">'Sch-1'!$P:$U</definedName>
    <definedName name="Z_08A645C4_A23F_4400_B0CE_1685BC312A6F_.wvu.Cols" localSheetId="5" hidden="1">'Sch-1 Dis'!$K:$K</definedName>
    <definedName name="Z_08A645C4_A23F_4400_B0CE_1685BC312A6F_.wvu.Cols" localSheetId="6" hidden="1">'Sch-2'!$I:$J</definedName>
    <definedName name="Z_08A645C4_A23F_4400_B0CE_1685BC312A6F_.wvu.Cols" localSheetId="9" hidden="1">'Sch-4'!$G:$G</definedName>
    <definedName name="Z_08A645C4_A23F_4400_B0CE_1685BC312A6F_.wvu.PrintArea" localSheetId="18" hidden="1">'Bid Form 2nd Envelope'!$A$1:$F$51</definedName>
    <definedName name="Z_08A645C4_A23F_4400_B0CE_1685BC312A6F_.wvu.PrintArea" localSheetId="1" hidden="1">Cover!$B$1:$E$15</definedName>
    <definedName name="Z_08A645C4_A23F_4400_B0CE_1685BC312A6F_.wvu.PrintArea" localSheetId="14" hidden="1">Discount!$A$2:$G$41</definedName>
    <definedName name="Z_08A645C4_A23F_4400_B0CE_1685BC312A6F_.wvu.PrintArea" localSheetId="16" hidden="1">'Entry Tax'!$A$1:$E$16</definedName>
    <definedName name="Z_08A645C4_A23F_4400_B0CE_1685BC312A6F_.wvu.PrintArea" localSheetId="2" hidden="1">Instructions!$A$1:$C$49</definedName>
    <definedName name="Z_08A645C4_A23F_4400_B0CE_1685BC312A6F_.wvu.PrintArea" localSheetId="15" hidden="1">Octroi!$A$1:$E$16</definedName>
    <definedName name="Z_08A645C4_A23F_4400_B0CE_1685BC312A6F_.wvu.PrintArea" localSheetId="17" hidden="1">'Other Taxes &amp; Duties'!$A$1:$F$16</definedName>
    <definedName name="Z_08A645C4_A23F_4400_B0CE_1685BC312A6F_.wvu.PrintArea" localSheetId="19" hidden="1">'Q &amp; C'!$A$1:$F$43</definedName>
    <definedName name="Z_08A645C4_A23F_4400_B0CE_1685BC312A6F_.wvu.PrintArea" localSheetId="4" hidden="1">'Sch-1'!$A$1:$N$103</definedName>
    <definedName name="Z_08A645C4_A23F_4400_B0CE_1685BC312A6F_.wvu.PrintArea" localSheetId="5" hidden="1">'Sch-1 Dis'!$A$1:$H$32</definedName>
    <definedName name="Z_08A645C4_A23F_4400_B0CE_1685BC312A6F_.wvu.PrintArea" localSheetId="6" hidden="1">'Sch-2'!$A$1:$G$91</definedName>
    <definedName name="Z_08A645C4_A23F_4400_B0CE_1685BC312A6F_.wvu.PrintArea" localSheetId="7" hidden="1">'Sch-2 Dis'!$A$1:$G$24</definedName>
    <definedName name="Z_08A645C4_A23F_4400_B0CE_1685BC312A6F_.wvu.PrintArea" localSheetId="8" hidden="1">'Sch-3 '!$A$1:$L$81</definedName>
    <definedName name="Z_08A645C4_A23F_4400_B0CE_1685BC312A6F_.wvu.PrintArea" localSheetId="9" hidden="1">'Sch-4'!$A$1:$E$40</definedName>
    <definedName name="Z_08A645C4_A23F_4400_B0CE_1685BC312A6F_.wvu.PrintArea" localSheetId="10" hidden="1">'Sch-4 Dis'!$A$1:$E$44</definedName>
    <definedName name="Z_08A645C4_A23F_4400_B0CE_1685BC312A6F_.wvu.PrintArea" localSheetId="11" hidden="1">'Sch-5'!$A$1:$D$27</definedName>
    <definedName name="Z_08A645C4_A23F_4400_B0CE_1685BC312A6F_.wvu.PrintArea" localSheetId="12" hidden="1">'Sch-5 After Discount'!$A$1:$D$32</definedName>
    <definedName name="Z_08A645C4_A23F_4400_B0CE_1685BC312A6F_.wvu.PrintArea" localSheetId="13" hidden="1">'Sch-6 Dis'!$A$1:$F$28</definedName>
    <definedName name="Z_08A645C4_A23F_4400_B0CE_1685BC312A6F_.wvu.PrintArea" localSheetId="20" hidden="1">'T &amp; D'!$A$1:$E$12</definedName>
    <definedName name="Z_08A645C4_A23F_4400_B0CE_1685BC312A6F_.wvu.PrintTitles" localSheetId="4" hidden="1">'Sch-1'!$14:$16</definedName>
    <definedName name="Z_08A645C4_A23F_4400_B0CE_1685BC312A6F_.wvu.PrintTitles" localSheetId="5" hidden="1">'Sch-1 Dis'!$15:$17</definedName>
    <definedName name="Z_08A645C4_A23F_4400_B0CE_1685BC312A6F_.wvu.PrintTitles" localSheetId="6" hidden="1">'Sch-2'!$13:$15</definedName>
    <definedName name="Z_08A645C4_A23F_4400_B0CE_1685BC312A6F_.wvu.PrintTitles" localSheetId="7" hidden="1">'Sch-2 Dis'!$13:$15</definedName>
    <definedName name="Z_08A645C4_A23F_4400_B0CE_1685BC312A6F_.wvu.PrintTitles" localSheetId="8" hidden="1">'Sch-3 '!$14:$16</definedName>
    <definedName name="Z_08A645C4_A23F_4400_B0CE_1685BC312A6F_.wvu.PrintTitles" localSheetId="9" hidden="1">'Sch-4'!$3:$13</definedName>
    <definedName name="Z_08A645C4_A23F_4400_B0CE_1685BC312A6F_.wvu.PrintTitles" localSheetId="10" hidden="1">'Sch-4 Dis'!$3:$13</definedName>
    <definedName name="Z_08A645C4_A23F_4400_B0CE_1685BC312A6F_.wvu.PrintTitles" localSheetId="11" hidden="1">'Sch-5'!$3:$13</definedName>
    <definedName name="Z_08A645C4_A23F_4400_B0CE_1685BC312A6F_.wvu.PrintTitles" localSheetId="12" hidden="1">'Sch-5 After Discount'!$3:$13</definedName>
    <definedName name="Z_08A645C4_A23F_4400_B0CE_1685BC312A6F_.wvu.PrintTitles" localSheetId="13" hidden="1">'Sch-6 Dis'!$14:$14</definedName>
    <definedName name="Z_08A645C4_A23F_4400_B0CE_1685BC312A6F_.wvu.Rows" localSheetId="0" hidden="1">'Basic Data'!$11:$12,'Basic Data'!$15:$18</definedName>
    <definedName name="Z_08A645C4_A23F_4400_B0CE_1685BC312A6F_.wvu.Rows" localSheetId="18" hidden="1">'Bid Form 2nd Envelope'!$23:$23</definedName>
    <definedName name="Z_08A645C4_A23F_4400_B0CE_1685BC312A6F_.wvu.Rows" localSheetId="1" hidden="1">Cover!$7:$7,Cover!$10:$10</definedName>
    <definedName name="Z_08A645C4_A23F_4400_B0CE_1685BC312A6F_.wvu.Rows" localSheetId="14" hidden="1">Discount!$21:$22,Discount!$27:$28,Discount!$30:$31</definedName>
    <definedName name="Z_08A645C4_A23F_4400_B0CE_1685BC312A6F_.wvu.Rows" localSheetId="2" hidden="1">Instructions!$16:$17,Instructions!$25:$25,Instructions!$31:$31,Instructions!$38:$40</definedName>
    <definedName name="Z_08A645C4_A23F_4400_B0CE_1685BC312A6F_.wvu.Rows" localSheetId="4" hidden="1">'Sch-1'!#REF!</definedName>
    <definedName name="Z_14D7F02E_BCCA_4517_ABC7_537FF4AEB67A_.wvu.PrintArea" localSheetId="2" hidden="1">Instructions!$A$1:$C$49</definedName>
    <definedName name="Z_27A45B7A_04F2_4516_B80B_5ED0825D4ED3_.wvu.PrintArea" localSheetId="2" hidden="1">Instructions!$A$1:$C$49</definedName>
    <definedName name="Z_374BB220_87F1_4A3E_ABA5_7B2BD812CABA_.wvu.PrintArea" localSheetId="2" hidden="1">Instructions!$A$1:$C$49</definedName>
    <definedName name="Z_374BB220_87F1_4A3E_ABA5_7B2BD812CABA_.wvu.Rows" localSheetId="2" hidden="1">Instructions!$25:$25,Instructions!$38:$40</definedName>
    <definedName name="Z_3D662AA8_535D_445A_A535_5FFD33E1146F_.wvu.PrintArea" localSheetId="19" hidden="1">'Q &amp; C'!$A$1:$F$43</definedName>
    <definedName name="Z_420F5FBD_E556_4311_8218_D9BF2725836B_.wvu.PrintArea" localSheetId="19" hidden="1">'Q &amp; C'!$A$1:$F$43</definedName>
    <definedName name="Z_4F65FF32_EC61_4022_A399_2986D7B6B8B3_.wvu.PrintArea" localSheetId="14" hidden="1">Discount!$A$2:$G$39</definedName>
    <definedName name="Z_4F65FF32_EC61_4022_A399_2986D7B6B8B3_.wvu.PrintArea" localSheetId="16" hidden="1">'Entry Tax'!$A$1:$E$16</definedName>
    <definedName name="Z_4F65FF32_EC61_4022_A399_2986D7B6B8B3_.wvu.PrintArea" localSheetId="2" hidden="1">Instructions!$A$1:$C$49</definedName>
    <definedName name="Z_4F65FF32_EC61_4022_A399_2986D7B6B8B3_.wvu.PrintArea" localSheetId="15" hidden="1">Octroi!$A$1:$E$16</definedName>
    <definedName name="Z_4F65FF32_EC61_4022_A399_2986D7B6B8B3_.wvu.PrintArea" localSheetId="17" hidden="1">'Other Taxes &amp; Duties'!$A$1:$F$16</definedName>
    <definedName name="Z_4F65FF32_EC61_4022_A399_2986D7B6B8B3_.wvu.PrintArea" localSheetId="4" hidden="1">'Sch-1'!$A$1:$N$103</definedName>
    <definedName name="Z_4F65FF32_EC61_4022_A399_2986D7B6B8B3_.wvu.PrintArea" localSheetId="5" hidden="1">'Sch-1 Dis'!$A$1:$H$32</definedName>
    <definedName name="Z_4F65FF32_EC61_4022_A399_2986D7B6B8B3_.wvu.PrintArea" localSheetId="6" hidden="1">'Sch-2'!$A$1:$G$91</definedName>
    <definedName name="Z_4F65FF32_EC61_4022_A399_2986D7B6B8B3_.wvu.PrintArea" localSheetId="7" hidden="1">'Sch-2 Dis'!$A$1:$G$24</definedName>
    <definedName name="Z_4F65FF32_EC61_4022_A399_2986D7B6B8B3_.wvu.PrintArea" localSheetId="8" hidden="1">'Sch-3 '!$A$1:$L$81</definedName>
    <definedName name="Z_4F65FF32_EC61_4022_A399_2986D7B6B8B3_.wvu.PrintArea" localSheetId="9" hidden="1">'Sch-4'!$A$1:$E$41</definedName>
    <definedName name="Z_4F65FF32_EC61_4022_A399_2986D7B6B8B3_.wvu.PrintArea" localSheetId="10" hidden="1">'Sch-4 Dis'!$A$1:$E$44</definedName>
    <definedName name="Z_4F65FF32_EC61_4022_A399_2986D7B6B8B3_.wvu.PrintArea" localSheetId="11" hidden="1">'Sch-5'!$A$1:$D$27</definedName>
    <definedName name="Z_4F65FF32_EC61_4022_A399_2986D7B6B8B3_.wvu.PrintArea" localSheetId="12" hidden="1">'Sch-5 After Discount'!$A$1:$D$32</definedName>
    <definedName name="Z_4F65FF32_EC61_4022_A399_2986D7B6B8B3_.wvu.PrintArea" localSheetId="13" hidden="1">'Sch-6 Dis'!$A$1:$F$29</definedName>
    <definedName name="Z_4F65FF32_EC61_4022_A399_2986D7B6B8B3_.wvu.PrintTitles" localSheetId="4" hidden="1">'Sch-1'!$14:$16</definedName>
    <definedName name="Z_4F65FF32_EC61_4022_A399_2986D7B6B8B3_.wvu.PrintTitles" localSheetId="5" hidden="1">'Sch-1 Dis'!$15:$17</definedName>
    <definedName name="Z_4F65FF32_EC61_4022_A399_2986D7B6B8B3_.wvu.PrintTitles" localSheetId="6" hidden="1">'Sch-2'!$13:$15</definedName>
    <definedName name="Z_4F65FF32_EC61_4022_A399_2986D7B6B8B3_.wvu.PrintTitles" localSheetId="7" hidden="1">'Sch-2 Dis'!$13:$15</definedName>
    <definedName name="Z_4F65FF32_EC61_4022_A399_2986D7B6B8B3_.wvu.PrintTitles" localSheetId="8" hidden="1">'Sch-3 '!$14:$16</definedName>
    <definedName name="Z_4F65FF32_EC61_4022_A399_2986D7B6B8B3_.wvu.PrintTitles" localSheetId="9" hidden="1">'Sch-4'!$3:$13</definedName>
    <definedName name="Z_4F65FF32_EC61_4022_A399_2986D7B6B8B3_.wvu.PrintTitles" localSheetId="10" hidden="1">'Sch-4 Dis'!$3:$13</definedName>
    <definedName name="Z_4F65FF32_EC61_4022_A399_2986D7B6B8B3_.wvu.PrintTitles" localSheetId="11" hidden="1">'Sch-5'!$3:$13</definedName>
    <definedName name="Z_4F65FF32_EC61_4022_A399_2986D7B6B8B3_.wvu.PrintTitles" localSheetId="12" hidden="1">'Sch-5 After Discount'!$3:$13</definedName>
    <definedName name="Z_4F65FF32_EC61_4022_A399_2986D7B6B8B3_.wvu.PrintTitles" localSheetId="13" hidden="1">'Sch-6 Dis'!$14:$14</definedName>
    <definedName name="Z_58D82F59_8CF6_455F_B9F4_081499FDF243_.wvu.Cols" localSheetId="14" hidden="1">Discount!$I:$P</definedName>
    <definedName name="Z_58D82F59_8CF6_455F_B9F4_081499FDF243_.wvu.Cols" localSheetId="4" hidden="1">'Sch-1'!$P:$T</definedName>
    <definedName name="Z_58D82F59_8CF6_455F_B9F4_081499FDF243_.wvu.Cols" localSheetId="5" hidden="1">'Sch-1 Dis'!$K:$K</definedName>
    <definedName name="Z_58D82F59_8CF6_455F_B9F4_081499FDF243_.wvu.Cols" localSheetId="6" hidden="1">'Sch-2'!$I:$J</definedName>
    <definedName name="Z_58D82F59_8CF6_455F_B9F4_081499FDF243_.wvu.PrintArea" localSheetId="18" hidden="1">'Bid Form 2nd Envelope'!$A$1:$F$53</definedName>
    <definedName name="Z_58D82F59_8CF6_455F_B9F4_081499FDF243_.wvu.PrintArea" localSheetId="1" hidden="1">Cover!$B$1:$E$15</definedName>
    <definedName name="Z_58D82F59_8CF6_455F_B9F4_081499FDF243_.wvu.PrintArea" localSheetId="14" hidden="1">Discount!$A$2:$G$41</definedName>
    <definedName name="Z_58D82F59_8CF6_455F_B9F4_081499FDF243_.wvu.PrintArea" localSheetId="16" hidden="1">'Entry Tax'!$A$1:$E$16</definedName>
    <definedName name="Z_58D82F59_8CF6_455F_B9F4_081499FDF243_.wvu.PrintArea" localSheetId="15" hidden="1">Octroi!$A$1:$E$16</definedName>
    <definedName name="Z_58D82F59_8CF6_455F_B9F4_081499FDF243_.wvu.PrintArea" localSheetId="17" hidden="1">'Other Taxes &amp; Duties'!$A$1:$F$16</definedName>
    <definedName name="Z_58D82F59_8CF6_455F_B9F4_081499FDF243_.wvu.PrintArea" localSheetId="19" hidden="1">'Q &amp; C'!$A$1:$F$43</definedName>
    <definedName name="Z_58D82F59_8CF6_455F_B9F4_081499FDF243_.wvu.PrintArea" localSheetId="4" hidden="1">'Sch-1'!$A$1:$N$103</definedName>
    <definedName name="Z_58D82F59_8CF6_455F_B9F4_081499FDF243_.wvu.PrintArea" localSheetId="5" hidden="1">'Sch-1 Dis'!$A$1:$H$32</definedName>
    <definedName name="Z_58D82F59_8CF6_455F_B9F4_081499FDF243_.wvu.PrintArea" localSheetId="6" hidden="1">'Sch-2'!$A$1:$G$91</definedName>
    <definedName name="Z_58D82F59_8CF6_455F_B9F4_081499FDF243_.wvu.PrintArea" localSheetId="7" hidden="1">'Sch-2 Dis'!$A$1:$G$24</definedName>
    <definedName name="Z_58D82F59_8CF6_455F_B9F4_081499FDF243_.wvu.PrintArea" localSheetId="8" hidden="1">'Sch-3 '!$A$1:$L$81</definedName>
    <definedName name="Z_58D82F59_8CF6_455F_B9F4_081499FDF243_.wvu.PrintArea" localSheetId="9" hidden="1">'Sch-4'!$A$1:$E$40</definedName>
    <definedName name="Z_58D82F59_8CF6_455F_B9F4_081499FDF243_.wvu.PrintArea" localSheetId="10" hidden="1">'Sch-4 Dis'!$A$1:$E$44</definedName>
    <definedName name="Z_58D82F59_8CF6_455F_B9F4_081499FDF243_.wvu.PrintArea" localSheetId="11" hidden="1">'Sch-5'!$A$1:$D$27</definedName>
    <definedName name="Z_58D82F59_8CF6_455F_B9F4_081499FDF243_.wvu.PrintArea" localSheetId="12" hidden="1">'Sch-5 After Discount'!$A$1:$D$32</definedName>
    <definedName name="Z_58D82F59_8CF6_455F_B9F4_081499FDF243_.wvu.PrintArea" localSheetId="13" hidden="1">'Sch-6 Dis'!$A$1:$F$28</definedName>
    <definedName name="Z_58D82F59_8CF6_455F_B9F4_081499FDF243_.wvu.PrintTitles" localSheetId="4" hidden="1">'Sch-1'!$14:$16</definedName>
    <definedName name="Z_58D82F59_8CF6_455F_B9F4_081499FDF243_.wvu.PrintTitles" localSheetId="5" hidden="1">'Sch-1 Dis'!$15:$17</definedName>
    <definedName name="Z_58D82F59_8CF6_455F_B9F4_081499FDF243_.wvu.PrintTitles" localSheetId="6" hidden="1">'Sch-2'!$13:$15</definedName>
    <definedName name="Z_58D82F59_8CF6_455F_B9F4_081499FDF243_.wvu.PrintTitles" localSheetId="7" hidden="1">'Sch-2 Dis'!$13:$15</definedName>
    <definedName name="Z_58D82F59_8CF6_455F_B9F4_081499FDF243_.wvu.PrintTitles" localSheetId="8" hidden="1">'Sch-3 '!$14:$16</definedName>
    <definedName name="Z_58D82F59_8CF6_455F_B9F4_081499FDF243_.wvu.PrintTitles" localSheetId="9" hidden="1">'Sch-4'!$3:$13</definedName>
    <definedName name="Z_58D82F59_8CF6_455F_B9F4_081499FDF243_.wvu.PrintTitles" localSheetId="10" hidden="1">'Sch-4 Dis'!$3:$13</definedName>
    <definedName name="Z_58D82F59_8CF6_455F_B9F4_081499FDF243_.wvu.PrintTitles" localSheetId="11" hidden="1">'Sch-5'!$3:$13</definedName>
    <definedName name="Z_58D82F59_8CF6_455F_B9F4_081499FDF243_.wvu.PrintTitles" localSheetId="12" hidden="1">'Sch-5 After Discount'!$3:$13</definedName>
    <definedName name="Z_58D82F59_8CF6_455F_B9F4_081499FDF243_.wvu.PrintTitles" localSheetId="13" hidden="1">'Sch-6 Dis'!$14:$14</definedName>
    <definedName name="Z_58D82F59_8CF6_455F_B9F4_081499FDF243_.wvu.Rows" localSheetId="0" hidden="1">'Basic Data'!$11:$12</definedName>
    <definedName name="Z_58D82F59_8CF6_455F_B9F4_081499FDF243_.wvu.Rows" localSheetId="18" hidden="1">'Bid Form 2nd Envelope'!$23:$23</definedName>
    <definedName name="Z_58D82F59_8CF6_455F_B9F4_081499FDF243_.wvu.Rows" localSheetId="1" hidden="1">Cover!$7:$7,Cover!$10:$10</definedName>
    <definedName name="Z_58D82F59_8CF6_455F_B9F4_081499FDF243_.wvu.Rows" localSheetId="14" hidden="1">Discount!$21:$21,Discount!$27:$27</definedName>
    <definedName name="Z_58D82F59_8CF6_455F_B9F4_081499FDF243_.wvu.Rows" localSheetId="4" hidden="1">'Sch-1'!#REF!</definedName>
    <definedName name="Z_59ACD8B6_730E_4199_8297_1160D2A0693D_.wvu.PrintArea" localSheetId="19" hidden="1">'Q &amp; C'!$A$1:$F$43</definedName>
    <definedName name="Z_5C6610A7_30B1_43C5_B47D_FDA0FBB789C6_.wvu.PrintArea" localSheetId="2" hidden="1">Instructions!$A$1:$C$49</definedName>
    <definedName name="Z_606714DA_2176_4491_94C0_B9ECC35CF656_.wvu.PrintArea" localSheetId="2" hidden="1">Instructions!$A$1:$C$49</definedName>
    <definedName name="Z_606714DA_2176_4491_94C0_B9ECC35CF656_.wvu.Rows" localSheetId="2" hidden="1">Instructions!$25:$25,Instructions!$38:$40</definedName>
    <definedName name="Z_696D9240_6693_44E8_B9A4_2BFADD101EE2_.wvu.Cols" localSheetId="14" hidden="1">Discount!$I:$P</definedName>
    <definedName name="Z_696D9240_6693_44E8_B9A4_2BFADD101EE2_.wvu.Cols" localSheetId="4" hidden="1">'Sch-1'!$Q:$S</definedName>
    <definedName name="Z_696D9240_6693_44E8_B9A4_2BFADD101EE2_.wvu.Cols" localSheetId="5" hidden="1">'Sch-1 Dis'!$K:$K</definedName>
    <definedName name="Z_696D9240_6693_44E8_B9A4_2BFADD101EE2_.wvu.Cols" localSheetId="6" hidden="1">'Sch-2'!$I:$J</definedName>
    <definedName name="Z_696D9240_6693_44E8_B9A4_2BFADD101EE2_.wvu.PrintArea" localSheetId="18" hidden="1">'Bid Form 2nd Envelope'!$A$1:$F$57</definedName>
    <definedName name="Z_696D9240_6693_44E8_B9A4_2BFADD101EE2_.wvu.PrintArea" localSheetId="1" hidden="1">Cover!$B$1:$E$15</definedName>
    <definedName name="Z_696D9240_6693_44E8_B9A4_2BFADD101EE2_.wvu.PrintArea" localSheetId="14" hidden="1">Discount!$A$2:$G$41</definedName>
    <definedName name="Z_696D9240_6693_44E8_B9A4_2BFADD101EE2_.wvu.PrintArea" localSheetId="16" hidden="1">'Entry Tax'!$A$1:$E$16</definedName>
    <definedName name="Z_696D9240_6693_44E8_B9A4_2BFADD101EE2_.wvu.PrintArea" localSheetId="15" hidden="1">Octroi!$A$1:$E$16</definedName>
    <definedName name="Z_696D9240_6693_44E8_B9A4_2BFADD101EE2_.wvu.PrintArea" localSheetId="17" hidden="1">'Other Taxes &amp; Duties'!$A$1:$F$16</definedName>
    <definedName name="Z_696D9240_6693_44E8_B9A4_2BFADD101EE2_.wvu.PrintArea" localSheetId="19" hidden="1">'Q &amp; C'!$A$1:$F$43</definedName>
    <definedName name="Z_696D9240_6693_44E8_B9A4_2BFADD101EE2_.wvu.PrintArea" localSheetId="4" hidden="1">'Sch-1'!$A$1:$N$103</definedName>
    <definedName name="Z_696D9240_6693_44E8_B9A4_2BFADD101EE2_.wvu.PrintArea" localSheetId="5" hidden="1">'Sch-1 Dis'!$A$1:$H$32</definedName>
    <definedName name="Z_696D9240_6693_44E8_B9A4_2BFADD101EE2_.wvu.PrintArea" localSheetId="6" hidden="1">'Sch-2'!$A$1:$G$91</definedName>
    <definedName name="Z_696D9240_6693_44E8_B9A4_2BFADD101EE2_.wvu.PrintArea" localSheetId="7" hidden="1">'Sch-2 Dis'!$A$1:$G$24</definedName>
    <definedName name="Z_696D9240_6693_44E8_B9A4_2BFADD101EE2_.wvu.PrintArea" localSheetId="8" hidden="1">'Sch-3 '!$A$1:$L$81</definedName>
    <definedName name="Z_696D9240_6693_44E8_B9A4_2BFADD101EE2_.wvu.PrintArea" localSheetId="9" hidden="1">'Sch-4'!$A$1:$E$40</definedName>
    <definedName name="Z_696D9240_6693_44E8_B9A4_2BFADD101EE2_.wvu.PrintArea" localSheetId="10" hidden="1">'Sch-4 Dis'!$A$1:$E$44</definedName>
    <definedName name="Z_696D9240_6693_44E8_B9A4_2BFADD101EE2_.wvu.PrintArea" localSheetId="11" hidden="1">'Sch-5'!$A$1:$D$27</definedName>
    <definedName name="Z_696D9240_6693_44E8_B9A4_2BFADD101EE2_.wvu.PrintArea" localSheetId="12" hidden="1">'Sch-5 After Discount'!$A$1:$D$32</definedName>
    <definedName name="Z_696D9240_6693_44E8_B9A4_2BFADD101EE2_.wvu.PrintArea" localSheetId="13" hidden="1">'Sch-6 Dis'!$A$1:$F$28</definedName>
    <definedName name="Z_696D9240_6693_44E8_B9A4_2BFADD101EE2_.wvu.PrintTitles" localSheetId="4" hidden="1">'Sch-1'!$14:$16</definedName>
    <definedName name="Z_696D9240_6693_44E8_B9A4_2BFADD101EE2_.wvu.PrintTitles" localSheetId="5" hidden="1">'Sch-1 Dis'!$15:$17</definedName>
    <definedName name="Z_696D9240_6693_44E8_B9A4_2BFADD101EE2_.wvu.PrintTitles" localSheetId="6" hidden="1">'Sch-2'!$13:$15</definedName>
    <definedName name="Z_696D9240_6693_44E8_B9A4_2BFADD101EE2_.wvu.PrintTitles" localSheetId="7" hidden="1">'Sch-2 Dis'!$13:$15</definedName>
    <definedName name="Z_696D9240_6693_44E8_B9A4_2BFADD101EE2_.wvu.PrintTitles" localSheetId="8" hidden="1">'Sch-3 '!$14:$16</definedName>
    <definedName name="Z_696D9240_6693_44E8_B9A4_2BFADD101EE2_.wvu.PrintTitles" localSheetId="9" hidden="1">'Sch-4'!$3:$13</definedName>
    <definedName name="Z_696D9240_6693_44E8_B9A4_2BFADD101EE2_.wvu.PrintTitles" localSheetId="10" hidden="1">'Sch-4 Dis'!$3:$13</definedName>
    <definedName name="Z_696D9240_6693_44E8_B9A4_2BFADD101EE2_.wvu.PrintTitles" localSheetId="11" hidden="1">'Sch-5'!$3:$13</definedName>
    <definedName name="Z_696D9240_6693_44E8_B9A4_2BFADD101EE2_.wvu.PrintTitles" localSheetId="12" hidden="1">'Sch-5 After Discount'!$3:$13</definedName>
    <definedName name="Z_696D9240_6693_44E8_B9A4_2BFADD101EE2_.wvu.PrintTitles" localSheetId="13" hidden="1">'Sch-6 Dis'!$14:$14</definedName>
    <definedName name="Z_696D9240_6693_44E8_B9A4_2BFADD101EE2_.wvu.Rows" localSheetId="0" hidden="1">'Basic Data'!$11:$12</definedName>
    <definedName name="Z_696D9240_6693_44E8_B9A4_2BFADD101EE2_.wvu.Rows" localSheetId="18" hidden="1">'Bid Form 2nd Envelope'!$23:$23</definedName>
    <definedName name="Z_696D9240_6693_44E8_B9A4_2BFADD101EE2_.wvu.Rows" localSheetId="1" hidden="1">Cover!$7:$7,Cover!$10:$10</definedName>
    <definedName name="Z_696D9240_6693_44E8_B9A4_2BFADD101EE2_.wvu.Rows" localSheetId="14" hidden="1">Discount!$21:$21,Discount!$27:$27</definedName>
    <definedName name="Z_696D9240_6693_44E8_B9A4_2BFADD101EE2_.wvu.Rows" localSheetId="4" hidden="1">'Sch-1'!#REF!</definedName>
    <definedName name="Z_6E345679_47E0_4044_94F8_40B7719CE719_.wvu.PrintArea" localSheetId="19" hidden="1">'Q &amp; C'!$A$1:$F$43</definedName>
    <definedName name="Z_9CA44E70_650F_49CD_967F_298619682CA2_.wvu.Cols" localSheetId="14" hidden="1">Discount!$I:$O</definedName>
    <definedName name="Z_9CA44E70_650F_49CD_967F_298619682CA2_.wvu.Cols" localSheetId="4" hidden="1">'Sch-1'!$P:$T</definedName>
    <definedName name="Z_9CA44E70_650F_49CD_967F_298619682CA2_.wvu.Cols" localSheetId="5" hidden="1">'Sch-1 Dis'!$K:$K</definedName>
    <definedName name="Z_9CA44E70_650F_49CD_967F_298619682CA2_.wvu.Cols" localSheetId="6" hidden="1">'Sch-2'!$I:$J</definedName>
    <definedName name="Z_9CA44E70_650F_49CD_967F_298619682CA2_.wvu.PrintArea" localSheetId="18" hidden="1">'Bid Form 2nd Envelope'!$A$1:$F$51</definedName>
    <definedName name="Z_9CA44E70_650F_49CD_967F_298619682CA2_.wvu.PrintArea" localSheetId="1" hidden="1">Cover!$B$1:$E$15</definedName>
    <definedName name="Z_9CA44E70_650F_49CD_967F_298619682CA2_.wvu.PrintArea" localSheetId="14" hidden="1">Discount!$A$2:$G$41</definedName>
    <definedName name="Z_9CA44E70_650F_49CD_967F_298619682CA2_.wvu.PrintArea" localSheetId="16" hidden="1">'Entry Tax'!$A$1:$E$16</definedName>
    <definedName name="Z_9CA44E70_650F_49CD_967F_298619682CA2_.wvu.PrintArea" localSheetId="15" hidden="1">Octroi!$A$1:$E$16</definedName>
    <definedName name="Z_9CA44E70_650F_49CD_967F_298619682CA2_.wvu.PrintArea" localSheetId="17" hidden="1">'Other Taxes &amp; Duties'!$A$1:$F$16</definedName>
    <definedName name="Z_9CA44E70_650F_49CD_967F_298619682CA2_.wvu.PrintArea" localSheetId="19" hidden="1">'Q &amp; C'!$A$1:$F$43</definedName>
    <definedName name="Z_9CA44E70_650F_49CD_967F_298619682CA2_.wvu.PrintArea" localSheetId="4" hidden="1">'Sch-1'!$A$1:$N$103</definedName>
    <definedName name="Z_9CA44E70_650F_49CD_967F_298619682CA2_.wvu.PrintArea" localSheetId="5" hidden="1">'Sch-1 Dis'!$A$1:$H$32</definedName>
    <definedName name="Z_9CA44E70_650F_49CD_967F_298619682CA2_.wvu.PrintArea" localSheetId="6" hidden="1">'Sch-2'!$A$1:$G$91</definedName>
    <definedName name="Z_9CA44E70_650F_49CD_967F_298619682CA2_.wvu.PrintArea" localSheetId="7" hidden="1">'Sch-2 Dis'!$A$1:$G$24</definedName>
    <definedName name="Z_9CA44E70_650F_49CD_967F_298619682CA2_.wvu.PrintArea" localSheetId="8" hidden="1">'Sch-3 '!$A$1:$L$81</definedName>
    <definedName name="Z_9CA44E70_650F_49CD_967F_298619682CA2_.wvu.PrintArea" localSheetId="9" hidden="1">'Sch-4'!$A$1:$E$40</definedName>
    <definedName name="Z_9CA44E70_650F_49CD_967F_298619682CA2_.wvu.PrintArea" localSheetId="10" hidden="1">'Sch-4 Dis'!$A$1:$E$44</definedName>
    <definedName name="Z_9CA44E70_650F_49CD_967F_298619682CA2_.wvu.PrintArea" localSheetId="11" hidden="1">'Sch-5'!$A$1:$D$27</definedName>
    <definedName name="Z_9CA44E70_650F_49CD_967F_298619682CA2_.wvu.PrintArea" localSheetId="12" hidden="1">'Sch-5 After Discount'!$A$1:$D$32</definedName>
    <definedName name="Z_9CA44E70_650F_49CD_967F_298619682CA2_.wvu.PrintArea" localSheetId="13" hidden="1">'Sch-6 Dis'!$A$1:$F$28</definedName>
    <definedName name="Z_9CA44E70_650F_49CD_967F_298619682CA2_.wvu.PrintArea" localSheetId="20" hidden="1">'T &amp; D'!$A$1:$E$12</definedName>
    <definedName name="Z_9CA44E70_650F_49CD_967F_298619682CA2_.wvu.PrintTitles" localSheetId="4" hidden="1">'Sch-1'!$14:$16</definedName>
    <definedName name="Z_9CA44E70_650F_49CD_967F_298619682CA2_.wvu.PrintTitles" localSheetId="5" hidden="1">'Sch-1 Dis'!$15:$17</definedName>
    <definedName name="Z_9CA44E70_650F_49CD_967F_298619682CA2_.wvu.PrintTitles" localSheetId="6" hidden="1">'Sch-2'!$13:$15</definedName>
    <definedName name="Z_9CA44E70_650F_49CD_967F_298619682CA2_.wvu.PrintTitles" localSheetId="7" hidden="1">'Sch-2 Dis'!$13:$15</definedName>
    <definedName name="Z_9CA44E70_650F_49CD_967F_298619682CA2_.wvu.PrintTitles" localSheetId="8" hidden="1">'Sch-3 '!$14:$16</definedName>
    <definedName name="Z_9CA44E70_650F_49CD_967F_298619682CA2_.wvu.PrintTitles" localSheetId="9" hidden="1">'Sch-4'!$3:$13</definedName>
    <definedName name="Z_9CA44E70_650F_49CD_967F_298619682CA2_.wvu.PrintTitles" localSheetId="10" hidden="1">'Sch-4 Dis'!$3:$13</definedName>
    <definedName name="Z_9CA44E70_650F_49CD_967F_298619682CA2_.wvu.PrintTitles" localSheetId="11" hidden="1">'Sch-5'!$3:$13</definedName>
    <definedName name="Z_9CA44E70_650F_49CD_967F_298619682CA2_.wvu.PrintTitles" localSheetId="12" hidden="1">'Sch-5 After Discount'!$3:$13</definedName>
    <definedName name="Z_9CA44E70_650F_49CD_967F_298619682CA2_.wvu.PrintTitles" localSheetId="13" hidden="1">'Sch-6 Dis'!$14:$14</definedName>
    <definedName name="Z_9CA44E70_650F_49CD_967F_298619682CA2_.wvu.Rows" localSheetId="0" hidden="1">'Basic Data'!$11:$12</definedName>
    <definedName name="Z_9CA44E70_650F_49CD_967F_298619682CA2_.wvu.Rows" localSheetId="18" hidden="1">'Bid Form 2nd Envelope'!$23:$23</definedName>
    <definedName name="Z_9CA44E70_650F_49CD_967F_298619682CA2_.wvu.Rows" localSheetId="1" hidden="1">Cover!$7:$7,Cover!$10:$10</definedName>
    <definedName name="Z_9CA44E70_650F_49CD_967F_298619682CA2_.wvu.Rows" localSheetId="14" hidden="1">Discount!$19:$19,Discount!$21:$21,Discount!$25:$25,Discount!$27:$27,Discount!$30:$31</definedName>
    <definedName name="Z_9CA44E70_650F_49CD_967F_298619682CA2_.wvu.Rows" localSheetId="4" hidden="1">'Sch-1'!#REF!</definedName>
    <definedName name="Z_B0EE7D76_5806_4718_BDAD_3A3EA691E5E4_.wvu.Cols" localSheetId="14" hidden="1">Discount!$I:$P</definedName>
    <definedName name="Z_B0EE7D76_5806_4718_BDAD_3A3EA691E5E4_.wvu.Cols" localSheetId="4" hidden="1">'Sch-1'!$P:$T</definedName>
    <definedName name="Z_B0EE7D76_5806_4718_BDAD_3A3EA691E5E4_.wvu.Cols" localSheetId="5" hidden="1">'Sch-1 Dis'!$K:$K</definedName>
    <definedName name="Z_B0EE7D76_5806_4718_BDAD_3A3EA691E5E4_.wvu.Cols" localSheetId="6" hidden="1">'Sch-2'!$I:$J</definedName>
    <definedName name="Z_B0EE7D76_5806_4718_BDAD_3A3EA691E5E4_.wvu.PrintArea" localSheetId="18" hidden="1">'Bid Form 2nd Envelope'!$A$1:$F$53</definedName>
    <definedName name="Z_B0EE7D76_5806_4718_BDAD_3A3EA691E5E4_.wvu.PrintArea" localSheetId="1" hidden="1">Cover!$B$1:$E$15</definedName>
    <definedName name="Z_B0EE7D76_5806_4718_BDAD_3A3EA691E5E4_.wvu.PrintArea" localSheetId="14" hidden="1">Discount!$A$2:$G$41</definedName>
    <definedName name="Z_B0EE7D76_5806_4718_BDAD_3A3EA691E5E4_.wvu.PrintArea" localSheetId="16" hidden="1">'Entry Tax'!$A$1:$E$16</definedName>
    <definedName name="Z_B0EE7D76_5806_4718_BDAD_3A3EA691E5E4_.wvu.PrintArea" localSheetId="15" hidden="1">Octroi!$A$1:$E$16</definedName>
    <definedName name="Z_B0EE7D76_5806_4718_BDAD_3A3EA691E5E4_.wvu.PrintArea" localSheetId="17" hidden="1">'Other Taxes &amp; Duties'!$A$1:$F$16</definedName>
    <definedName name="Z_B0EE7D76_5806_4718_BDAD_3A3EA691E5E4_.wvu.PrintArea" localSheetId="4" hidden="1">'Sch-1'!$A$1:$N$103</definedName>
    <definedName name="Z_B0EE7D76_5806_4718_BDAD_3A3EA691E5E4_.wvu.PrintArea" localSheetId="5" hidden="1">'Sch-1 Dis'!$A$1:$H$32</definedName>
    <definedName name="Z_B0EE7D76_5806_4718_BDAD_3A3EA691E5E4_.wvu.PrintArea" localSheetId="6" hidden="1">'Sch-2'!$A$1:$G$91</definedName>
    <definedName name="Z_B0EE7D76_5806_4718_BDAD_3A3EA691E5E4_.wvu.PrintArea" localSheetId="7" hidden="1">'Sch-2 Dis'!$A$1:$G$24</definedName>
    <definedName name="Z_B0EE7D76_5806_4718_BDAD_3A3EA691E5E4_.wvu.PrintArea" localSheetId="8" hidden="1">'Sch-3 '!$A$1:$L$81</definedName>
    <definedName name="Z_B0EE7D76_5806_4718_BDAD_3A3EA691E5E4_.wvu.PrintArea" localSheetId="9" hidden="1">'Sch-4'!$A$1:$E$40</definedName>
    <definedName name="Z_B0EE7D76_5806_4718_BDAD_3A3EA691E5E4_.wvu.PrintArea" localSheetId="10" hidden="1">'Sch-4 Dis'!$A$1:$E$44</definedName>
    <definedName name="Z_B0EE7D76_5806_4718_BDAD_3A3EA691E5E4_.wvu.PrintArea" localSheetId="11" hidden="1">'Sch-5'!$A$1:$D$27</definedName>
    <definedName name="Z_B0EE7D76_5806_4718_BDAD_3A3EA691E5E4_.wvu.PrintArea" localSheetId="12" hidden="1">'Sch-5 After Discount'!$A$1:$D$32</definedName>
    <definedName name="Z_B0EE7D76_5806_4718_BDAD_3A3EA691E5E4_.wvu.PrintArea" localSheetId="13" hidden="1">'Sch-6 Dis'!$A$1:$F$28</definedName>
    <definedName name="Z_B0EE7D76_5806_4718_BDAD_3A3EA691E5E4_.wvu.PrintTitles" localSheetId="4" hidden="1">'Sch-1'!$14:$16</definedName>
    <definedName name="Z_B0EE7D76_5806_4718_BDAD_3A3EA691E5E4_.wvu.PrintTitles" localSheetId="5" hidden="1">'Sch-1 Dis'!$15:$17</definedName>
    <definedName name="Z_B0EE7D76_5806_4718_BDAD_3A3EA691E5E4_.wvu.PrintTitles" localSheetId="6" hidden="1">'Sch-2'!$13:$15</definedName>
    <definedName name="Z_B0EE7D76_5806_4718_BDAD_3A3EA691E5E4_.wvu.PrintTitles" localSheetId="7" hidden="1">'Sch-2 Dis'!$13:$15</definedName>
    <definedName name="Z_B0EE7D76_5806_4718_BDAD_3A3EA691E5E4_.wvu.PrintTitles" localSheetId="8" hidden="1">'Sch-3 '!$14:$16</definedName>
    <definedName name="Z_B0EE7D76_5806_4718_BDAD_3A3EA691E5E4_.wvu.PrintTitles" localSheetId="9" hidden="1">'Sch-4'!$3:$13</definedName>
    <definedName name="Z_B0EE7D76_5806_4718_BDAD_3A3EA691E5E4_.wvu.PrintTitles" localSheetId="10" hidden="1">'Sch-4 Dis'!$3:$13</definedName>
    <definedName name="Z_B0EE7D76_5806_4718_BDAD_3A3EA691E5E4_.wvu.PrintTitles" localSheetId="11" hidden="1">'Sch-5'!$3:$13</definedName>
    <definedName name="Z_B0EE7D76_5806_4718_BDAD_3A3EA691E5E4_.wvu.PrintTitles" localSheetId="12" hidden="1">'Sch-5 After Discount'!$3:$13</definedName>
    <definedName name="Z_B0EE7D76_5806_4718_BDAD_3A3EA691E5E4_.wvu.PrintTitles" localSheetId="13" hidden="1">'Sch-6 Dis'!$14:$14</definedName>
    <definedName name="Z_B0EE7D76_5806_4718_BDAD_3A3EA691E5E4_.wvu.Rows" localSheetId="0" hidden="1">'Basic Data'!$11:$12</definedName>
    <definedName name="Z_B0EE7D76_5806_4718_BDAD_3A3EA691E5E4_.wvu.Rows" localSheetId="18" hidden="1">'Bid Form 2nd Envelope'!$23:$23</definedName>
    <definedName name="Z_B0EE7D76_5806_4718_BDAD_3A3EA691E5E4_.wvu.Rows" localSheetId="1" hidden="1">Cover!$7:$7,Cover!$10:$10</definedName>
    <definedName name="Z_B0EE7D76_5806_4718_BDAD_3A3EA691E5E4_.wvu.Rows" localSheetId="14" hidden="1">Discount!$21:$21,Discount!$27:$27</definedName>
    <definedName name="Z_B0EE7D76_5806_4718_BDAD_3A3EA691E5E4_.wvu.Rows" localSheetId="4" hidden="1">'Sch-1'!#REF!</definedName>
    <definedName name="Z_B1277D53_29D6_4226_81E2_084FB62977B6_.wvu.Cols" localSheetId="14" hidden="1">Discount!$I:$P</definedName>
    <definedName name="Z_B1277D53_29D6_4226_81E2_084FB62977B6_.wvu.Cols" localSheetId="4" hidden="1">'Sch-1'!$P:$T</definedName>
    <definedName name="Z_B1277D53_29D6_4226_81E2_084FB62977B6_.wvu.Cols" localSheetId="5" hidden="1">'Sch-1 Dis'!$K:$K</definedName>
    <definedName name="Z_B1277D53_29D6_4226_81E2_084FB62977B6_.wvu.Cols" localSheetId="6" hidden="1">'Sch-2'!$I:$J</definedName>
    <definedName name="Z_B1277D53_29D6_4226_81E2_084FB62977B6_.wvu.PrintArea" localSheetId="18" hidden="1">'Bid Form 2nd Envelope'!$A$1:$F$51</definedName>
    <definedName name="Z_B1277D53_29D6_4226_81E2_084FB62977B6_.wvu.PrintArea" localSheetId="1" hidden="1">Cover!$B$1:$E$15</definedName>
    <definedName name="Z_B1277D53_29D6_4226_81E2_084FB62977B6_.wvu.PrintArea" localSheetId="14" hidden="1">Discount!$A$2:$G$41</definedName>
    <definedName name="Z_B1277D53_29D6_4226_81E2_084FB62977B6_.wvu.PrintArea" localSheetId="16" hidden="1">'Entry Tax'!$A$1:$E$16</definedName>
    <definedName name="Z_B1277D53_29D6_4226_81E2_084FB62977B6_.wvu.PrintArea" localSheetId="15" hidden="1">Octroi!$A$1:$E$16</definedName>
    <definedName name="Z_B1277D53_29D6_4226_81E2_084FB62977B6_.wvu.PrintArea" localSheetId="17" hidden="1">'Other Taxes &amp; Duties'!$A$1:$F$16</definedName>
    <definedName name="Z_B1277D53_29D6_4226_81E2_084FB62977B6_.wvu.PrintArea" localSheetId="19" hidden="1">'Q &amp; C'!$A$1:$F$43</definedName>
    <definedName name="Z_B1277D53_29D6_4226_81E2_084FB62977B6_.wvu.PrintArea" localSheetId="4" hidden="1">'Sch-1'!$A$1:$N$103</definedName>
    <definedName name="Z_B1277D53_29D6_4226_81E2_084FB62977B6_.wvu.PrintArea" localSheetId="5" hidden="1">'Sch-1 Dis'!$A$1:$H$32</definedName>
    <definedName name="Z_B1277D53_29D6_4226_81E2_084FB62977B6_.wvu.PrintArea" localSheetId="6" hidden="1">'Sch-2'!$A$1:$G$91</definedName>
    <definedName name="Z_B1277D53_29D6_4226_81E2_084FB62977B6_.wvu.PrintArea" localSheetId="7" hidden="1">'Sch-2 Dis'!$A$1:$G$24</definedName>
    <definedName name="Z_B1277D53_29D6_4226_81E2_084FB62977B6_.wvu.PrintArea" localSheetId="8" hidden="1">'Sch-3 '!$A$1:$L$81</definedName>
    <definedName name="Z_B1277D53_29D6_4226_81E2_084FB62977B6_.wvu.PrintArea" localSheetId="9" hidden="1">'Sch-4'!$A$1:$E$40</definedName>
    <definedName name="Z_B1277D53_29D6_4226_81E2_084FB62977B6_.wvu.PrintArea" localSheetId="10" hidden="1">'Sch-4 Dis'!$A$1:$E$44</definedName>
    <definedName name="Z_B1277D53_29D6_4226_81E2_084FB62977B6_.wvu.PrintArea" localSheetId="11" hidden="1">'Sch-5'!$A$1:$D$27</definedName>
    <definedName name="Z_B1277D53_29D6_4226_81E2_084FB62977B6_.wvu.PrintArea" localSheetId="12" hidden="1">'Sch-5 After Discount'!$A$1:$D$32</definedName>
    <definedName name="Z_B1277D53_29D6_4226_81E2_084FB62977B6_.wvu.PrintArea" localSheetId="13" hidden="1">'Sch-6 Dis'!$A$1:$F$28</definedName>
    <definedName name="Z_B1277D53_29D6_4226_81E2_084FB62977B6_.wvu.PrintArea" localSheetId="20" hidden="1">'T &amp; D'!$A$1:$E$12</definedName>
    <definedName name="Z_B1277D53_29D6_4226_81E2_084FB62977B6_.wvu.PrintTitles" localSheetId="4" hidden="1">'Sch-1'!$14:$16</definedName>
    <definedName name="Z_B1277D53_29D6_4226_81E2_084FB62977B6_.wvu.PrintTitles" localSheetId="5" hidden="1">'Sch-1 Dis'!$15:$17</definedName>
    <definedName name="Z_B1277D53_29D6_4226_81E2_084FB62977B6_.wvu.PrintTitles" localSheetId="6" hidden="1">'Sch-2'!$13:$15</definedName>
    <definedName name="Z_B1277D53_29D6_4226_81E2_084FB62977B6_.wvu.PrintTitles" localSheetId="7" hidden="1">'Sch-2 Dis'!$13:$15</definedName>
    <definedName name="Z_B1277D53_29D6_4226_81E2_084FB62977B6_.wvu.PrintTitles" localSheetId="8" hidden="1">'Sch-3 '!$14:$16</definedName>
    <definedName name="Z_B1277D53_29D6_4226_81E2_084FB62977B6_.wvu.PrintTitles" localSheetId="9" hidden="1">'Sch-4'!$3:$13</definedName>
    <definedName name="Z_B1277D53_29D6_4226_81E2_084FB62977B6_.wvu.PrintTitles" localSheetId="10" hidden="1">'Sch-4 Dis'!$3:$13</definedName>
    <definedName name="Z_B1277D53_29D6_4226_81E2_084FB62977B6_.wvu.PrintTitles" localSheetId="11" hidden="1">'Sch-5'!$3:$13</definedName>
    <definedName name="Z_B1277D53_29D6_4226_81E2_084FB62977B6_.wvu.PrintTitles" localSheetId="12" hidden="1">'Sch-5 After Discount'!$3:$13</definedName>
    <definedName name="Z_B1277D53_29D6_4226_81E2_084FB62977B6_.wvu.PrintTitles" localSheetId="13" hidden="1">'Sch-6 Dis'!$14:$14</definedName>
    <definedName name="Z_B1277D53_29D6_4226_81E2_084FB62977B6_.wvu.Rows" localSheetId="0" hidden="1">'Basic Data'!$11:$12</definedName>
    <definedName name="Z_B1277D53_29D6_4226_81E2_084FB62977B6_.wvu.Rows" localSheetId="18" hidden="1">'Bid Form 2nd Envelope'!$23:$23</definedName>
    <definedName name="Z_B1277D53_29D6_4226_81E2_084FB62977B6_.wvu.Rows" localSheetId="1" hidden="1">Cover!$7:$7,Cover!$10:$10</definedName>
    <definedName name="Z_B1277D53_29D6_4226_81E2_084FB62977B6_.wvu.Rows" localSheetId="14" hidden="1">Discount!$21:$21,Discount!$27:$27</definedName>
    <definedName name="Z_B1277D53_29D6_4226_81E2_084FB62977B6_.wvu.Rows" localSheetId="4" hidden="1">'Sch-1'!#REF!</definedName>
    <definedName name="Z_C39F923C_6CD3_45D8_86F8_6C4D806DDD7E_.wvu.Cols" localSheetId="14" hidden="1">Discount!$I:$P</definedName>
    <definedName name="Z_C39F923C_6CD3_45D8_86F8_6C4D806DDD7E_.wvu.Cols" localSheetId="4" hidden="1">'Sch-1'!$P:$T</definedName>
    <definedName name="Z_C39F923C_6CD3_45D8_86F8_6C4D806DDD7E_.wvu.Cols" localSheetId="5" hidden="1">'Sch-1 Dis'!$K:$K</definedName>
    <definedName name="Z_C39F923C_6CD3_45D8_86F8_6C4D806DDD7E_.wvu.Cols" localSheetId="6" hidden="1">'Sch-2'!$I:$J</definedName>
    <definedName name="Z_C39F923C_6CD3_45D8_86F8_6C4D806DDD7E_.wvu.PrintArea" localSheetId="18" hidden="1">'Bid Form 2nd Envelope'!$A$1:$F$51</definedName>
    <definedName name="Z_C39F923C_6CD3_45D8_86F8_6C4D806DDD7E_.wvu.PrintArea" localSheetId="1" hidden="1">Cover!$B$1:$E$15</definedName>
    <definedName name="Z_C39F923C_6CD3_45D8_86F8_6C4D806DDD7E_.wvu.PrintArea" localSheetId="14" hidden="1">Discount!$A$2:$G$41</definedName>
    <definedName name="Z_C39F923C_6CD3_45D8_86F8_6C4D806DDD7E_.wvu.PrintArea" localSheetId="16" hidden="1">'Entry Tax'!$A$1:$E$16</definedName>
    <definedName name="Z_C39F923C_6CD3_45D8_86F8_6C4D806DDD7E_.wvu.PrintArea" localSheetId="15" hidden="1">Octroi!$A$1:$E$16</definedName>
    <definedName name="Z_C39F923C_6CD3_45D8_86F8_6C4D806DDD7E_.wvu.PrintArea" localSheetId="17" hidden="1">'Other Taxes &amp; Duties'!$A$1:$F$16</definedName>
    <definedName name="Z_C39F923C_6CD3_45D8_86F8_6C4D806DDD7E_.wvu.PrintArea" localSheetId="19" hidden="1">'Q &amp; C'!$A$1:$F$43</definedName>
    <definedName name="Z_C39F923C_6CD3_45D8_86F8_6C4D806DDD7E_.wvu.PrintArea" localSheetId="4" hidden="1">'Sch-1'!$A$1:$N$103</definedName>
    <definedName name="Z_C39F923C_6CD3_45D8_86F8_6C4D806DDD7E_.wvu.PrintArea" localSheetId="5" hidden="1">'Sch-1 Dis'!$A$1:$H$32</definedName>
    <definedName name="Z_C39F923C_6CD3_45D8_86F8_6C4D806DDD7E_.wvu.PrintArea" localSheetId="6" hidden="1">'Sch-2'!$A$1:$G$91</definedName>
    <definedName name="Z_C39F923C_6CD3_45D8_86F8_6C4D806DDD7E_.wvu.PrintArea" localSheetId="7" hidden="1">'Sch-2 Dis'!$A$1:$G$24</definedName>
    <definedName name="Z_C39F923C_6CD3_45D8_86F8_6C4D806DDD7E_.wvu.PrintArea" localSheetId="8" hidden="1">'Sch-3 '!$A$1:$L$81</definedName>
    <definedName name="Z_C39F923C_6CD3_45D8_86F8_6C4D806DDD7E_.wvu.PrintArea" localSheetId="9" hidden="1">'Sch-4'!$A$1:$E$40</definedName>
    <definedName name="Z_C39F923C_6CD3_45D8_86F8_6C4D806DDD7E_.wvu.PrintArea" localSheetId="10" hidden="1">'Sch-4 Dis'!$A$1:$E$44</definedName>
    <definedName name="Z_C39F923C_6CD3_45D8_86F8_6C4D806DDD7E_.wvu.PrintArea" localSheetId="11" hidden="1">'Sch-5'!$A$1:$D$27</definedName>
    <definedName name="Z_C39F923C_6CD3_45D8_86F8_6C4D806DDD7E_.wvu.PrintArea" localSheetId="12" hidden="1">'Sch-5 After Discount'!$A$1:$D$32</definedName>
    <definedName name="Z_C39F923C_6CD3_45D8_86F8_6C4D806DDD7E_.wvu.PrintArea" localSheetId="13" hidden="1">'Sch-6 Dis'!$A$1:$F$28</definedName>
    <definedName name="Z_C39F923C_6CD3_45D8_86F8_6C4D806DDD7E_.wvu.PrintArea" localSheetId="20" hidden="1">'T &amp; D'!$A$1:$E$12</definedName>
    <definedName name="Z_C39F923C_6CD3_45D8_86F8_6C4D806DDD7E_.wvu.PrintTitles" localSheetId="4" hidden="1">'Sch-1'!$14:$16</definedName>
    <definedName name="Z_C39F923C_6CD3_45D8_86F8_6C4D806DDD7E_.wvu.PrintTitles" localSheetId="5" hidden="1">'Sch-1 Dis'!$15:$17</definedName>
    <definedName name="Z_C39F923C_6CD3_45D8_86F8_6C4D806DDD7E_.wvu.PrintTitles" localSheetId="6" hidden="1">'Sch-2'!$13:$15</definedName>
    <definedName name="Z_C39F923C_6CD3_45D8_86F8_6C4D806DDD7E_.wvu.PrintTitles" localSheetId="7" hidden="1">'Sch-2 Dis'!$13:$15</definedName>
    <definedName name="Z_C39F923C_6CD3_45D8_86F8_6C4D806DDD7E_.wvu.PrintTitles" localSheetId="8" hidden="1">'Sch-3 '!$14:$16</definedName>
    <definedName name="Z_C39F923C_6CD3_45D8_86F8_6C4D806DDD7E_.wvu.PrintTitles" localSheetId="9" hidden="1">'Sch-4'!$3:$13</definedName>
    <definedName name="Z_C39F923C_6CD3_45D8_86F8_6C4D806DDD7E_.wvu.PrintTitles" localSheetId="10" hidden="1">'Sch-4 Dis'!$3:$13</definedName>
    <definedName name="Z_C39F923C_6CD3_45D8_86F8_6C4D806DDD7E_.wvu.PrintTitles" localSheetId="11" hidden="1">'Sch-5'!$3:$13</definedName>
    <definedName name="Z_C39F923C_6CD3_45D8_86F8_6C4D806DDD7E_.wvu.PrintTitles" localSheetId="12" hidden="1">'Sch-5 After Discount'!$3:$13</definedName>
    <definedName name="Z_C39F923C_6CD3_45D8_86F8_6C4D806DDD7E_.wvu.PrintTitles" localSheetId="13" hidden="1">'Sch-6 Dis'!$14:$14</definedName>
    <definedName name="Z_C39F923C_6CD3_45D8_86F8_6C4D806DDD7E_.wvu.Rows" localSheetId="0" hidden="1">'Basic Data'!$11:$12</definedName>
    <definedName name="Z_C39F923C_6CD3_45D8_86F8_6C4D806DDD7E_.wvu.Rows" localSheetId="18" hidden="1">'Bid Form 2nd Envelope'!$23:$23</definedName>
    <definedName name="Z_C39F923C_6CD3_45D8_86F8_6C4D806DDD7E_.wvu.Rows" localSheetId="1" hidden="1">Cover!$7:$7,Cover!$10:$10</definedName>
    <definedName name="Z_C39F923C_6CD3_45D8_86F8_6C4D806DDD7E_.wvu.Rows" localSheetId="14" hidden="1">Discount!$21:$21,Discount!$27:$27</definedName>
    <definedName name="Z_C39F923C_6CD3_45D8_86F8_6C4D806DDD7E_.wvu.Rows" localSheetId="4" hidden="1">'Sch-1'!#REF!</definedName>
    <definedName name="Z_E95B21C1_D936_4435_AF6F_90CF0B6A7506_.wvu.Cols" localSheetId="14" hidden="1">Discount!$I:$P</definedName>
    <definedName name="Z_E95B21C1_D936_4435_AF6F_90CF0B6A7506_.wvu.Cols" localSheetId="4" hidden="1">'Sch-1'!$P:$T</definedName>
    <definedName name="Z_E95B21C1_D936_4435_AF6F_90CF0B6A7506_.wvu.Cols" localSheetId="5" hidden="1">'Sch-1 Dis'!$K:$K</definedName>
    <definedName name="Z_E95B21C1_D936_4435_AF6F_90CF0B6A7506_.wvu.Cols" localSheetId="6" hidden="1">'Sch-2'!$I:$J</definedName>
    <definedName name="Z_E95B21C1_D936_4435_AF6F_90CF0B6A7506_.wvu.PrintArea" localSheetId="18" hidden="1">'Bid Form 2nd Envelope'!$A$1:$F$51</definedName>
    <definedName name="Z_E95B21C1_D936_4435_AF6F_90CF0B6A7506_.wvu.PrintArea" localSheetId="1" hidden="1">Cover!$B$1:$E$15</definedName>
    <definedName name="Z_E95B21C1_D936_4435_AF6F_90CF0B6A7506_.wvu.PrintArea" localSheetId="14" hidden="1">Discount!$A$2:$G$41</definedName>
    <definedName name="Z_E95B21C1_D936_4435_AF6F_90CF0B6A7506_.wvu.PrintArea" localSheetId="16" hidden="1">'Entry Tax'!$A$1:$E$16</definedName>
    <definedName name="Z_E95B21C1_D936_4435_AF6F_90CF0B6A7506_.wvu.PrintArea" localSheetId="15" hidden="1">Octroi!$A$1:$E$16</definedName>
    <definedName name="Z_E95B21C1_D936_4435_AF6F_90CF0B6A7506_.wvu.PrintArea" localSheetId="17" hidden="1">'Other Taxes &amp; Duties'!$A$1:$F$16</definedName>
    <definedName name="Z_E95B21C1_D936_4435_AF6F_90CF0B6A7506_.wvu.PrintArea" localSheetId="19" hidden="1">'Q &amp; C'!$A$1:$F$43</definedName>
    <definedName name="Z_E95B21C1_D936_4435_AF6F_90CF0B6A7506_.wvu.PrintArea" localSheetId="4" hidden="1">'Sch-1'!$A$1:$N$103</definedName>
    <definedName name="Z_E95B21C1_D936_4435_AF6F_90CF0B6A7506_.wvu.PrintArea" localSheetId="5" hidden="1">'Sch-1 Dis'!$A$1:$H$32</definedName>
    <definedName name="Z_E95B21C1_D936_4435_AF6F_90CF0B6A7506_.wvu.PrintArea" localSheetId="6" hidden="1">'Sch-2'!$A$1:$G$91</definedName>
    <definedName name="Z_E95B21C1_D936_4435_AF6F_90CF0B6A7506_.wvu.PrintArea" localSheetId="7" hidden="1">'Sch-2 Dis'!$A$1:$G$24</definedName>
    <definedName name="Z_E95B21C1_D936_4435_AF6F_90CF0B6A7506_.wvu.PrintArea" localSheetId="8" hidden="1">'Sch-3 '!$A$1:$L$81</definedName>
    <definedName name="Z_E95B21C1_D936_4435_AF6F_90CF0B6A7506_.wvu.PrintArea" localSheetId="9" hidden="1">'Sch-4'!$A$1:$E$40</definedName>
    <definedName name="Z_E95B21C1_D936_4435_AF6F_90CF0B6A7506_.wvu.PrintArea" localSheetId="10" hidden="1">'Sch-4 Dis'!$A$1:$E$44</definedName>
    <definedName name="Z_E95B21C1_D936_4435_AF6F_90CF0B6A7506_.wvu.PrintArea" localSheetId="11" hidden="1">'Sch-5'!$A$1:$D$27</definedName>
    <definedName name="Z_E95B21C1_D936_4435_AF6F_90CF0B6A7506_.wvu.PrintArea" localSheetId="12" hidden="1">'Sch-5 After Discount'!$A$1:$D$32</definedName>
    <definedName name="Z_E95B21C1_D936_4435_AF6F_90CF0B6A7506_.wvu.PrintArea" localSheetId="13" hidden="1">'Sch-6 Dis'!$A$1:$F$28</definedName>
    <definedName name="Z_E95B21C1_D936_4435_AF6F_90CF0B6A7506_.wvu.PrintArea" localSheetId="20" hidden="1">'T &amp; D'!$A$1:$E$12</definedName>
    <definedName name="Z_E95B21C1_D936_4435_AF6F_90CF0B6A7506_.wvu.PrintTitles" localSheetId="4" hidden="1">'Sch-1'!$14:$16</definedName>
    <definedName name="Z_E95B21C1_D936_4435_AF6F_90CF0B6A7506_.wvu.PrintTitles" localSheetId="5" hidden="1">'Sch-1 Dis'!$15:$17</definedName>
    <definedName name="Z_E95B21C1_D936_4435_AF6F_90CF0B6A7506_.wvu.PrintTitles" localSheetId="6" hidden="1">'Sch-2'!$13:$15</definedName>
    <definedName name="Z_E95B21C1_D936_4435_AF6F_90CF0B6A7506_.wvu.PrintTitles" localSheetId="7" hidden="1">'Sch-2 Dis'!$13:$15</definedName>
    <definedName name="Z_E95B21C1_D936_4435_AF6F_90CF0B6A7506_.wvu.PrintTitles" localSheetId="8" hidden="1">'Sch-3 '!$14:$16</definedName>
    <definedName name="Z_E95B21C1_D936_4435_AF6F_90CF0B6A7506_.wvu.PrintTitles" localSheetId="9" hidden="1">'Sch-4'!$3:$13</definedName>
    <definedName name="Z_E95B21C1_D936_4435_AF6F_90CF0B6A7506_.wvu.PrintTitles" localSheetId="10" hidden="1">'Sch-4 Dis'!$3:$13</definedName>
    <definedName name="Z_E95B21C1_D936_4435_AF6F_90CF0B6A7506_.wvu.PrintTitles" localSheetId="11" hidden="1">'Sch-5'!$3:$13</definedName>
    <definedName name="Z_E95B21C1_D936_4435_AF6F_90CF0B6A7506_.wvu.PrintTitles" localSheetId="12" hidden="1">'Sch-5 After Discount'!$3:$13</definedName>
    <definedName name="Z_E95B21C1_D936_4435_AF6F_90CF0B6A7506_.wvu.PrintTitles" localSheetId="13" hidden="1">'Sch-6 Dis'!$14:$14</definedName>
    <definedName name="Z_E95B21C1_D936_4435_AF6F_90CF0B6A7506_.wvu.Rows" localSheetId="0" hidden="1">'Basic Data'!$11:$12</definedName>
    <definedName name="Z_E95B21C1_D936_4435_AF6F_90CF0B6A7506_.wvu.Rows" localSheetId="18" hidden="1">'Bid Form 2nd Envelope'!$23:$23</definedName>
    <definedName name="Z_E95B21C1_D936_4435_AF6F_90CF0B6A7506_.wvu.Rows" localSheetId="1" hidden="1">Cover!$7:$7,Cover!$10:$10</definedName>
    <definedName name="Z_E95B21C1_D936_4435_AF6F_90CF0B6A7506_.wvu.Rows" localSheetId="14" hidden="1">Discount!$21:$21,Discount!$27:$27</definedName>
    <definedName name="Z_E95B21C1_D936_4435_AF6F_90CF0B6A7506_.wvu.Rows" localSheetId="4" hidden="1">'Sch-1'!#REF!</definedName>
    <definedName name="Z_F51A1875_E3DE_4601_ADCE_E0FEEC04A5F8_.wvu.PrintArea" localSheetId="2" hidden="1">Instructions!$A$1:$C$49</definedName>
  </definedNames>
  <calcPr calcId="191029"/>
  <customWorkbookViews>
    <customWorkbookView name="20587 - Personal View" guid="{9CA44E70-650F-49CD-967F-298619682CA2}" mergeInterval="0" personalView="1" maximized="1" xWindow="1" yWindow="1" windowWidth="1362" windowHeight="538" tabRatio="875" activeSheetId="2"/>
    <customWorkbookView name="sanjoy das - Personal View" guid="{C39F923C-6CD3-45D8-86F8-6C4D806DDD7E}" mergeInterval="0" personalView="1" maximized="1" xWindow="1" yWindow="1" windowWidth="1280" windowHeight="762" activeSheetId="16"/>
    <customWorkbookView name="admin - Personal View" guid="{B1277D53-29D6-4226-81E2-084FB62977B6}" mergeInterval="0" personalView="1" maximized="1" xWindow="1" yWindow="1" windowWidth="1024" windowHeight="538" activeSheetId="2"/>
    <customWorkbookView name="01209 - Personal View" guid="{58D82F59-8CF6-455F-B9F4-081499FDF243}" mergeInterval="0" personalView="1" maximized="1" xWindow="1" yWindow="1" windowWidth="1366" windowHeight="538" activeSheetId="2" showComments="commIndAndComment"/>
    <customWorkbookView name="20074 - Personal View" guid="{4F65FF32-EC61-4022-A399-2986D7B6B8B3}" mergeInterval="0" personalView="1" maximized="1" windowWidth="1020" windowHeight="568" activeSheetId="1"/>
    <customWorkbookView name="00398 - Personal View" guid="{696D9240-6693-44E8-B9A4-2BFADD101EE2}" mergeInterval="0" personalView="1" maximized="1" xWindow="1" yWindow="1" windowWidth="1366" windowHeight="538" activeSheetId="2"/>
    <customWorkbookView name="Ajay - Personal View" guid="{B0EE7D76-5806-4718-BDAD-3A3EA691E5E4}" mergeInterval="0" personalView="1" maximized="1" xWindow="1" yWindow="1" windowWidth="1280" windowHeight="547" activeSheetId="12"/>
    <customWorkbookView name="01487 - Personal View" guid="{E95B21C1-D936-4435-AF6F-90CF0B6A7506}" mergeInterval="0" personalView="1" maximized="1" windowWidth="1362" windowHeight="509" activeSheetId="20"/>
    <customWorkbookView name="65005 - Personal View" guid="{08A645C4-A23F-4400-B0CE-1685BC312A6F}" mergeInterval="0" personalView="1" maximized="1" windowWidth="1362" windowHeight="543" tabRatio="875" activeSheetId="20"/>
  </customWorkbookViews>
</workbook>
</file>

<file path=xl/calcChain.xml><?xml version="1.0" encoding="utf-8"?>
<calcChain xmlns="http://schemas.openxmlformats.org/spreadsheetml/2006/main">
  <c r="D34" i="10" l="1"/>
  <c r="L73" i="9"/>
  <c r="K73" i="9"/>
  <c r="L72" i="9"/>
  <c r="K72" i="9"/>
  <c r="L71" i="9"/>
  <c r="K71" i="9"/>
  <c r="L70" i="9"/>
  <c r="K70" i="9"/>
  <c r="L68" i="9"/>
  <c r="K68" i="9" s="1"/>
  <c r="L66" i="9"/>
  <c r="K66" i="9"/>
  <c r="L65" i="9"/>
  <c r="K65" i="9" s="1"/>
  <c r="L64" i="9"/>
  <c r="K64" i="9"/>
  <c r="L63" i="9"/>
  <c r="K63" i="9"/>
  <c r="L62" i="9"/>
  <c r="K62" i="9"/>
  <c r="L60" i="9"/>
  <c r="K60" i="9"/>
  <c r="L58" i="9"/>
  <c r="K58" i="9"/>
  <c r="L57" i="9"/>
  <c r="K57" i="9" s="1"/>
  <c r="L56" i="9"/>
  <c r="K56" i="9" s="1"/>
  <c r="L55" i="9"/>
  <c r="K55" i="9"/>
  <c r="L53" i="9"/>
  <c r="K53" i="9" s="1"/>
  <c r="L52" i="9"/>
  <c r="K52" i="9"/>
  <c r="L49" i="9"/>
  <c r="K49" i="9"/>
  <c r="L44" i="9"/>
  <c r="K44" i="9"/>
  <c r="L43" i="9"/>
  <c r="K43" i="9"/>
  <c r="L42" i="9"/>
  <c r="K42" i="9"/>
  <c r="L40" i="9"/>
  <c r="K40" i="9" s="1"/>
  <c r="L38" i="9"/>
  <c r="K38" i="9"/>
  <c r="L37" i="9"/>
  <c r="K37" i="9" s="1"/>
  <c r="L36" i="9"/>
  <c r="K36" i="9"/>
  <c r="L35" i="9"/>
  <c r="K35" i="9"/>
  <c r="L34" i="9"/>
  <c r="K34" i="9"/>
  <c r="L32" i="9"/>
  <c r="K32" i="9"/>
  <c r="L30" i="9"/>
  <c r="K30" i="9" s="1"/>
  <c r="L29" i="9"/>
  <c r="K29" i="9"/>
  <c r="L28" i="9"/>
  <c r="K28" i="9"/>
  <c r="L27" i="9"/>
  <c r="K27" i="9" s="1"/>
  <c r="L25" i="9"/>
  <c r="K25" i="9" s="1"/>
  <c r="L24" i="9"/>
  <c r="K24" i="9"/>
  <c r="L21" i="9"/>
  <c r="K21" i="9"/>
  <c r="M91" i="5"/>
  <c r="L91" i="5"/>
  <c r="G89" i="7"/>
  <c r="G88" i="7"/>
  <c r="G87" i="7"/>
  <c r="G86" i="7"/>
  <c r="G85" i="7"/>
  <c r="G83" i="7"/>
  <c r="G82" i="7"/>
  <c r="G81" i="7"/>
  <c r="G80" i="7"/>
  <c r="G78" i="7"/>
  <c r="G77" i="7"/>
  <c r="G75" i="7"/>
  <c r="G74" i="7"/>
  <c r="G72" i="7"/>
  <c r="G71" i="7"/>
  <c r="G70" i="7"/>
  <c r="G69" i="7"/>
  <c r="G68" i="7"/>
  <c r="G66" i="7"/>
  <c r="G64" i="7"/>
  <c r="G63" i="7"/>
  <c r="G61" i="7"/>
  <c r="G60" i="7"/>
  <c r="G58" i="7"/>
  <c r="G53" i="7"/>
  <c r="G52" i="7"/>
  <c r="G51" i="7"/>
  <c r="G50" i="7"/>
  <c r="G49" i="7"/>
  <c r="G47" i="7"/>
  <c r="G46" i="7"/>
  <c r="G45" i="7"/>
  <c r="G44" i="7"/>
  <c r="G42" i="7"/>
  <c r="G41" i="7"/>
  <c r="G40" i="7"/>
  <c r="G38" i="7"/>
  <c r="G37" i="7"/>
  <c r="G35" i="7"/>
  <c r="G34" i="7"/>
  <c r="G33" i="7"/>
  <c r="G32" i="7"/>
  <c r="G31" i="7"/>
  <c r="G29" i="7"/>
  <c r="G27" i="7"/>
  <c r="G26" i="7"/>
  <c r="G24" i="7"/>
  <c r="G23" i="7"/>
  <c r="G21" i="7"/>
  <c r="M90" i="5"/>
  <c r="L90" i="5"/>
  <c r="M89" i="5"/>
  <c r="L89" i="5"/>
  <c r="M88" i="5"/>
  <c r="L88" i="5"/>
  <c r="M87" i="5"/>
  <c r="L87" i="5"/>
  <c r="M86" i="5"/>
  <c r="L86" i="5"/>
  <c r="M84" i="5"/>
  <c r="L84" i="5"/>
  <c r="M83" i="5"/>
  <c r="L83" i="5"/>
  <c r="M82" i="5"/>
  <c r="L82" i="5"/>
  <c r="M81" i="5"/>
  <c r="L81" i="5"/>
  <c r="M79" i="5"/>
  <c r="L79" i="5" s="1"/>
  <c r="M78" i="5"/>
  <c r="L78" i="5"/>
  <c r="M76" i="5"/>
  <c r="L76" i="5"/>
  <c r="M75" i="5"/>
  <c r="L75" i="5"/>
  <c r="M73" i="5"/>
  <c r="L73" i="5"/>
  <c r="M72" i="5"/>
  <c r="L72" i="5"/>
  <c r="M71" i="5"/>
  <c r="L71" i="5"/>
  <c r="M70" i="5"/>
  <c r="L70" i="5"/>
  <c r="M69" i="5"/>
  <c r="L69" i="5"/>
  <c r="M67" i="5"/>
  <c r="L67" i="5"/>
  <c r="M65" i="5"/>
  <c r="L65" i="5"/>
  <c r="M64" i="5"/>
  <c r="L64" i="5"/>
  <c r="M62" i="5"/>
  <c r="L62" i="5"/>
  <c r="M61" i="5"/>
  <c r="L61" i="5"/>
  <c r="M59" i="5"/>
  <c r="L59" i="5"/>
  <c r="M54" i="5"/>
  <c r="L54" i="5" s="1"/>
  <c r="M53" i="5"/>
  <c r="L53" i="5" s="1"/>
  <c r="M52" i="5"/>
  <c r="L52" i="5" s="1"/>
  <c r="M51" i="5"/>
  <c r="L51" i="5"/>
  <c r="M50" i="5"/>
  <c r="L50" i="5" s="1"/>
  <c r="M48" i="5"/>
  <c r="L48" i="5"/>
  <c r="M47" i="5"/>
  <c r="L47" i="5"/>
  <c r="M46" i="5"/>
  <c r="L46" i="5"/>
  <c r="M45" i="5"/>
  <c r="L45" i="5" s="1"/>
  <c r="M43" i="5"/>
  <c r="L43" i="5" s="1"/>
  <c r="M42" i="5"/>
  <c r="L42" i="5" s="1"/>
  <c r="M41" i="5"/>
  <c r="L41" i="5" s="1"/>
  <c r="M39" i="5"/>
  <c r="L39" i="5" s="1"/>
  <c r="M38" i="5"/>
  <c r="L38" i="5" s="1"/>
  <c r="M36" i="5"/>
  <c r="L36" i="5" s="1"/>
  <c r="M35" i="5"/>
  <c r="L35" i="5"/>
  <c r="M34" i="5"/>
  <c r="L34" i="5"/>
  <c r="M33" i="5"/>
  <c r="L33" i="5" s="1"/>
  <c r="M32" i="5"/>
  <c r="L32" i="5"/>
  <c r="M30" i="5"/>
  <c r="L30" i="5"/>
  <c r="M28" i="5"/>
  <c r="L28" i="5"/>
  <c r="M27" i="5"/>
  <c r="L27" i="5" s="1"/>
  <c r="M25" i="5"/>
  <c r="L25" i="5" s="1"/>
  <c r="M24" i="5"/>
  <c r="L24" i="5"/>
  <c r="M22" i="5"/>
  <c r="L22" i="5"/>
  <c r="L47" i="9" l="1"/>
  <c r="K47" i="9" s="1"/>
  <c r="L19" i="9"/>
  <c r="K19" i="9" s="1"/>
  <c r="G57" i="7"/>
  <c r="G20" i="7"/>
  <c r="G90" i="7" s="1"/>
  <c r="M58" i="5"/>
  <c r="L58" i="5" s="1"/>
  <c r="M21" i="5"/>
  <c r="L21" i="5" s="1"/>
  <c r="B1" i="25" l="1"/>
  <c r="B2" i="25"/>
  <c r="B42" i="20"/>
  <c r="B41" i="20"/>
  <c r="B25" i="12"/>
  <c r="B24" i="12"/>
  <c r="B39" i="10"/>
  <c r="B38" i="10"/>
  <c r="C79" i="9"/>
  <c r="C78" i="9"/>
  <c r="B96" i="7"/>
  <c r="B95" i="7"/>
  <c r="M102" i="5"/>
  <c r="F40" i="16" s="1"/>
  <c r="M101" i="5"/>
  <c r="D29" i="13" s="1"/>
  <c r="A7" i="5"/>
  <c r="A7" i="11" s="1"/>
  <c r="C10" i="5"/>
  <c r="C10" i="9" s="1"/>
  <c r="C11" i="5"/>
  <c r="B11" i="12" s="1"/>
  <c r="C9" i="5"/>
  <c r="C9" i="9" s="1"/>
  <c r="C8" i="5"/>
  <c r="B8" i="12" s="1"/>
  <c r="B7" i="25"/>
  <c r="B2" i="2"/>
  <c r="A3" i="6" s="1"/>
  <c r="M93" i="5"/>
  <c r="M95" i="5" s="1"/>
  <c r="F31" i="21" s="1"/>
  <c r="F32" i="21" s="1"/>
  <c r="F14" i="21" s="1"/>
  <c r="F8" i="9"/>
  <c r="B12" i="7"/>
  <c r="AC17" i="20"/>
  <c r="B17" i="20" s="1"/>
  <c r="AB17" i="20"/>
  <c r="L94" i="5"/>
  <c r="M94" i="5"/>
  <c r="B102" i="5"/>
  <c r="B101" i="5"/>
  <c r="B11" i="15"/>
  <c r="B3" i="2"/>
  <c r="A1" i="5" s="1"/>
  <c r="A1" i="3"/>
  <c r="J24" i="16"/>
  <c r="H1" i="22"/>
  <c r="J24" i="21"/>
  <c r="I24" i="21" s="1"/>
  <c r="I1" i="22" s="1"/>
  <c r="K18" i="6"/>
  <c r="G19" i="6" s="1"/>
  <c r="C16" i="11"/>
  <c r="K14" i="11" s="1"/>
  <c r="H2" i="22"/>
  <c r="J25" i="21"/>
  <c r="I25" i="21" s="1"/>
  <c r="I2" i="22" s="1"/>
  <c r="H3" i="22"/>
  <c r="J26" i="21"/>
  <c r="I26" i="21" s="1"/>
  <c r="I3" i="22" s="1"/>
  <c r="H4" i="22"/>
  <c r="H5" i="22"/>
  <c r="F9" i="21"/>
  <c r="D21" i="21"/>
  <c r="F21" i="21" s="1"/>
  <c r="G26" i="21"/>
  <c r="G3" i="22" s="1"/>
  <c r="G27" i="21"/>
  <c r="G4" i="22"/>
  <c r="G28" i="21"/>
  <c r="G5" i="22" s="1"/>
  <c r="Z1" i="20"/>
  <c r="A8" i="20"/>
  <c r="A9" i="20"/>
  <c r="A10" i="20"/>
  <c r="A11" i="20"/>
  <c r="A12" i="20"/>
  <c r="A13" i="20"/>
  <c r="B21" i="20"/>
  <c r="B22" i="20"/>
  <c r="B23" i="20"/>
  <c r="H23" i="20"/>
  <c r="B24" i="20"/>
  <c r="B25" i="20"/>
  <c r="B29" i="13"/>
  <c r="F6" i="19"/>
  <c r="F7" i="19"/>
  <c r="F8" i="19"/>
  <c r="F9" i="19"/>
  <c r="F10" i="19"/>
  <c r="F11" i="19"/>
  <c r="F12" i="19"/>
  <c r="F13" i="19"/>
  <c r="F14" i="19"/>
  <c r="F15" i="19"/>
  <c r="E6" i="18"/>
  <c r="E7" i="18"/>
  <c r="E8" i="18"/>
  <c r="E9" i="18"/>
  <c r="E10" i="18"/>
  <c r="E11" i="18"/>
  <c r="E12" i="18"/>
  <c r="E13" i="18"/>
  <c r="E14" i="18"/>
  <c r="E15" i="18"/>
  <c r="E6" i="17"/>
  <c r="E7" i="17"/>
  <c r="E8" i="17"/>
  <c r="E9" i="17"/>
  <c r="E10" i="17"/>
  <c r="E11" i="17"/>
  <c r="E12" i="17"/>
  <c r="E13" i="17"/>
  <c r="E14" i="17"/>
  <c r="E15" i="17"/>
  <c r="J16" i="16"/>
  <c r="J21" i="16"/>
  <c r="J25" i="16"/>
  <c r="J26" i="16"/>
  <c r="J27" i="16"/>
  <c r="J28" i="16"/>
  <c r="J31" i="16"/>
  <c r="O4" i="15"/>
  <c r="O5" i="15"/>
  <c r="A6" i="15"/>
  <c r="O6" i="15"/>
  <c r="O8" i="15"/>
  <c r="A16" i="15"/>
  <c r="B16" i="15"/>
  <c r="C16" i="15"/>
  <c r="D16" i="15"/>
  <c r="A17" i="15"/>
  <c r="B17" i="15"/>
  <c r="C17" i="15"/>
  <c r="D17" i="15"/>
  <c r="A18" i="15"/>
  <c r="B18" i="15"/>
  <c r="C18" i="15"/>
  <c r="D18" i="15"/>
  <c r="A19" i="15"/>
  <c r="B19" i="15"/>
  <c r="C19" i="15"/>
  <c r="D19" i="15"/>
  <c r="A20" i="15"/>
  <c r="B20" i="15"/>
  <c r="C20" i="15"/>
  <c r="D20" i="15"/>
  <c r="N21" i="15"/>
  <c r="O22" i="15" s="1"/>
  <c r="A6" i="13"/>
  <c r="B15" i="13"/>
  <c r="D22" i="13"/>
  <c r="D26" i="13"/>
  <c r="A6" i="12"/>
  <c r="A6" i="11"/>
  <c r="C21" i="11"/>
  <c r="C26" i="11"/>
  <c r="A6" i="10"/>
  <c r="G14" i="10"/>
  <c r="K14" i="10"/>
  <c r="G15" i="10"/>
  <c r="G16" i="10"/>
  <c r="G17" i="10"/>
  <c r="A6" i="9"/>
  <c r="S73" i="9"/>
  <c r="A6" i="8"/>
  <c r="A16" i="8"/>
  <c r="B16" i="8"/>
  <c r="C16" i="8"/>
  <c r="D16" i="8"/>
  <c r="A17" i="8"/>
  <c r="A6" i="7"/>
  <c r="A7" i="6"/>
  <c r="B8" i="6"/>
  <c r="B9" i="6"/>
  <c r="B10" i="6"/>
  <c r="B11" i="6"/>
  <c r="A18" i="6"/>
  <c r="B18" i="6"/>
  <c r="C18" i="6"/>
  <c r="D18" i="6"/>
  <c r="E18" i="6"/>
  <c r="H18" i="6"/>
  <c r="B29" i="6"/>
  <c r="B30" i="6"/>
  <c r="G30" i="6"/>
  <c r="G31" i="6"/>
  <c r="Z2" i="20"/>
  <c r="E16" i="8"/>
  <c r="F16" i="8"/>
  <c r="G16" i="8" s="1"/>
  <c r="G17" i="8" s="1"/>
  <c r="M103" i="5"/>
  <c r="I19" i="16" s="1"/>
  <c r="J19" i="16" s="1"/>
  <c r="C23" i="10"/>
  <c r="D20" i="10" s="1"/>
  <c r="K20" i="10" s="1"/>
  <c r="G22" i="10"/>
  <c r="G23" i="10" s="1"/>
  <c r="G24" i="10" s="1"/>
  <c r="G25" i="10" s="1"/>
  <c r="I18" i="16"/>
  <c r="J18" i="16" s="1"/>
  <c r="D8" i="21"/>
  <c r="D10" i="21" s="1"/>
  <c r="F78" i="9"/>
  <c r="B21" i="8"/>
  <c r="F79" i="9"/>
  <c r="B42" i="11"/>
  <c r="C40" i="16"/>
  <c r="B26" i="15"/>
  <c r="D7" i="21"/>
  <c r="F7" i="21" s="1"/>
  <c r="I24" i="16"/>
  <c r="D6" i="21"/>
  <c r="F6" i="21"/>
  <c r="O7" i="15"/>
  <c r="O3" i="15"/>
  <c r="O9" i="15" s="1"/>
  <c r="K16" i="10"/>
  <c r="C39" i="16"/>
  <c r="B41" i="11"/>
  <c r="B28" i="13"/>
  <c r="B25" i="15"/>
  <c r="B20" i="8"/>
  <c r="B6" i="20"/>
  <c r="AG9" i="20" s="1"/>
  <c r="B8" i="13"/>
  <c r="D4" i="21"/>
  <c r="B8" i="11"/>
  <c r="B9" i="11"/>
  <c r="B10" i="13"/>
  <c r="F10" i="9"/>
  <c r="B8" i="15"/>
  <c r="B10" i="11"/>
  <c r="F39" i="20"/>
  <c r="B10" i="15"/>
  <c r="B8" i="8"/>
  <c r="B10" i="8"/>
  <c r="G37" i="16"/>
  <c r="B9" i="15"/>
  <c r="B9" i="13"/>
  <c r="F11" i="9"/>
  <c r="B9" i="8"/>
  <c r="F9" i="9"/>
  <c r="B11" i="11"/>
  <c r="B11" i="8"/>
  <c r="B11" i="13"/>
  <c r="E20" i="15"/>
  <c r="F20" i="15"/>
  <c r="E19" i="15"/>
  <c r="F19" i="15" s="1"/>
  <c r="E18" i="15"/>
  <c r="F18" i="15" s="1"/>
  <c r="I22" i="16"/>
  <c r="J22" i="16" s="1"/>
  <c r="I28" i="16"/>
  <c r="F18" i="6"/>
  <c r="G18" i="6" s="1"/>
  <c r="E17" i="15"/>
  <c r="F17" i="15" s="1"/>
  <c r="F21" i="15" s="1"/>
  <c r="G22" i="6" s="1"/>
  <c r="G20" i="6"/>
  <c r="L93" i="5"/>
  <c r="L95" i="5" s="1"/>
  <c r="D19" i="10" s="1"/>
  <c r="A1" i="10"/>
  <c r="A1" i="20"/>
  <c r="A1" i="12"/>
  <c r="A1" i="23"/>
  <c r="A9" i="23" s="1"/>
  <c r="B9" i="23" s="1"/>
  <c r="D9" i="23" s="1"/>
  <c r="A7" i="23"/>
  <c r="B7" i="23"/>
  <c r="D7" i="23" s="1"/>
  <c r="B9" i="10" l="1"/>
  <c r="A7" i="9"/>
  <c r="A7" i="15"/>
  <c r="D26" i="12"/>
  <c r="B10" i="7"/>
  <c r="E43" i="11"/>
  <c r="B10" i="12"/>
  <c r="G96" i="7"/>
  <c r="D30" i="13"/>
  <c r="A7" i="13"/>
  <c r="A7" i="7"/>
  <c r="A7" i="10"/>
  <c r="A7" i="12"/>
  <c r="A7" i="8"/>
  <c r="F42" i="20"/>
  <c r="B10" i="10"/>
  <c r="L79" i="9"/>
  <c r="G22" i="8"/>
  <c r="E40" i="10"/>
  <c r="F27" i="15"/>
  <c r="B11" i="10"/>
  <c r="G21" i="8"/>
  <c r="B11" i="7"/>
  <c r="E42" i="11"/>
  <c r="C11" i="9"/>
  <c r="AG6" i="20"/>
  <c r="A3" i="15"/>
  <c r="A43" i="21"/>
  <c r="A1" i="13"/>
  <c r="A1" i="11"/>
  <c r="A1" i="6"/>
  <c r="A1" i="7"/>
  <c r="E16" i="18"/>
  <c r="D28" i="10" s="1"/>
  <c r="D30" i="11" s="1"/>
  <c r="A8" i="23"/>
  <c r="B8" i="23" s="1"/>
  <c r="D8" i="23" s="1"/>
  <c r="C8" i="9"/>
  <c r="B9" i="12"/>
  <c r="A3" i="9"/>
  <c r="F8" i="21"/>
  <c r="F10" i="21" s="1"/>
  <c r="F16" i="19"/>
  <c r="D31" i="10" s="1"/>
  <c r="J3" i="22"/>
  <c r="L78" i="9"/>
  <c r="A3" i="8"/>
  <c r="J2" i="22"/>
  <c r="A3" i="7"/>
  <c r="B9" i="7"/>
  <c r="D25" i="12"/>
  <c r="J1" i="22"/>
  <c r="E16" i="17"/>
  <c r="D25" i="10" s="1"/>
  <c r="D27" i="11" s="1"/>
  <c r="C12" i="16"/>
  <c r="I16" i="16"/>
  <c r="D14" i="12"/>
  <c r="D33" i="11"/>
  <c r="D18" i="21"/>
  <c r="L28" i="21" s="1"/>
  <c r="N17" i="15"/>
  <c r="D17" i="10"/>
  <c r="G25" i="21" s="1"/>
  <c r="D17" i="21"/>
  <c r="L27" i="21" s="1"/>
  <c r="D14" i="11"/>
  <c r="G21" i="6"/>
  <c r="G23" i="6" s="1"/>
  <c r="A6" i="23"/>
  <c r="B6" i="23" s="1"/>
  <c r="AG7" i="20"/>
  <c r="AG8" i="20" s="1"/>
  <c r="A11" i="23"/>
  <c r="B11" i="23" s="1"/>
  <c r="D11" i="23" s="1"/>
  <c r="A10" i="23"/>
  <c r="B10" i="23" s="1"/>
  <c r="D10" i="23" s="1"/>
  <c r="F26" i="15"/>
  <c r="F41" i="20"/>
  <c r="A4" i="23"/>
  <c r="B8" i="7"/>
  <c r="D18" i="12"/>
  <c r="A2" i="16"/>
  <c r="G95" i="7"/>
  <c r="I25" i="16"/>
  <c r="B8" i="10"/>
  <c r="E39" i="10"/>
  <c r="D15" i="10"/>
  <c r="A1" i="8"/>
  <c r="F39" i="16"/>
  <c r="A1" i="9"/>
  <c r="A1" i="15"/>
  <c r="A3" i="5"/>
  <c r="A3" i="12"/>
  <c r="A3" i="11"/>
  <c r="A3" i="10"/>
  <c r="A3" i="13"/>
  <c r="C15" i="20"/>
  <c r="D20" i="12" l="1"/>
  <c r="D16" i="12"/>
  <c r="D22" i="12" s="1"/>
  <c r="I26" i="16"/>
  <c r="I31" i="16"/>
  <c r="I29" i="16"/>
  <c r="J29" i="16" s="1"/>
  <c r="I15" i="16"/>
  <c r="J15" i="16" s="1"/>
  <c r="O22" i="16" s="1"/>
  <c r="D19" i="13" s="1"/>
  <c r="I20" i="16"/>
  <c r="J20" i="16" s="1"/>
  <c r="H11" i="21"/>
  <c r="D11" i="21" s="1"/>
  <c r="F11" i="21" s="1"/>
  <c r="F12" i="21" s="1"/>
  <c r="D14" i="21"/>
  <c r="D36" i="11"/>
  <c r="G2" i="22"/>
  <c r="G24" i="21"/>
  <c r="K28" i="21"/>
  <c r="F36" i="21"/>
  <c r="F18" i="21" s="1"/>
  <c r="L5" i="22"/>
  <c r="L4" i="22"/>
  <c r="K27" i="21"/>
  <c r="F22" i="12" l="1"/>
  <c r="O19" i="16"/>
  <c r="S15" i="5" s="1"/>
  <c r="O18" i="16"/>
  <c r="D21" i="13" s="1"/>
  <c r="O20" i="16"/>
  <c r="D17" i="13" s="1"/>
  <c r="D12" i="21"/>
  <c r="G1" i="22"/>
  <c r="B27" i="21"/>
  <c r="K4" i="22"/>
  <c r="D7" i="22" s="1"/>
  <c r="K5" i="22"/>
  <c r="D8" i="22" s="1"/>
  <c r="B28" i="21"/>
  <c r="D19" i="21"/>
  <c r="D20" i="21" s="1"/>
  <c r="L24" i="21"/>
  <c r="D15" i="13" l="1"/>
  <c r="D25" i="13" s="1"/>
  <c r="S14" i="5"/>
  <c r="C19" i="11" s="1"/>
  <c r="D33" i="21" s="1"/>
  <c r="F33" i="21" s="1"/>
  <c r="I15" i="7"/>
  <c r="L1" i="22"/>
  <c r="K24" i="21"/>
  <c r="C24" i="11" l="1"/>
  <c r="C25" i="11" s="1"/>
  <c r="D22" i="11" s="1"/>
  <c r="C20" i="11"/>
  <c r="D17" i="11" s="1"/>
  <c r="D15" i="21" s="1"/>
  <c r="L25" i="21" s="1"/>
  <c r="K1" i="22"/>
  <c r="D4" i="22" s="1"/>
  <c r="B24" i="21"/>
  <c r="F34" i="21"/>
  <c r="F35" i="21"/>
  <c r="F16" i="21" s="1"/>
  <c r="K17" i="11" l="1"/>
  <c r="K22" i="11"/>
  <c r="D16" i="21"/>
  <c r="L26" i="21" s="1"/>
  <c r="F15" i="21"/>
  <c r="F19" i="21" s="1"/>
  <c r="F20" i="21" s="1"/>
  <c r="F37" i="21"/>
  <c r="F38" i="21" s="1"/>
  <c r="F17" i="21" s="1"/>
  <c r="K25" i="21"/>
  <c r="L2" i="22"/>
  <c r="K2" i="22" l="1"/>
  <c r="D5" i="22" s="1"/>
  <c r="B25" i="21"/>
  <c r="K26" i="21"/>
  <c r="L3" i="22"/>
  <c r="K3" i="22" l="1"/>
  <c r="D6" i="22" s="1"/>
  <c r="B26" i="21"/>
</calcChain>
</file>

<file path=xl/sharedStrings.xml><?xml version="1.0" encoding="utf-8"?>
<sst xmlns="http://schemas.openxmlformats.org/spreadsheetml/2006/main" count="1485" uniqueCount="616">
  <si>
    <t xml:space="preserve"> or such other sums as may be determined in accordance with the terms and conditions of the Bidding Documents.</t>
  </si>
  <si>
    <t>st</t>
  </si>
  <si>
    <t>nd</t>
  </si>
  <si>
    <t>rd</t>
  </si>
  <si>
    <t>th</t>
  </si>
  <si>
    <t>January</t>
  </si>
  <si>
    <t>February</t>
  </si>
  <si>
    <t>March</t>
  </si>
  <si>
    <t>April</t>
  </si>
  <si>
    <t>May</t>
  </si>
  <si>
    <t>June</t>
  </si>
  <si>
    <t>July</t>
  </si>
  <si>
    <t>August</t>
  </si>
  <si>
    <t>September</t>
  </si>
  <si>
    <t>October</t>
  </si>
  <si>
    <t>November</t>
  </si>
  <si>
    <t>December</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</si>
  <si>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</si>
  <si>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</si>
  <si>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</si>
  <si>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</si>
  <si>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</si>
  <si>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</si>
  <si>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</si>
  <si>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</si>
  <si>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</si>
  <si>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</si>
  <si>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</si>
  <si>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</si>
  <si>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</si>
  <si>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</si>
  <si>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</si>
  <si>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</si>
  <si>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</si>
  <si>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</si>
  <si>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</si>
  <si>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</si>
  <si>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Two</t>
  </si>
  <si>
    <t>Twenty One</t>
  </si>
  <si>
    <t>Twenty Three</t>
  </si>
  <si>
    <t>Twenty Four</t>
  </si>
  <si>
    <t>Twenty Six</t>
  </si>
  <si>
    <t>Twenty Five</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</si>
  <si>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</si>
  <si>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</si>
  <si>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</si>
  <si>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</si>
  <si>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</si>
  <si>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</si>
  <si>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</si>
  <si>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</si>
  <si>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</si>
  <si>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</si>
  <si>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</si>
  <si>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</si>
  <si>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</si>
  <si>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</si>
  <si>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</si>
  <si>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</si>
  <si>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</si>
  <si>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</si>
  <si>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</si>
  <si>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</si>
  <si>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</si>
  <si>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</si>
  <si>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</si>
  <si>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</si>
  <si>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</si>
  <si>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</si>
  <si>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</si>
  <si>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</si>
  <si>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</si>
  <si>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</si>
  <si>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</si>
  <si>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</si>
  <si>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</si>
  <si>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</si>
  <si>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</si>
  <si>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</si>
  <si>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</si>
  <si>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</si>
  <si>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</si>
  <si>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</si>
  <si>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</si>
  <si>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</si>
  <si>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</si>
  <si>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</si>
  <si>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</si>
  <si>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</si>
  <si>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</si>
  <si>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</si>
  <si>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</si>
  <si>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</si>
  <si>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</si>
  <si>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</si>
  <si>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</si>
  <si>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</si>
  <si>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</si>
  <si>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</si>
  <si>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</si>
  <si>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</si>
  <si>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</si>
  <si>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</si>
  <si>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</si>
  <si>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</si>
  <si>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</si>
  <si>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</si>
  <si>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</si>
  <si>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</si>
  <si>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</si>
  <si>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</si>
  <si>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</si>
  <si>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</si>
  <si>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</si>
  <si>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</si>
  <si>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</si>
  <si>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</si>
  <si>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Excise Duty</t>
  </si>
  <si>
    <t>BID FORM (Second Envelope)</t>
  </si>
  <si>
    <t>Please provide additional information of the Bidder</t>
  </si>
  <si>
    <t>Date :</t>
  </si>
  <si>
    <t>Place :</t>
  </si>
  <si>
    <t>Dear Sir</t>
  </si>
  <si>
    <t>LETTER OF DISCOUNT</t>
  </si>
  <si>
    <t>Subject  :</t>
  </si>
  <si>
    <t>With reference to the subject tender, we hereby offer unconditional discount on the prices quoted by us as per details given here below :</t>
  </si>
  <si>
    <t>Schedule-2 : Freight &amp; Insurance</t>
  </si>
  <si>
    <t>Schedule-3 : Erection Charges</t>
  </si>
  <si>
    <t>Please consider this letter of discount as the integral part of our price bid.</t>
  </si>
  <si>
    <t>Letter of Discount</t>
  </si>
  <si>
    <t xml:space="preserve">This letter of discount is optional. Bidder may / may not offer any discount. </t>
  </si>
  <si>
    <t>After Discount</t>
  </si>
  <si>
    <t>Sales Tax</t>
  </si>
  <si>
    <t>Vat</t>
  </si>
  <si>
    <t>Discount Sche-7</t>
  </si>
  <si>
    <t>Enter following details of the bidder</t>
  </si>
  <si>
    <t xml:space="preserve">Printed Name </t>
  </si>
  <si>
    <t>Designation</t>
  </si>
  <si>
    <t>Schedule-1 : Ex works prices (Direct Only)</t>
  </si>
  <si>
    <t>Schedule-1 : Ex works prices (Bought Out Only)</t>
  </si>
  <si>
    <t>Instructions / error messages, if any, will be displayed automatically  after selecting the cell.</t>
  </si>
  <si>
    <t xml:space="preserve">Rate of  VAT </t>
  </si>
  <si>
    <t>State/Province to be indicated :</t>
  </si>
  <si>
    <t>Business Address                       :</t>
  </si>
  <si>
    <t>Country of Incorporation         :</t>
  </si>
  <si>
    <t>Name of Principal Officer         :</t>
  </si>
  <si>
    <t>Address of  Principal Officer    :</t>
  </si>
  <si>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</si>
  <si>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r>
      <t>Discount on percent basis on the Schedules as given below :</t>
    </r>
    <r>
      <rPr>
        <sz val="11"/>
        <rFont val="Book Antiqua"/>
        <family val="1"/>
      </rPr>
      <t xml:space="preserve"> [The discount shall be proportionately applicable on all the relevent items of the respective Schdules.] </t>
    </r>
    <r>
      <rPr>
        <b/>
        <sz val="11"/>
        <rFont val="Book Antiqua"/>
        <family val="1"/>
      </rPr>
      <t>In Percent (%)</t>
    </r>
  </si>
  <si>
    <t>Name of Package</t>
  </si>
  <si>
    <t>Enter basic data here</t>
  </si>
  <si>
    <t>Package Code</t>
  </si>
  <si>
    <t>Specification No.</t>
  </si>
  <si>
    <t>Item Description</t>
  </si>
  <si>
    <t>Type Tests</t>
  </si>
  <si>
    <t>Nos of tests</t>
  </si>
  <si>
    <t>Quantity in km.</t>
  </si>
  <si>
    <t>(a)</t>
  </si>
  <si>
    <t>(b)</t>
  </si>
  <si>
    <t>(d)</t>
  </si>
  <si>
    <t>(c)</t>
  </si>
  <si>
    <t>Tests to be conducted</t>
  </si>
  <si>
    <t>[Fill up data only in the relevent open area]</t>
  </si>
  <si>
    <r>
      <t>General guidelines for filling up  the Price Schedules, Discount Letter &amp; Bid Form for 2</t>
    </r>
    <r>
      <rPr>
        <b/>
        <vertAlign val="superscript"/>
        <sz val="12"/>
        <rFont val="Book Antiqua"/>
        <family val="1"/>
      </rPr>
      <t>nd</t>
    </r>
    <r>
      <rPr>
        <b/>
        <sz val="12"/>
        <rFont val="Book Antiqua"/>
        <family val="1"/>
      </rPr>
      <t xml:space="preserve"> Envelope</t>
    </r>
  </si>
  <si>
    <t>Bidder’s Name and Address</t>
  </si>
  <si>
    <t>Type &amp; Designation</t>
  </si>
  <si>
    <t>7 = 5 x 6</t>
  </si>
  <si>
    <t>Unit price</t>
  </si>
  <si>
    <t>No. of Tests</t>
  </si>
  <si>
    <t>Unit Type Test Charges</t>
  </si>
  <si>
    <t>Total Type Test Charges</t>
  </si>
  <si>
    <t>Test Laboratory where the tests are proposed to be conducted [Indicate name and place of the test laboratory]</t>
  </si>
  <si>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</si>
  <si>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Schedule - 4</t>
  </si>
  <si>
    <t>Quantity on which Sales Tax is applicable</t>
  </si>
  <si>
    <t xml:space="preserve">UTS test on stranded  conductor </t>
  </si>
  <si>
    <t xml:space="preserve">DC resistance test on stranded conductor </t>
  </si>
  <si>
    <t>In Rs.</t>
  </si>
  <si>
    <t>In Percent (%)</t>
  </si>
  <si>
    <t>As per Lum-sum</t>
  </si>
  <si>
    <t>AS per Percent</t>
  </si>
  <si>
    <t>Multipackage lum-sum</t>
  </si>
  <si>
    <t>Multipackage on Percent</t>
  </si>
  <si>
    <t>Total Discount</t>
  </si>
  <si>
    <t>As per lum-sum on Sch-3</t>
  </si>
  <si>
    <t>As per Percent on Sch-3</t>
  </si>
  <si>
    <t>As per lum-sum on Sch-7</t>
  </si>
  <si>
    <t>As per Percent on Sch-7</t>
  </si>
  <si>
    <t>Nos.</t>
  </si>
  <si>
    <t>Unit</t>
  </si>
  <si>
    <t>All values are in Indian Rupees.</t>
  </si>
  <si>
    <t>SI. No.</t>
  </si>
  <si>
    <t>Qty.</t>
  </si>
  <si>
    <t>Unit Ex-works price</t>
  </si>
  <si>
    <t>Total Ex-works price</t>
  </si>
  <si>
    <t>Description</t>
  </si>
  <si>
    <t>Unit Erection Charges</t>
  </si>
  <si>
    <t>Description of Test</t>
  </si>
  <si>
    <t>Total Test Charges (Rs.)</t>
  </si>
  <si>
    <t>Plant and Equipment (including Mandatory Spares Parts) to be supplied, including Type Test Charges for Tests to be conducted.</t>
  </si>
  <si>
    <t>Sl. No.</t>
  </si>
  <si>
    <t>Item Nos.</t>
  </si>
  <si>
    <t>Total Price (INR)</t>
  </si>
  <si>
    <t>1</t>
  </si>
  <si>
    <t>TOTAL EXCISE DUTY</t>
  </si>
  <si>
    <t>2</t>
  </si>
  <si>
    <t>3</t>
  </si>
  <si>
    <t>4</t>
  </si>
  <si>
    <t>TOTAL OTHER TAXES &amp; DUTIES</t>
  </si>
  <si>
    <t>(GRAND SUMMARY)</t>
  </si>
  <si>
    <t xml:space="preserve">Local Transportation, Insurance and other Incidental Services </t>
  </si>
  <si>
    <t>Installation Charges</t>
  </si>
  <si>
    <t>5</t>
  </si>
  <si>
    <t>Taxes and Duties</t>
  </si>
  <si>
    <t>6</t>
  </si>
  <si>
    <t>Item  Description</t>
  </si>
  <si>
    <t>To:</t>
  </si>
  <si>
    <t>Name        :</t>
  </si>
  <si>
    <t>Contract Services</t>
  </si>
  <si>
    <t>Address    :</t>
  </si>
  <si>
    <t>Power Grid Corporation of India Ltd.,</t>
  </si>
  <si>
    <t>"Saudamini", Plot No.-2</t>
  </si>
  <si>
    <t>Sector-29, (near IFFCO Chowk)</t>
  </si>
  <si>
    <t>Gurgaon (Haryana) - 122001</t>
  </si>
  <si>
    <t>Mode of Transaction (Direct / Bought-out)</t>
  </si>
  <si>
    <t>6 = 4 x 5</t>
  </si>
  <si>
    <t xml:space="preserve">Date          : </t>
  </si>
  <si>
    <t>Place         :</t>
  </si>
  <si>
    <t>Signature   :</t>
  </si>
  <si>
    <t>Printed Name   :</t>
  </si>
  <si>
    <t>Designation   :</t>
  </si>
  <si>
    <t>Common Seal   :</t>
  </si>
  <si>
    <t>Note          :</t>
  </si>
  <si>
    <t>Total Erection Charges</t>
  </si>
  <si>
    <t>Name     :</t>
  </si>
  <si>
    <t>Address :</t>
  </si>
  <si>
    <t>SUMMARY OF TAXES &amp; DUTIES APPLICABLE ON GOODS</t>
  </si>
  <si>
    <t>Rate of Excise Duty for Direct items indicated in Sch-1</t>
  </si>
  <si>
    <t>TOTAL SCHEDULE NO. 1</t>
  </si>
  <si>
    <t>TOTAL SCHEDULE NO. 2</t>
  </si>
  <si>
    <t>TOTAL SCHEDULE NO. 3</t>
  </si>
  <si>
    <t>TOTAL SCHEDULE NO. 4</t>
  </si>
  <si>
    <t>Schedule - 1</t>
  </si>
  <si>
    <t>Based on the data filled in the respective schedules, e-Form is generated automatically. A print out of e-Form may be taken and the data may be filled in the electronic form of the tender provided on the portal.</t>
  </si>
  <si>
    <t>(SCHEDULE OF RATES AND PRICES : TYPE TEST CHARGES)</t>
  </si>
  <si>
    <t>(SCHEDULE OF RATES AND PRICES : EX-WORKS PRICES)</t>
  </si>
  <si>
    <t>(SCHEDULE OF RATES AND PRICES : FREIGHT &amp; INSURANCE CHARGES)</t>
  </si>
  <si>
    <t>Total Ex-works Price including Type Test charges</t>
  </si>
  <si>
    <t xml:space="preserve"> Total Ex-Works Price</t>
  </si>
  <si>
    <t>Direct</t>
  </si>
  <si>
    <t>Total Freight &amp; Insurance</t>
  </si>
  <si>
    <t>Schedule - 2</t>
  </si>
  <si>
    <t>Schedule - 3</t>
  </si>
  <si>
    <t>Schedule - 5</t>
  </si>
  <si>
    <t>Schedule - 6</t>
  </si>
  <si>
    <t>SL. NO.</t>
  </si>
  <si>
    <t>Total Type Test charges: (A)+(B)+C)</t>
  </si>
  <si>
    <t>Not Applicable</t>
  </si>
  <si>
    <t>TOTAL OCTROI</t>
  </si>
  <si>
    <t>TOTAL ENTRY TAX</t>
  </si>
  <si>
    <t>Note       :</t>
  </si>
  <si>
    <r>
      <t xml:space="preserve">Type Test Charges 
</t>
    </r>
    <r>
      <rPr>
        <sz val="10"/>
        <rFont val="Book Antiqua"/>
        <family val="1"/>
      </rPr>
      <t>[Total of this Schedule is included in Schedule - 1 above.]</t>
    </r>
  </si>
  <si>
    <t>Entry Tax</t>
  </si>
  <si>
    <t>TOTAL SALES TAX</t>
  </si>
  <si>
    <t>TOTAL VAT</t>
  </si>
  <si>
    <t xml:space="preserve">Rate of Sales Tax </t>
  </si>
  <si>
    <t>Total VAT for direct transaction between the Contractor and the Employer (identified in Schedule 1 as 'Direct') which are not included in the Ex-works price as per the provision of the Bidding Documents, as applicable</t>
  </si>
  <si>
    <t>Total Sales Tax for direct transaction between the Contractor and the Employer (identified in Schedule 1 as 'Direct') which are not included in the Ex-works price as per the provision of the Bidding Documents, as applicable.</t>
  </si>
  <si>
    <t>Total Octroi/Entry Tax as applicable for destination site/state on all items of supply, as per the provisions of the Bidding Documents, on all items of Schedule 1.</t>
  </si>
  <si>
    <t>Total Excise Duty for direct transaction between the Contractor and the Employer (identified in Schedule 1 as 'Direct') which are not included in the Ex-works price as per the provision of the Bidding Documents, as applicable.</t>
  </si>
  <si>
    <t>Total Others levies payable in India (please specify) as applicable for destination site/state on all items of supply, as per the provisions of the Bidding Documents, on all items of Schedule 1.</t>
  </si>
  <si>
    <t>GRAND TOTAL [1+2+3+4+5+6]</t>
  </si>
  <si>
    <t xml:space="preserve">Date         : </t>
  </si>
  <si>
    <t>The reimbursement of Excise Duty, Sales Tax/VAT and other levies as per Sl. No. 1 &amp; 2 above subject to provision of ITB Clause 11.4 shall be only against those items for which the Mode of Transaction indicated in Schedule - 1 is 'Direct'. In case of those items in the said Sechedule-1 against which the  mode of transaction has been  left blank, the same shall be deemed to be 'Bought-out' for the purpose of Evaluation and award of Contract and the price indicated in Schedule 1 against such items shall be deemed to be inclusive of all such taxes, duties and levies.</t>
  </si>
  <si>
    <t>Date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</si>
  <si>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</si>
  <si>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</si>
  <si>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</si>
  <si>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</si>
  <si>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Thanking you, we remain,</t>
  </si>
  <si>
    <t>Yours faithfully,</t>
  </si>
  <si>
    <t>Printed Name :</t>
  </si>
  <si>
    <t>Designation :</t>
  </si>
  <si>
    <t>Bid Proposal Ref. No.</t>
  </si>
  <si>
    <t>Name of Contract  :</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</si>
  <si>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</si>
  <si>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</si>
  <si>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Details of Octroi</t>
  </si>
  <si>
    <t>Sl No.</t>
  </si>
  <si>
    <t>Description of Items</t>
  </si>
  <si>
    <t>Amount on which Octroi is applicable</t>
  </si>
  <si>
    <t>Rate of Octroi</t>
  </si>
  <si>
    <t>Octroi</t>
  </si>
  <si>
    <t>(1)</t>
  </si>
  <si>
    <t>(2)</t>
  </si>
  <si>
    <t>(3)</t>
  </si>
  <si>
    <t>(4)</t>
  </si>
  <si>
    <t>(5) =(3) x (4)</t>
  </si>
  <si>
    <t>Total</t>
  </si>
  <si>
    <t>Details of Entry Tax</t>
  </si>
  <si>
    <t>Amount on which Entry Tax is applicable</t>
  </si>
  <si>
    <t>Rate of Entry Tax</t>
  </si>
  <si>
    <t>Details of Other Taxes &amp; Duties</t>
  </si>
  <si>
    <t>Amount on which Other Taxes &amp; Duties are applicable</t>
  </si>
  <si>
    <t>Description of Taxes &amp; Duties</t>
  </si>
  <si>
    <t>Rate of Taxes &amp; Duties</t>
  </si>
  <si>
    <t>Amount of Taxes &amp; Duties</t>
  </si>
  <si>
    <t>(5)</t>
  </si>
  <si>
    <t>(6) =(3) x (4)</t>
  </si>
  <si>
    <t>Bid Form 2nd Envelope</t>
  </si>
  <si>
    <t>Grand Summary [Schedule 1 to 4]</t>
  </si>
  <si>
    <t>Total Type Test charges as per Schedule-6</t>
  </si>
  <si>
    <t>Bought Out</t>
  </si>
  <si>
    <t xml:space="preserve">to be paid extra at actual </t>
  </si>
  <si>
    <t>Click here for details of Octroi</t>
  </si>
  <si>
    <t>Click here for details of Entry Taxes</t>
  </si>
  <si>
    <t>TOTAL SCHEDULE NO. 6</t>
  </si>
  <si>
    <t>All the cells in Sch-5 are auto filled, therefore no cell is required to be filled up there.</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</si>
  <si>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&amp; Sch-6] </t>
    </r>
    <r>
      <rPr>
        <b/>
        <sz val="11"/>
        <rFont val="Book Antiqua"/>
        <family val="1"/>
      </rPr>
      <t>In Rs.</t>
    </r>
  </si>
  <si>
    <r>
      <t>Discount on percent basis on total price quoted by us without Taxes &amp; Duties.</t>
    </r>
    <r>
      <rPr>
        <sz val="11"/>
        <rFont val="Book Antiqua"/>
        <family val="1"/>
      </rPr>
      <t xml:space="preserve"> [The discount shall be proportionately applicable on all the items of all the Schdules i.e. Sch-1 (without type test charges), Sch-2 &amp; Sch-6] </t>
    </r>
    <r>
      <rPr>
        <b/>
        <sz val="11"/>
        <rFont val="Book Antiqua"/>
        <family val="1"/>
      </rPr>
      <t>In Percent (%)</t>
    </r>
  </si>
  <si>
    <t>Schedule-6 : Type Test Charges</t>
  </si>
  <si>
    <t>Eq Weightage of Rs/ %</t>
  </si>
  <si>
    <t>Final Discount Factor</t>
  </si>
  <si>
    <t>Click here for details of Other Taxes &amp; Duties</t>
  </si>
  <si>
    <t>GRAND TOTAL [1+2+3+4]</t>
  </si>
  <si>
    <t>Schedule - 5 After Discount</t>
  </si>
  <si>
    <t>Place      :</t>
  </si>
  <si>
    <t xml:space="preserve">Date      : </t>
  </si>
  <si>
    <t>Total Octroi as applicable for destination site/state on all items of supply, as per the provisions of the Bidding Documents, on all items of Schedule 1.</t>
  </si>
  <si>
    <t>Total Entry Tax as applicable for destination site/state on all items of supply, as per the provisions of the Bidding Documents, on all items of Schedule 1.</t>
  </si>
  <si>
    <t>Amount on which Sales Tax is applicable</t>
  </si>
  <si>
    <t>Amount on which VAT becomes applicable</t>
  </si>
  <si>
    <t>Schedule-1 :  (Direct Only)</t>
  </si>
  <si>
    <t>Schedule-1 : (Bought Out Only)</t>
  </si>
  <si>
    <t>Excise Duty on this Amount</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</si>
  <si>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</si>
  <si>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</si>
  <si>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</si>
  <si>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</si>
  <si>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</si>
  <si>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</si>
  <si>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</si>
  <si>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t xml:space="preserve"> </t>
  </si>
  <si>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</si>
  <si>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</si>
  <si>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</si>
  <si>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</si>
  <si>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</si>
  <si>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</si>
  <si>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</si>
  <si>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</si>
  <si>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</si>
  <si>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</si>
  <si>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</si>
  <si>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</si>
  <si>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</si>
  <si>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</si>
  <si>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</si>
  <si>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</si>
  <si>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</si>
  <si>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</si>
  <si>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</si>
  <si>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</si>
  <si>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</si>
  <si>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</si>
  <si>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</si>
  <si>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</si>
  <si>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</si>
  <si>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</si>
  <si>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</si>
  <si>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</si>
  <si>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</si>
  <si>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</si>
  <si>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</si>
  <si>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</si>
  <si>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</si>
  <si>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</si>
  <si>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</si>
  <si>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</si>
  <si>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</si>
  <si>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</si>
  <si>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</si>
  <si>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</si>
  <si>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</si>
  <si>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</si>
  <si>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Clause Ref. No.</t>
  </si>
  <si>
    <t xml:space="preserve">Description of Clause </t>
  </si>
  <si>
    <t>Observation/ Comment of the Bidder</t>
  </si>
  <si>
    <t>Remarks</t>
  </si>
  <si>
    <t>Clause 10 Taxes and Duties, Section-IV, GCC</t>
  </si>
  <si>
    <t>10. Taxes and Duties</t>
  </si>
  <si>
    <t>10.1 The Supplier shall be entirely responsible for payment of all taxes, duties, licence fees ……………………….</t>
  </si>
  <si>
    <t>10.2 The Supplier shall be solely responsible for the taxes that may be levied on the Supplier's persons ………………………..</t>
  </si>
  <si>
    <t>10.3 In respect of direct transaction between the Purchaser and the Supplier, the EXW price is inclusive…………………………..</t>
  </si>
  <si>
    <t>10.4 Octroi/entry tax as applicable for destination site/state on all items of supply including bought-out finished items, which shall be dispatched directly from the ……………………………………</t>
  </si>
  <si>
    <t>10.5 Purchaser would not bear any liability on account of Service Tax. ……………….</t>
  </si>
  <si>
    <t>10.6 Sales Tax/VAT on Works Contract, Turnover Tax or any other similar taxes under the …………………………………..</t>
  </si>
  <si>
    <t>10.7 For the purpose of the Contract, it is agreed that the Contract Price specified in Article 2(Contract Price and Terms of Payment) of the Contract Agreement is based on the taxes, duties, levies and charges prevailing at the date seven (07) days prior to the last date of bid submission (hereinafter called “Tax” in this GCC Sub-clause 10.7). .……………........................................</t>
  </si>
  <si>
    <t>In respect of raw materials, intermediary components etc and bought out items, neither the Purchaser nor the Supplier shall be entitled to any claim arising due to increase or decrease in the rate of Tax, ……………………………………………....</t>
  </si>
  <si>
    <t>Clause 29 Change in Laws and Regulations, Section-IV, GCC</t>
  </si>
  <si>
    <t>29.1 If, after the date seven (07) days prior to the date of Bid Opening, any law, regulation, ordinance, order or by-law having the force of law is enacted, promulgated, abrogated or changed in India (which shall be deemed to include any change in interpretation or application by the competent authorities) ……………………………………….</t>
  </si>
  <si>
    <t>Discount(s) offered at sl. No. 1 to 4 will automatically get displayed and accounted for in the respective items of the Schedules.</t>
  </si>
  <si>
    <t>We hereby offer Multi-package discount as given below:</t>
  </si>
  <si>
    <t xml:space="preserve">Corona extinction voltage test on hex bundle (dry) </t>
  </si>
  <si>
    <t xml:space="preserve">Radio interference voltage test on hex bundle (dry) </t>
  </si>
  <si>
    <t>Total VAT for direct transaction between the Contractor and the Purchaser (identified in Schedule 1 as 'Direct') which are not included in the Ex-works price as per the provision of the Bidding Documents, as applicable</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</si>
  <si>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supply goods as per provision of Technical Specification) under the above-named package in full conformity with the said Bidding Documents for the sum of Rs. </t>
  </si>
  <si>
    <t xml:space="preserve">POWER GRID CORPORATION OF INDIA LIMITED, </t>
  </si>
  <si>
    <t>Happy Bidding !</t>
  </si>
  <si>
    <t>* * *</t>
  </si>
  <si>
    <t>Fill up additional information as required.</t>
  </si>
  <si>
    <t>●</t>
  </si>
  <si>
    <t>Fill up ref. no. as bidder's ref no. of this letter.</t>
  </si>
  <si>
    <r>
      <t>Bid from 2</t>
    </r>
    <r>
      <rPr>
        <b/>
        <vertAlign val="superscript"/>
        <sz val="12"/>
        <color indexed="12"/>
        <rFont val="Book Antiqua"/>
        <family val="1"/>
      </rPr>
      <t>nd</t>
    </r>
    <r>
      <rPr>
        <b/>
        <sz val="12"/>
        <color indexed="12"/>
        <rFont val="Book Antiqua"/>
        <family val="1"/>
      </rPr>
      <t xml:space="preserve"> Envelope :</t>
    </r>
  </si>
  <si>
    <t>No cell is required to be filled in by the bidder in this worksheet.</t>
  </si>
  <si>
    <t>Total amount shall get calculated automatically.</t>
  </si>
  <si>
    <t>Fill up unit rates for all the items in numeric values greater than 0 (zero). If unit rate is left blank, the corresponding item shall be deemed to be included in the total price.</t>
  </si>
  <si>
    <t>Sch-2 (Freight &amp; Insurance Charges) :</t>
  </si>
  <si>
    <t>Sch-1 (Ex-works Prices) :</t>
  </si>
  <si>
    <t>Click for Sch-1 given at the right top of the worksheet to go to Sch-1.</t>
  </si>
  <si>
    <t>Fill up date in dd-mm-yyyy format from drop down menu.</t>
  </si>
  <si>
    <r>
      <t>In case of JV partners more than 2, enter details of 3</t>
    </r>
    <r>
      <rPr>
        <strike/>
        <vertAlign val="superscript"/>
        <sz val="12"/>
        <rFont val="Book Antiqua"/>
        <family val="1"/>
      </rPr>
      <t>rd</t>
    </r>
    <r>
      <rPr>
        <strike/>
        <sz val="12"/>
        <rFont val="Book Antiqua"/>
        <family val="1"/>
      </rPr>
      <t xml:space="preserve"> &amp; more partners along with details of 2</t>
    </r>
    <r>
      <rPr>
        <strike/>
        <vertAlign val="superscript"/>
        <sz val="12"/>
        <rFont val="Book Antiqua"/>
        <family val="1"/>
      </rPr>
      <t>nd</t>
    </r>
    <r>
      <rPr>
        <strike/>
        <sz val="12"/>
        <rFont val="Book Antiqua"/>
        <family val="1"/>
      </rPr>
      <t xml:space="preserve"> partner.</t>
    </r>
  </si>
  <si>
    <t>Select nos. of the JV Partners other than the Lead Partner from drop down menu.</t>
  </si>
  <si>
    <t>Names of Bidder :</t>
  </si>
  <si>
    <t>Opening page of the workbook.</t>
  </si>
  <si>
    <t xml:space="preserve">Cover : </t>
  </si>
  <si>
    <t>This Workbook consists of following worksheets :</t>
  </si>
  <si>
    <t>II</t>
  </si>
  <si>
    <t>Do not reformat any of the cell of the work book.</t>
  </si>
  <si>
    <t>(vi)</t>
  </si>
  <si>
    <t>Do not use copy &amp; paste or cut &amp; paste options for filling up the data.</t>
  </si>
  <si>
    <t>(v)</t>
  </si>
  <si>
    <t>Do not link any cell of this work book with any other work book.</t>
  </si>
  <si>
    <t>(iv)</t>
  </si>
  <si>
    <t>Select only the options provided in pull down menus.</t>
  </si>
  <si>
    <t>(iii)</t>
  </si>
  <si>
    <t>Certain data type entries have been restricted, such as Numeric values or limits of numeric values.</t>
  </si>
  <si>
    <t>(ii)</t>
  </si>
  <si>
    <t>Fill up only green shaded cells.</t>
  </si>
  <si>
    <t>(i)</t>
  </si>
  <si>
    <t>While filling up the worksheets following may please be observed :</t>
  </si>
  <si>
    <t>I</t>
  </si>
  <si>
    <t>Select Orignal Equipment Manufacturer, or Authorised Dealer of Manufacturer, or Authorised Distributor of Manufacturer orAuthorised Indian Representative of Manufacturer from the pull down menu. Do not leave this cell blank.</t>
  </si>
  <si>
    <t>Fill up names and address of the Bidder and /or Manufacturer</t>
  </si>
  <si>
    <t>The reimbursement of Excise Duty, Sales Tax/VAT and other levies as per Sl. No. 1, 2 &amp; 3 above subject to provision of ITB Clause 11.4 shall be only against those items for which the Mode of Transaction indicated in Schedule - 1 is 'Direct'. In case of those items in the said Sechedule-1 against which the  mode of transaction has been  left blank, the same shall be deemed to be 'Bought-out' for the purpose of Evaluation and award of Contract and the price indicated in Schedule 1 against such items shall be deemed to be inclusive of all such taxes, duties and levies.</t>
  </si>
  <si>
    <t>Light Weight T&amp;P</t>
  </si>
  <si>
    <t>NOT APPLICABLE</t>
  </si>
  <si>
    <t>To be paid by POWERGRID directly to Sales Tax Authority</t>
  </si>
  <si>
    <t>Sch-4 (Summary of Taxes and Duties applicable on the Goods) :</t>
  </si>
  <si>
    <t>Sch -5 :</t>
  </si>
  <si>
    <t>Goods to be supplied</t>
  </si>
  <si>
    <t>ODISHA PROJECTS</t>
  </si>
  <si>
    <t>PLOT NO.-4, UNIT-41, NILADRI VIHAR</t>
  </si>
  <si>
    <t>CHANDRASHEKHARPUR, BHUBANESWAR-751021</t>
  </si>
  <si>
    <t>DY.GENERAL MANAGER(C&amp;M)</t>
  </si>
  <si>
    <t>Mode of Transaction (Direct/Bought out)</t>
  </si>
  <si>
    <t xml:space="preserve">HSN Code </t>
  </si>
  <si>
    <t xml:space="preserve">Unit Ex-works price
(excluding GST)
</t>
  </si>
  <si>
    <t xml:space="preserve">Total Ex-works price
(excluding GST)
</t>
  </si>
  <si>
    <t># In case the bidder leaves the cell for confirmation of the HSN code and/or  GST rate  “blank”,  the HSN code and corresponding GST rate indicated by the Employer shall be deemed to be the one confirmed by the Bidder.</t>
  </si>
  <si>
    <t xml:space="preserve">Note :  *Specify amount of GST on the transaction between the Supplier and the Purchaser, separately in Schedule-4. </t>
  </si>
  <si>
    <t>(SCHEDULE OF RATES AND PRICES : Goods to be supplied, including Type Test Charges for Tests to be conducted)</t>
  </si>
  <si>
    <t>(SCHEDULE OF RATES AND PRICES : Local Transportation, In-transit Insurance and loading)</t>
  </si>
  <si>
    <t>All Prices are in Indian Rupees.</t>
  </si>
  <si>
    <t>Rate of GST applicable 
( in %)</t>
  </si>
  <si>
    <t xml:space="preserve">Unit Freight, In –transit Insurance &amp; loading Charges </t>
  </si>
  <si>
    <t xml:space="preserve">Total Freight, In –transit Insurance &amp; loading Charges </t>
  </si>
  <si>
    <t xml:space="preserve">SAC
(Service Accounting Codes)
</t>
  </si>
  <si>
    <t>TOTAL GST ON GOODS</t>
  </si>
  <si>
    <t>Total GST for Supply of Goods (inter-alia including Type Test Charges) between the Contractor and the Employer (identified in Schedule 1') which are not included in the Ex-works price as per the provision of the Bidding Documents, as applicable.</t>
  </si>
  <si>
    <t>Total GST for Supervision Charges, if, any between the Contractor and the Employer (identified in Schedule 3') which are not included in the Supervision Charges as per the provision of the Bidding Documents, as applicable.</t>
  </si>
  <si>
    <t>TOTAL GST ON SERVICES</t>
  </si>
  <si>
    <t>GRAND TOTAL [1+2]</t>
  </si>
  <si>
    <t xml:space="preserve">Ex-works price of Plant and Equipment including Type Test Charges </t>
  </si>
  <si>
    <t>Local Transportation, In-transit Insurance, loading and unloading</t>
  </si>
  <si>
    <t>Confirmed</t>
  </si>
  <si>
    <t>Local Transportation, In-Transit Insurance and Loading.</t>
  </si>
  <si>
    <t>Taxes and Duties not included in Schedule 1 to 3</t>
  </si>
  <si>
    <t>We declare that as specified in Clause 11.5, Section –II: ITB, Vol.-I of the Bidding Documents, prices quoted by us in the Price Schedules shall be subject to Price Adjustment during the execution of Contract in accordance with Appendix-2 (Price Adjustment) to the Contract Agreement.</t>
  </si>
  <si>
    <t xml:space="preserve">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 </t>
  </si>
  <si>
    <t xml:space="preserve">We confirm that except as otherwise specifically provided our Bid Prices in this Second Envelope include all taxes, duties, levies and charges as may be assessed on us, our Sub-Contractor/Sub-Vendor or their employees by all municipal, state or national government authorities in connection with the Facilities, in and outside of India. </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</si>
  <si>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</si>
  <si>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t>
  </si>
  <si>
    <t>GST Amount</t>
  </si>
  <si>
    <t>We confirm that we have also registered/we shall also get registered in the GST Network with a GSTIN , in all the states from which we shall make our supply of goods.</t>
  </si>
  <si>
    <r>
      <t xml:space="preserve">100% of applicable Taxes and Duties i.e </t>
    </r>
    <r>
      <rPr>
        <b/>
        <sz val="12"/>
        <rFont val="Book Antiqua"/>
        <family val="1"/>
      </rPr>
      <t>GST</t>
    </r>
    <r>
      <rPr>
        <sz val="12"/>
        <rFont val="Book Antiqua"/>
        <family val="1"/>
      </rPr>
      <t>, which are payable by the Purchaser under the Contract, shall be reimbursed by the Purchaser on production of satisfactory documentary evidence by the Supplier in accordance with the provisions of the Bidding Documents.</t>
    </r>
  </si>
  <si>
    <t xml:space="preserve">Summary of GST quoted on all items in Schedule 1 &amp; Schedule 3 shall be displayed automatically. </t>
  </si>
  <si>
    <t>This letter shall consider the total price as per Grand Summary (Schedule-5).</t>
  </si>
  <si>
    <t>Total amount including GST, taxes, duties etc. shall be calculated and dislayed automatically.</t>
  </si>
  <si>
    <t>Unit rates of the items shall be inclusive of all duties, levies, cess etc. excluding GST. GST shall be applicable on transaction between Employer and Contractor. Employer will not pay any GST on transaction between Contractor and sub-vendors.</t>
  </si>
  <si>
    <t>Whether HSN in column ‘4’ is confirmed. If not  indicate applicable the HSN code #</t>
  </si>
  <si>
    <t>Select from Drop-down menu. Whether  rate of GST in column ‘6’ is confirmed. If not  indicate applicable rate of GST #</t>
  </si>
  <si>
    <t>Whether SAC in column ‘4’ is confirmed. If not  indicate applicable the SAC #</t>
  </si>
  <si>
    <r>
      <t xml:space="preserve">We further understand that notwithstanding 3.0 above, in case of award on us, you shall also bear and pay/reimburse to us, </t>
    </r>
    <r>
      <rPr>
        <b/>
        <sz val="12"/>
        <rFont val="Book Antiqua"/>
        <family val="1"/>
      </rPr>
      <t>GST applicable on supplies</t>
    </r>
    <r>
      <rPr>
        <sz val="12"/>
        <rFont val="Book Antiqua"/>
        <family val="1"/>
      </rPr>
      <t xml:space="preserve"> by us to you, imposed on the Goods including  Type Test charges for Type test to be conducted specified in Schedule No. 1,  of the Price Schedule in this Second Envelope ; by the Indian Laws. </t>
    </r>
  </si>
  <si>
    <t>Material Code</t>
  </si>
  <si>
    <t>Service Activity Number</t>
  </si>
  <si>
    <t># In case the bidder leaves the cell for confirmation of the SAC code and/or  GST rate  “blank”,  the SAC code and corresponding GST rate indicated by the Employer shall be deemed to be the one confirmed by the Bidder.</t>
  </si>
  <si>
    <t>GROUP-III TOTAL:</t>
  </si>
  <si>
    <t xml:space="preserve">Date : </t>
  </si>
  <si>
    <t>Name :</t>
  </si>
  <si>
    <t>Buy-Back price of the Old Isolator &amp; Earth switch MoM boxes (420 kV  or 245 kV)</t>
  </si>
  <si>
    <t>BUY-BACK</t>
  </si>
  <si>
    <t xml:space="preserve">B </t>
  </si>
  <si>
    <t xml:space="preserve"> TOTAL (B)</t>
  </si>
  <si>
    <t>TOTAL GST ON BUY-BACK</t>
  </si>
  <si>
    <t>Total GST for Buy-Back</t>
  </si>
  <si>
    <t>Sch-3 (Service (Installation &amp; commissioning)  Charges) :</t>
  </si>
  <si>
    <t>Service (Installation &amp; commissioning)  Charges</t>
  </si>
  <si>
    <t>Service (Installation &amp; commissioning) Charges</t>
  </si>
  <si>
    <t>Make &amp; Model</t>
  </si>
  <si>
    <t>Sch-6 (Buy Back Charges) :</t>
  </si>
  <si>
    <t>Specify type of Bidder         [Select from drop down menu]</t>
  </si>
  <si>
    <t>Name of the Bidder</t>
  </si>
  <si>
    <t>Address of Bidder</t>
  </si>
  <si>
    <t>MT</t>
  </si>
  <si>
    <t>Sr. GENERAL MANAGER(C&amp;M)</t>
  </si>
  <si>
    <t>Fill up only green shaded cells in Sch-1, Sch-2 &amp; Sch-3.</t>
  </si>
  <si>
    <t>Mid span comp. joint for conductor</t>
  </si>
  <si>
    <t>Earthwire Accessories for 7/3.66mm Earthwire</t>
  </si>
  <si>
    <t>SET</t>
  </si>
  <si>
    <t>Work associated with tower foundations for various types of towers</t>
  </si>
  <si>
    <t>Dry Soil</t>
  </si>
  <si>
    <t>Wet Soil</t>
  </si>
  <si>
    <t>ODP/BB/C&amp;M-4155/OT-02/RFx No. 5002004411/25-26</t>
  </si>
  <si>
    <t xml:space="preserve">Diversion of 220kV Budhipadar-Korba S/C line #3 &amp; 765kV Angul-Sundargarh S/C line # 1 due to NH 49 Jharsuguda bypass Road diversion work (Deposit work On Behalf of NHAI).
</t>
  </si>
  <si>
    <t xml:space="preserve">Fabrication, galvanising and supply of various types of towers &amp; its body/leg extensions (complete) but excluding stubs and B&amp;N but including hangers, D-shackles, pack washers, cleat plates etc. (payment shall be released for identified MT for complete tower) </t>
  </si>
  <si>
    <t>High Tensile Steel</t>
  </si>
  <si>
    <t xml:space="preserve">Mild Steel </t>
  </si>
  <si>
    <t>Fabrication, galvanising and supply of stubs for various types of towers with pack washers, cleat plates but excluding supply of B&amp;N</t>
  </si>
  <si>
    <t>Supply of Bolts &amp; Nuts for towers including step bolts, spring washers etc.</t>
  </si>
  <si>
    <t>Hexagonal Bolts &amp; Nuts</t>
  </si>
  <si>
    <t>Bolts &amp; Nuts for stubs</t>
  </si>
  <si>
    <t>Supply of  earthing for towers</t>
  </si>
  <si>
    <t>additional shield wire Pipe type Earthing</t>
  </si>
  <si>
    <t>Supply of following tower accessories</t>
  </si>
  <si>
    <t>Danger Plate</t>
  </si>
  <si>
    <t>Number Plate</t>
  </si>
  <si>
    <t>Phase Plate (Set of three)</t>
  </si>
  <si>
    <t>Circuit Plate (Set of two)</t>
  </si>
  <si>
    <t>Anticlimbing device</t>
  </si>
  <si>
    <t>Design, manufacture and supply of following insulators</t>
  </si>
  <si>
    <t>120 KN ( Length-2175 mm, Creepage-7595 mm) Long Rod CLR insulator</t>
  </si>
  <si>
    <t>70 KN ( Length-2030 mm, Creepage-7595 mm) Long Rod CLR insulator</t>
  </si>
  <si>
    <t>Hardware fittings</t>
  </si>
  <si>
    <t xml:space="preserve">Double Tension Insulator String </t>
  </si>
  <si>
    <t>Single Suspension Pilot Insulator String</t>
  </si>
  <si>
    <t>Conductor Accessories for 220kV AC with ACSR single Zebra Conductor Line</t>
  </si>
  <si>
    <t>Repair sleeves for ACSR Zebra Conductor</t>
  </si>
  <si>
    <t>Vibration Damper for ACSR Zebra Conductor</t>
  </si>
  <si>
    <t>Bundle spacer for Conductor</t>
  </si>
  <si>
    <t>Mid Span Compression Joint for 7/3.66 mm GS earthwire</t>
  </si>
  <si>
    <t>Flexible Copper Bond for 7/3.66 mm GS earthwire</t>
  </si>
  <si>
    <t>Vibration Damper for 7/3.66 mm GS earthwire</t>
  </si>
  <si>
    <t>Tension Clamp for 7/3.66 mm GS earthwire</t>
  </si>
  <si>
    <t>Supply of 7/3.66 mm GS Earthwire</t>
  </si>
  <si>
    <t>1.1</t>
  </si>
  <si>
    <t xml:space="preserve">a)  </t>
  </si>
  <si>
    <t>1.2</t>
  </si>
  <si>
    <t>i)</t>
  </si>
  <si>
    <t>ii)</t>
  </si>
  <si>
    <t>iii)</t>
  </si>
  <si>
    <t>iv)</t>
  </si>
  <si>
    <t>v)</t>
  </si>
  <si>
    <t>Nos</t>
  </si>
  <si>
    <t>Set</t>
  </si>
  <si>
    <t>Km</t>
  </si>
  <si>
    <t>NORMAL TOWER</t>
  </si>
  <si>
    <t>120 KN ( Length-2900 mm, Creepage-12400 mm) Long Rod CLR insulator</t>
  </si>
  <si>
    <t>210 KN ( Length-2975 mm, Creepage-12400 mm) Long Rod CLR insulator</t>
  </si>
  <si>
    <t>Hardware Fittings for 765kV AC with Quad ACSR Bersimis Conductor</t>
  </si>
  <si>
    <t>Quad Tension Insulator String</t>
  </si>
  <si>
    <t xml:space="preserve">Single Suspension Pilot Insulator String </t>
  </si>
  <si>
    <t xml:space="preserve">Single V type Pilot Insulator String </t>
  </si>
  <si>
    <t>Conductor Accessories for ACSR Bersimis</t>
  </si>
  <si>
    <t>Mid Span Compression Joint for ACSR Bersimis Conductor</t>
  </si>
  <si>
    <t>Repair sleeves for ACSR Bersimis Conductor</t>
  </si>
  <si>
    <t>Spacer Damper for Quad ACSR Bersimis Conductor</t>
  </si>
  <si>
    <t>Rigid spacer Quad ACSR Bersimis Conductor Jumper</t>
  </si>
  <si>
    <t>Design, MANUFACTURE AND SUPPLY OF 7/3.66mm Earthwire</t>
  </si>
  <si>
    <t>1.0</t>
  </si>
  <si>
    <t xml:space="preserve"> TOTAL (I+II)</t>
  </si>
  <si>
    <t>TOTAL (I+II)</t>
  </si>
  <si>
    <t>Survey</t>
  </si>
  <si>
    <t>Erection of various types of towers, tower parts and its body/leg extensions (complete) including B&amp;N, step bolts, hangers, D-shackles, etc including tack welding &amp; application of zinc rich primer and two coats of enamel paint</t>
  </si>
  <si>
    <t>for 220kV S/C TL</t>
  </si>
  <si>
    <t>Excavation in various types of soil</t>
  </si>
  <si>
    <t>Concreting including shoring, shuttering etc. (including all associated works related to foundation not covered in 4.1 and including backfilling)</t>
  </si>
  <si>
    <t xml:space="preserve">Concrete nominal mix 1:1.5:3 (M20) </t>
  </si>
  <si>
    <t xml:space="preserve">Lean Concrete nominal mix 1:3:6 (M10) </t>
  </si>
  <si>
    <t>Supply, Transportation and placement of reinforcement steel</t>
  </si>
  <si>
    <t>Installation of stub including Bolts &amp; Nuts</t>
  </si>
  <si>
    <t>Installation of Additional shield wire Earthing of towers</t>
  </si>
  <si>
    <t>Shieldwire Earthing incl. PG Clamps, Downlead clamps but excl. Earthwire bits i.e. shield wire earthing (pipe type) shall be as additional for items i.e. earthing of towers (pipe type)</t>
  </si>
  <si>
    <t xml:space="preserve">Installation of tower accessories </t>
  </si>
  <si>
    <t>Phase Plate (set of three)</t>
  </si>
  <si>
    <t>Circuit Plate (set of three)</t>
  </si>
  <si>
    <t>Anticlimbing devices</t>
  </si>
  <si>
    <t>Installation of insulator strings complete with all hardware &amp; stringing of conductor including fixing of conductor accessories, installing &amp; stringing of earthwire including fixing of earthwire accessories for double/MC circuit transmission line</t>
  </si>
  <si>
    <t>220kV S/C TL single ACSR Zebra conductor.</t>
  </si>
  <si>
    <t>De-stringing and dismantling</t>
  </si>
  <si>
    <t>Dismantling of existing towers  piece by piece in safe condition by removing the tack welding / punching etc. and handing over to POWERGRID STORE(as per BOM) as directed by Engineer in Charge including transportation,loading, unloading and stacking in store</t>
  </si>
  <si>
    <t>Destringing of 220KV S/C line with single Conductor and transportation of material to store</t>
  </si>
  <si>
    <t xml:space="preserve">b) </t>
  </si>
  <si>
    <t>Cum</t>
  </si>
  <si>
    <t>for 765 kV S/C TL</t>
  </si>
  <si>
    <t>765KV S/C line with quad Conductor</t>
  </si>
  <si>
    <t>Destringing of 765KV S/C line with quad Conductor and transportation of material to store</t>
  </si>
  <si>
    <t>Grand Total (I+II)</t>
  </si>
  <si>
    <t>(SCHEDULE OF RATES AND PRICES :Supervision/Erection Charges)</t>
  </si>
  <si>
    <t>Unit Supervision/Erection Charges</t>
  </si>
  <si>
    <t>Total Supervision/Erection Charges</t>
  </si>
  <si>
    <t>Part-A: 765KV S/C Angul- Sundargarh Line#1_Wind Zone:-IV</t>
  </si>
  <si>
    <t>Part-B: 220 KV S/C Budhipadar Korba line#3</t>
  </si>
  <si>
    <t>Check Survey</t>
  </si>
  <si>
    <t>Stub Dismantling Work (per Leg)</t>
  </si>
  <si>
    <t>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</si>
</sst>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_(* \(#,##0.00\);_(* &quot;-&quot;??_);_(@_)"/>
    <numFmt numFmtId="165" formatCode="_(&quot;$&quot;* #,##0.00_);_(&quot;$&quot;* \(#,##0.00\);_(&quot;$&quot;* &quot;-&quot;??_);_(@_)"/>
    <numFmt numFmtId="166" formatCode="0.0"/>
    <numFmt numFmtId="167" formatCode="0.000"/>
    <numFmt numFmtId="168" formatCode="_(* #,##0_);_(* \(#,##0\);_(* \-??_);_(@_)"/>
    <numFmt numFmtId="169" formatCode="#,##0.0"/>
    <numFmt numFmtId="170" formatCode="_-&quot;£&quot;* #,##0.00_-;\-&quot;£&quot;* #,##0.00_-;_-&quot;£&quot;* &quot;-&quot;??_-;_-@_-"/>
    <numFmt numFmtId="171" formatCode="&quot;\&quot;#,##0.00;[Red]\-&quot;\&quot;#,##0.00"/>
    <numFmt numFmtId="172" formatCode="#,##0.000_);\(#,##0.000\)"/>
    <numFmt numFmtId="173" formatCode="0.0_)"/>
    <numFmt numFmtId="174" formatCode=";;"/>
    <numFmt numFmtId="175" formatCode="&quot; &quot;@"/>
    <numFmt numFmtId="176" formatCode="#,##0.00&quot;  &quot;"/>
    <numFmt numFmtId="177" formatCode="[$-409]dd\-mmm\-yy;@"/>
    <numFmt numFmtId="178" formatCode="_(* #,##0_);_(* \(#,##0\);_(* &quot;-&quot;??_);_(@_)"/>
    <numFmt numFmtId="179" formatCode="0.0000000000%"/>
    <numFmt numFmtId="180" formatCode="#,##0.00;[Red]#,##0.00"/>
    <numFmt numFmtId="181" formatCode="0.00_)"/>
  </numFmts>
  <fonts count="90">
    <font>
      <sz val="11"/>
      <name val="Book Antiqua"/>
      <family val="1"/>
    </font>
    <font>
      <sz val="10"/>
      <name val="Arial"/>
      <family val="2"/>
    </font>
    <font>
      <u/>
      <sz val="10"/>
      <color indexed="12"/>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1"/>
      <color indexed="8"/>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sz val="11"/>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2"/>
      <name val="Arial"/>
      <family val="2"/>
    </font>
    <font>
      <sz val="10"/>
      <name val="Arial"/>
      <family val="2"/>
    </font>
    <font>
      <b/>
      <sz val="12"/>
      <name val="Arial"/>
      <family val="2"/>
    </font>
    <font>
      <sz val="11"/>
      <name val="Arial"/>
      <family val="2"/>
    </font>
    <font>
      <sz val="11"/>
      <name val="Book Antiqua"/>
      <family val="1"/>
    </font>
    <font>
      <sz val="12"/>
      <color indexed="9"/>
      <name val="Book Antiqua"/>
      <family val="1"/>
    </font>
    <font>
      <b/>
      <sz val="11"/>
      <color indexed="12"/>
      <name val="Book Antiqua"/>
      <family val="1"/>
    </font>
    <font>
      <sz val="1"/>
      <color indexed="9"/>
      <name val="Book Antiqua"/>
      <family val="1"/>
    </font>
    <font>
      <b/>
      <sz val="12"/>
      <color indexed="20"/>
      <name val="Book Antiqua"/>
      <family val="1"/>
    </font>
    <font>
      <sz val="10"/>
      <color indexed="9"/>
      <name val="Book Antiqua"/>
      <family val="1"/>
    </font>
    <font>
      <b/>
      <sz val="10"/>
      <color indexed="9"/>
      <name val="Book Antiqua"/>
      <family val="1"/>
    </font>
    <font>
      <sz val="11"/>
      <name val="Book Antiqua"/>
      <family val="1"/>
    </font>
    <font>
      <sz val="11"/>
      <name val="Book Antiqua"/>
      <family val="1"/>
    </font>
    <font>
      <b/>
      <vertAlign val="superscript"/>
      <sz val="12"/>
      <name val="Book Antiqua"/>
      <family val="1"/>
    </font>
    <font>
      <b/>
      <sz val="12"/>
      <name val="Cambria"/>
      <family val="1"/>
    </font>
    <font>
      <sz val="11"/>
      <name val="Cambria"/>
      <family val="1"/>
    </font>
    <font>
      <sz val="10"/>
      <name val="Cambria"/>
      <family val="1"/>
    </font>
    <font>
      <b/>
      <sz val="11"/>
      <color indexed="8"/>
      <name val="Cambria"/>
      <family val="1"/>
    </font>
    <font>
      <b/>
      <sz val="12"/>
      <color indexed="8"/>
      <name val="Cambria"/>
      <family val="1"/>
    </font>
    <font>
      <sz val="11"/>
      <color indexed="8"/>
      <name val="Cambria"/>
      <family val="1"/>
    </font>
    <font>
      <sz val="10"/>
      <color indexed="8"/>
      <name val="Cambria"/>
      <family val="1"/>
    </font>
    <font>
      <sz val="11"/>
      <color indexed="8"/>
      <name val="Book Antiqua"/>
      <family val="1"/>
    </font>
    <font>
      <b/>
      <sz val="14"/>
      <name val="Book Antiqua"/>
      <family val="1"/>
    </font>
    <font>
      <strike/>
      <sz val="12"/>
      <name val="Book Antiqua"/>
      <family val="1"/>
    </font>
    <font>
      <b/>
      <vertAlign val="superscript"/>
      <sz val="12"/>
      <color indexed="12"/>
      <name val="Book Antiqua"/>
      <family val="1"/>
    </font>
    <font>
      <strike/>
      <vertAlign val="superscript"/>
      <sz val="12"/>
      <name val="Book Antiqua"/>
      <family val="1"/>
    </font>
    <font>
      <b/>
      <sz val="14"/>
      <color indexed="12"/>
      <name val="Book Antiqua"/>
      <family val="1"/>
    </font>
    <font>
      <sz val="11"/>
      <name val="Palatino Linotype"/>
      <family val="1"/>
    </font>
    <font>
      <sz val="14"/>
      <name val="Book Antiqua"/>
      <family val="1"/>
    </font>
    <font>
      <sz val="14"/>
      <color indexed="9"/>
      <name val="Book Antiqua"/>
      <family val="1"/>
    </font>
    <font>
      <b/>
      <sz val="18"/>
      <name val="Book Antiqua"/>
      <family val="1"/>
    </font>
    <font>
      <sz val="18"/>
      <name val="Book Antiqua"/>
      <family val="1"/>
    </font>
    <font>
      <b/>
      <sz val="18"/>
      <color indexed="9"/>
      <name val="Book Antiqua"/>
      <family val="1"/>
    </font>
    <font>
      <b/>
      <sz val="18"/>
      <color indexed="10"/>
      <name val="Book Antiqua"/>
      <family val="1"/>
    </font>
    <font>
      <b/>
      <sz val="16"/>
      <name val="Book Antiqua"/>
      <family val="1"/>
    </font>
    <font>
      <sz val="11"/>
      <color theme="1"/>
      <name val="Calibri"/>
      <family val="2"/>
      <scheme val="minor"/>
    </font>
    <font>
      <u/>
      <sz val="11"/>
      <color theme="10"/>
      <name val="Calibri"/>
      <family val="2"/>
    </font>
    <font>
      <b/>
      <sz val="12"/>
      <color theme="1"/>
      <name val="Book Antiqua"/>
      <family val="1"/>
    </font>
    <font>
      <b/>
      <sz val="14"/>
      <color theme="1"/>
      <name val="Book Antiqua"/>
      <family val="1"/>
    </font>
    <font>
      <sz val="14"/>
      <color theme="1"/>
      <name val="Book Antiqua"/>
      <family val="1"/>
    </font>
    <font>
      <sz val="12"/>
      <color theme="1"/>
      <name val="Book Antiqua"/>
      <family val="1"/>
    </font>
    <font>
      <sz val="18"/>
      <color theme="1"/>
      <name val="Book Antiqua"/>
      <family val="1"/>
    </font>
    <font>
      <b/>
      <sz val="18"/>
      <color theme="1"/>
      <name val="Book Antiqua"/>
      <family val="1"/>
    </font>
    <font>
      <sz val="18"/>
      <color rgb="FFFF0000"/>
      <name val="Book Antiqua"/>
      <family val="1"/>
    </font>
    <font>
      <sz val="18"/>
      <color theme="0"/>
      <name val="Book Antiqua"/>
      <family val="1"/>
    </font>
    <font>
      <b/>
      <sz val="14"/>
      <color rgb="FFFF0000"/>
      <name val="Book Antiqua"/>
      <family val="1"/>
    </font>
    <font>
      <b/>
      <sz val="22"/>
      <name val="Book Antiqua"/>
      <family val="1"/>
    </font>
    <font>
      <b/>
      <sz val="26"/>
      <name val="Book Antiqua"/>
      <family val="1"/>
    </font>
    <font>
      <b/>
      <sz val="22"/>
      <color theme="1"/>
      <name val="Book Antiqua"/>
      <family val="1"/>
    </font>
    <font>
      <b/>
      <sz val="14"/>
      <color indexed="8"/>
      <name val="Book Antiqua"/>
      <family val="1"/>
    </font>
    <font>
      <b/>
      <sz val="16"/>
      <color theme="1"/>
      <name val="Book Antiqua"/>
      <family val="1"/>
    </font>
    <font>
      <sz val="16"/>
      <color theme="1"/>
      <name val="Book Antiqua"/>
      <family val="1"/>
    </font>
    <font>
      <sz val="16"/>
      <name val="Book Antiqua"/>
      <family val="1"/>
    </font>
    <font>
      <b/>
      <sz val="16"/>
      <color indexed="8"/>
      <name val="Book Antiqua"/>
      <family val="1"/>
    </font>
    <font>
      <b/>
      <sz val="18"/>
      <color indexed="8"/>
      <name val="Book Antiqua"/>
      <family val="1"/>
    </font>
  </fonts>
  <fills count="1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indexed="12"/>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49">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66">
    <xf numFmtId="0" fontId="0" fillId="0" borderId="0"/>
    <xf numFmtId="9" fontId="7" fillId="0" borderId="0"/>
    <xf numFmtId="170"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8" fillId="0" borderId="0"/>
    <xf numFmtId="164" fontId="1" fillId="0" borderId="0" applyFont="0" applyFill="0" applyBorder="0" applyAlignment="0" applyProtection="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4" fontId="36" fillId="0" borderId="0" applyFont="0" applyFill="0" applyBorder="0" applyAlignment="0" applyProtection="0"/>
    <xf numFmtId="43" fontId="70" fillId="0" borderId="0" applyFont="0" applyFill="0" applyBorder="0" applyAlignment="0" applyProtection="0"/>
    <xf numFmtId="164" fontId="70" fillId="0" borderId="0" applyFont="0" applyFill="0" applyBorder="0" applyAlignment="0" applyProtection="0"/>
    <xf numFmtId="164" fontId="70" fillId="0" borderId="0" applyFont="0" applyFill="0" applyBorder="0" applyAlignment="0" applyProtection="0"/>
    <xf numFmtId="165" fontId="70" fillId="0" borderId="0" applyFont="0" applyFill="0" applyBorder="0" applyAlignment="0" applyProtection="0"/>
    <xf numFmtId="169" fontId="9"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2"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37" fontId="11" fillId="0" borderId="0"/>
    <xf numFmtId="167" fontId="1"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36" fillId="0" borderId="0"/>
    <xf numFmtId="0" fontId="36" fillId="0" borderId="0"/>
    <xf numFmtId="0" fontId="36" fillId="0" borderId="0"/>
    <xf numFmtId="0" fontId="70" fillId="0" borderId="0"/>
    <xf numFmtId="0" fontId="16" fillId="0" borderId="0"/>
    <xf numFmtId="0" fontId="70" fillId="0" borderId="0"/>
    <xf numFmtId="0" fontId="70" fillId="0" borderId="0"/>
    <xf numFmtId="0" fontId="16" fillId="0" borderId="0"/>
    <xf numFmtId="0" fontId="70" fillId="0" borderId="0"/>
    <xf numFmtId="0" fontId="70" fillId="0" borderId="0"/>
    <xf numFmtId="0" fontId="33" fillId="0" borderId="0"/>
    <xf numFmtId="0" fontId="16" fillId="0" borderId="0"/>
    <xf numFmtId="0" fontId="1" fillId="0" borderId="0"/>
    <xf numFmtId="0" fontId="16" fillId="0" borderId="0" applyNumberFormat="0" applyFill="0" applyBorder="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xf numFmtId="0" fontId="16" fillId="0" borderId="0"/>
    <xf numFmtId="0" fontId="16" fillId="0" borderId="0"/>
    <xf numFmtId="0" fontId="1" fillId="0" borderId="0"/>
    <xf numFmtId="0" fontId="36" fillId="0" borderId="0"/>
    <xf numFmtId="0" fontId="1" fillId="0" borderId="0" applyNumberFormat="0" applyFont="0" applyFill="0" applyBorder="0" applyAlignment="0" applyProtection="0">
      <alignment vertical="top"/>
    </xf>
    <xf numFmtId="0" fontId="1" fillId="0" borderId="0"/>
    <xf numFmtId="0" fontId="12" fillId="0" borderId="0" applyFont="0"/>
    <xf numFmtId="0" fontId="13" fillId="0" borderId="0" applyNumberFormat="0" applyFill="0" applyBorder="0" applyAlignment="0" applyProtection="0">
      <alignment vertical="top"/>
      <protection locked="0"/>
    </xf>
    <xf numFmtId="0" fontId="14" fillId="0" borderId="0"/>
  </cellStyleXfs>
  <cellXfs count="882">
    <xf numFmtId="0" fontId="0" fillId="0" borderId="0" xfId="0"/>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5" fillId="0" borderId="4" xfId="0" applyFont="1" applyBorder="1" applyAlignment="1">
      <alignment vertical="center"/>
    </xf>
    <xf numFmtId="0" fontId="15" fillId="0" borderId="4" xfId="0" applyFont="1" applyBorder="1" applyAlignment="1">
      <alignment horizontal="right" vertical="center"/>
    </xf>
    <xf numFmtId="14" fontId="16" fillId="0" borderId="0" xfId="0" applyNumberFormat="1" applyFont="1" applyAlignment="1">
      <alignment horizontal="left" vertical="center"/>
    </xf>
    <xf numFmtId="0" fontId="16" fillId="0" borderId="0" xfId="0" applyFont="1" applyAlignment="1">
      <alignment horizontal="justify" vertical="center"/>
    </xf>
    <xf numFmtId="0" fontId="19" fillId="0" borderId="0" xfId="56" applyFont="1" applyAlignment="1" applyProtection="1">
      <alignment vertical="center"/>
      <protection hidden="1"/>
    </xf>
    <xf numFmtId="0" fontId="4" fillId="0" borderId="0" xfId="56" applyFont="1" applyAlignment="1" applyProtection="1">
      <alignment vertical="center"/>
      <protection hidden="1"/>
    </xf>
    <xf numFmtId="0" fontId="20" fillId="0" borderId="0" xfId="56" applyFont="1" applyAlignment="1" applyProtection="1">
      <alignment vertical="center"/>
      <protection hidden="1"/>
    </xf>
    <xf numFmtId="0" fontId="20" fillId="0" borderId="0" xfId="56" applyFont="1" applyProtection="1">
      <protection hidden="1"/>
    </xf>
    <xf numFmtId="0" fontId="1" fillId="0" borderId="0" xfId="56" applyProtection="1">
      <protection hidden="1"/>
    </xf>
    <xf numFmtId="0" fontId="5" fillId="0" borderId="0" xfId="56" applyFont="1" applyAlignment="1" applyProtection="1">
      <alignment vertical="center"/>
      <protection hidden="1"/>
    </xf>
    <xf numFmtId="0" fontId="5" fillId="0" borderId="5" xfId="56" applyFont="1" applyBorder="1" applyAlignment="1" applyProtection="1">
      <alignment vertical="center"/>
      <protection hidden="1"/>
    </xf>
    <xf numFmtId="0" fontId="5" fillId="0" borderId="6" xfId="56" applyFont="1" applyBorder="1" applyAlignment="1" applyProtection="1">
      <alignment vertical="center"/>
      <protection hidden="1"/>
    </xf>
    <xf numFmtId="0" fontId="1" fillId="0" borderId="0" xfId="56"/>
    <xf numFmtId="0" fontId="5" fillId="0" borderId="7" xfId="56" applyFont="1" applyBorder="1" applyAlignment="1" applyProtection="1">
      <alignment vertical="center"/>
      <protection hidden="1"/>
    </xf>
    <xf numFmtId="0" fontId="24" fillId="0" borderId="6" xfId="56" applyFont="1" applyBorder="1" applyAlignment="1" applyProtection="1">
      <alignment vertical="center"/>
      <protection hidden="1"/>
    </xf>
    <xf numFmtId="0" fontId="1" fillId="0" borderId="0" xfId="56" applyAlignment="1" applyProtection="1">
      <alignment vertical="center"/>
      <protection hidden="1"/>
    </xf>
    <xf numFmtId="0" fontId="19" fillId="0" borderId="6" xfId="56" applyFont="1" applyBorder="1" applyAlignment="1" applyProtection="1">
      <alignment vertical="center"/>
      <protection hidden="1"/>
    </xf>
    <xf numFmtId="0" fontId="26" fillId="0" borderId="5" xfId="56" applyFont="1" applyBorder="1" applyAlignment="1" applyProtection="1">
      <alignment vertical="center"/>
      <protection hidden="1"/>
    </xf>
    <xf numFmtId="0" fontId="26" fillId="0" borderId="0" xfId="56" applyFont="1" applyAlignment="1" applyProtection="1">
      <alignment vertical="center"/>
      <protection hidden="1"/>
    </xf>
    <xf numFmtId="0" fontId="19" fillId="0" borderId="7" xfId="56" applyFont="1" applyBorder="1" applyAlignment="1" applyProtection="1">
      <alignment vertical="center"/>
      <protection hidden="1"/>
    </xf>
    <xf numFmtId="0" fontId="5" fillId="0" borderId="8" xfId="56" applyFont="1" applyBorder="1" applyAlignment="1" applyProtection="1">
      <alignment vertical="center"/>
      <protection hidden="1"/>
    </xf>
    <xf numFmtId="0" fontId="15" fillId="0" borderId="0" xfId="57" applyFont="1" applyAlignment="1" applyProtection="1">
      <alignment vertical="center"/>
      <protection hidden="1"/>
    </xf>
    <xf numFmtId="0" fontId="16" fillId="0" borderId="0" xfId="57" applyAlignment="1" applyProtection="1">
      <alignment vertical="center"/>
      <protection hidden="1"/>
    </xf>
    <xf numFmtId="0" fontId="15" fillId="0" borderId="0" xfId="57" applyFont="1" applyAlignment="1" applyProtection="1">
      <alignment vertical="top"/>
      <protection hidden="1"/>
    </xf>
    <xf numFmtId="0" fontId="16" fillId="0" borderId="0" xfId="0" applyFont="1" applyAlignment="1" applyProtection="1">
      <alignment vertical="center"/>
      <protection hidden="1"/>
    </xf>
    <xf numFmtId="0" fontId="15" fillId="0" borderId="0" xfId="0" applyFont="1" applyAlignment="1">
      <alignment horizontal="justify" vertical="center"/>
    </xf>
    <xf numFmtId="0" fontId="15" fillId="0" borderId="0" xfId="0" applyFont="1" applyAlignment="1">
      <alignment horizontal="right" vertical="center"/>
    </xf>
    <xf numFmtId="0" fontId="16" fillId="0" borderId="0" xfId="0" applyFont="1" applyAlignment="1">
      <alignment horizontal="right" vertical="center"/>
    </xf>
    <xf numFmtId="0" fontId="5" fillId="0" borderId="0" xfId="56" applyFont="1" applyAlignment="1" applyProtection="1">
      <alignment vertical="top"/>
      <protection hidden="1"/>
    </xf>
    <xf numFmtId="0" fontId="27" fillId="0" borderId="0" xfId="56" applyFont="1" applyAlignment="1" applyProtection="1">
      <alignment horizontal="center" vertical="center"/>
      <protection hidden="1"/>
    </xf>
    <xf numFmtId="0" fontId="15" fillId="0" borderId="0" xfId="56" applyFont="1" applyAlignment="1" applyProtection="1">
      <alignment vertical="center"/>
      <protection hidden="1"/>
    </xf>
    <xf numFmtId="0" fontId="16" fillId="0" borderId="0" xfId="56" applyFont="1" applyAlignment="1" applyProtection="1">
      <alignment vertical="center"/>
      <protection hidden="1"/>
    </xf>
    <xf numFmtId="0" fontId="15" fillId="0" borderId="0" xfId="59" applyFont="1" applyAlignment="1" applyProtection="1">
      <alignment vertical="top"/>
      <protection hidden="1"/>
    </xf>
    <xf numFmtId="0" fontId="16" fillId="0" borderId="0" xfId="56" applyFont="1" applyAlignment="1" applyProtection="1">
      <alignment vertical="top"/>
      <protection hidden="1"/>
    </xf>
    <xf numFmtId="0" fontId="27" fillId="0" borderId="0" xfId="56" applyFont="1" applyAlignment="1" applyProtection="1">
      <alignment vertical="center"/>
      <protection hidden="1"/>
    </xf>
    <xf numFmtId="175" fontId="15" fillId="0" borderId="9" xfId="56" applyNumberFormat="1" applyFont="1" applyBorder="1" applyAlignment="1" applyProtection="1">
      <alignment horizontal="center" vertical="center"/>
      <protection hidden="1"/>
    </xf>
    <xf numFmtId="0" fontId="16" fillId="0" borderId="10" xfId="56" applyFont="1" applyBorder="1" applyAlignment="1" applyProtection="1">
      <alignment horizontal="center" vertical="center"/>
      <protection hidden="1"/>
    </xf>
    <xf numFmtId="0" fontId="16" fillId="0" borderId="11" xfId="56" applyFont="1" applyBorder="1" applyAlignment="1" applyProtection="1">
      <alignment horizontal="justify" vertical="center" wrapText="1"/>
      <protection hidden="1"/>
    </xf>
    <xf numFmtId="0" fontId="15" fillId="2" borderId="11" xfId="56" applyFont="1" applyFill="1" applyBorder="1" applyAlignment="1" applyProtection="1">
      <alignment vertical="center" wrapText="1"/>
      <protection hidden="1"/>
    </xf>
    <xf numFmtId="0" fontId="16" fillId="0" borderId="10" xfId="56" applyFont="1" applyBorder="1" applyAlignment="1" applyProtection="1">
      <alignment vertical="center"/>
      <protection hidden="1"/>
    </xf>
    <xf numFmtId="0" fontId="16" fillId="0" borderId="12" xfId="56" applyFont="1" applyBorder="1" applyAlignment="1" applyProtection="1">
      <alignment vertical="center"/>
      <protection hidden="1"/>
    </xf>
    <xf numFmtId="0" fontId="15" fillId="0" borderId="0" xfId="56" applyFont="1" applyAlignment="1" applyProtection="1">
      <alignment vertical="center" wrapText="1"/>
      <protection hidden="1"/>
    </xf>
    <xf numFmtId="4" fontId="15" fillId="0" borderId="0" xfId="56" applyNumberFormat="1" applyFont="1" applyAlignment="1" applyProtection="1">
      <alignment vertical="center"/>
      <protection hidden="1"/>
    </xf>
    <xf numFmtId="0" fontId="16" fillId="0" borderId="0" xfId="56" applyFont="1" applyAlignment="1" applyProtection="1">
      <alignment horizontal="left" vertical="center" wrapText="1"/>
      <protection hidden="1"/>
    </xf>
    <xf numFmtId="0" fontId="16" fillId="0" borderId="0" xfId="56" applyFont="1" applyAlignment="1" applyProtection="1">
      <alignment horizontal="right" vertical="center"/>
      <protection hidden="1"/>
    </xf>
    <xf numFmtId="0" fontId="16" fillId="0" borderId="0" xfId="56" applyFont="1" applyAlignment="1" applyProtection="1">
      <alignment horizontal="left" vertical="center"/>
      <protection hidden="1"/>
    </xf>
    <xf numFmtId="0" fontId="6" fillId="0" borderId="0" xfId="56" applyFont="1" applyAlignment="1" applyProtection="1">
      <alignment horizontal="center" vertical="top"/>
      <protection hidden="1"/>
    </xf>
    <xf numFmtId="0" fontId="15" fillId="0" borderId="4" xfId="56" applyFont="1" applyBorder="1" applyAlignment="1" applyProtection="1">
      <alignment vertical="top"/>
      <protection hidden="1"/>
    </xf>
    <xf numFmtId="0" fontId="15" fillId="0" borderId="9" xfId="56" applyFont="1" applyBorder="1" applyAlignment="1" applyProtection="1">
      <alignment horizontal="justify" vertical="top" wrapText="1"/>
      <protection hidden="1"/>
    </xf>
    <xf numFmtId="0" fontId="15" fillId="0" borderId="9" xfId="56" applyFont="1" applyBorder="1" applyAlignment="1" applyProtection="1">
      <alignment horizontal="right" vertical="center" wrapText="1" indent="5"/>
      <protection hidden="1"/>
    </xf>
    <xf numFmtId="0" fontId="16" fillId="0" borderId="12" xfId="56" applyFont="1" applyBorder="1" applyAlignment="1" applyProtection="1">
      <alignment horizontal="center" vertical="center"/>
      <protection hidden="1"/>
    </xf>
    <xf numFmtId="0" fontId="5" fillId="0" borderId="0" xfId="56" applyFont="1" applyAlignment="1" applyProtection="1">
      <alignment horizontal="right"/>
      <protection hidden="1"/>
    </xf>
    <xf numFmtId="0" fontId="15" fillId="0" borderId="4" xfId="0" applyFont="1" applyBorder="1" applyAlignment="1">
      <alignment horizontal="left" vertical="center"/>
    </xf>
    <xf numFmtId="0" fontId="15" fillId="0" borderId="4" xfId="0" applyFont="1" applyBorder="1" applyAlignment="1">
      <alignment horizontal="justify" vertical="center"/>
    </xf>
    <xf numFmtId="0" fontId="15" fillId="0" borderId="4" xfId="0" applyFont="1" applyBorder="1" applyAlignment="1">
      <alignment horizontal="center" vertical="center"/>
    </xf>
    <xf numFmtId="0" fontId="16" fillId="0" borderId="0" xfId="57" applyAlignment="1" applyProtection="1">
      <alignment horizontal="left" vertical="center" indent="1"/>
      <protection hidden="1"/>
    </xf>
    <xf numFmtId="0" fontId="16" fillId="0" borderId="0" xfId="0" applyFont="1" applyAlignment="1" applyProtection="1">
      <alignment horizontal="left" vertical="center" indent="1"/>
      <protection hidden="1"/>
    </xf>
    <xf numFmtId="0" fontId="16" fillId="0" borderId="0" xfId="56" applyFont="1" applyAlignment="1" applyProtection="1">
      <alignment horizontal="left" vertical="center" indent="1"/>
      <protection hidden="1"/>
    </xf>
    <xf numFmtId="0" fontId="16" fillId="0" borderId="0" xfId="59" applyFont="1" applyAlignment="1" applyProtection="1">
      <alignment horizontal="left" vertical="center" indent="1"/>
      <protection hidden="1"/>
    </xf>
    <xf numFmtId="0" fontId="16" fillId="0" borderId="0" xfId="0" applyFont="1" applyAlignment="1" applyProtection="1">
      <alignment horizontal="left" vertical="center"/>
      <protection hidden="1"/>
    </xf>
    <xf numFmtId="0" fontId="16" fillId="0" borderId="0" xfId="57" applyAlignment="1" applyProtection="1">
      <alignment horizontal="left" vertical="center"/>
      <protection hidden="1"/>
    </xf>
    <xf numFmtId="0" fontId="15" fillId="0" borderId="0" xfId="57" applyFont="1" applyAlignment="1" applyProtection="1">
      <alignment horizontal="left" vertical="center"/>
      <protection hidden="1"/>
    </xf>
    <xf numFmtId="0" fontId="15" fillId="0" borderId="6" xfId="56" applyFont="1" applyBorder="1" applyAlignment="1" applyProtection="1">
      <alignment horizontal="right" vertical="center" indent="5"/>
      <protection hidden="1"/>
    </xf>
    <xf numFmtId="4" fontId="15" fillId="0" borderId="9" xfId="56" applyNumberFormat="1" applyFont="1" applyBorder="1" applyAlignment="1" applyProtection="1">
      <alignment vertical="center"/>
      <protection hidden="1"/>
    </xf>
    <xf numFmtId="176" fontId="15" fillId="0" borderId="9" xfId="56" applyNumberFormat="1" applyFont="1" applyBorder="1" applyAlignment="1" applyProtection="1">
      <alignment vertical="center"/>
      <protection hidden="1"/>
    </xf>
    <xf numFmtId="0" fontId="15" fillId="0" borderId="9" xfId="56" applyFont="1" applyBorder="1" applyAlignment="1" applyProtection="1">
      <alignment vertical="center"/>
      <protection hidden="1"/>
    </xf>
    <xf numFmtId="0" fontId="15" fillId="0" borderId="0" xfId="56" applyFont="1" applyAlignment="1" applyProtection="1">
      <alignment horizontal="left" vertical="top" wrapText="1"/>
      <protection hidden="1"/>
    </xf>
    <xf numFmtId="0" fontId="15" fillId="0" borderId="9" xfId="56" applyFont="1" applyBorder="1" applyAlignment="1" applyProtection="1">
      <alignment horizontal="center" vertical="center" wrapText="1"/>
      <protection hidden="1"/>
    </xf>
    <xf numFmtId="0" fontId="16" fillId="0" borderId="0" xfId="56" applyFont="1" applyAlignment="1" applyProtection="1">
      <alignment horizontal="center" vertical="center"/>
      <protection hidden="1"/>
    </xf>
    <xf numFmtId="0" fontId="15" fillId="0" borderId="12" xfId="56" applyFont="1" applyBorder="1" applyAlignment="1" applyProtection="1">
      <alignment horizontal="right" vertical="center" wrapText="1"/>
      <protection hidden="1"/>
    </xf>
    <xf numFmtId="0" fontId="15" fillId="0" borderId="0" xfId="56" applyFont="1" applyAlignment="1" applyProtection="1">
      <alignment horizontal="left" vertical="center" wrapText="1"/>
      <protection hidden="1"/>
    </xf>
    <xf numFmtId="0" fontId="15" fillId="0" borderId="0" xfId="56" applyFont="1" applyAlignment="1" applyProtection="1">
      <alignment horizontal="right" vertical="center" wrapText="1"/>
      <protection hidden="1"/>
    </xf>
    <xf numFmtId="0" fontId="0" fillId="0" borderId="0" xfId="0" applyProtection="1">
      <protection hidden="1"/>
    </xf>
    <xf numFmtId="0" fontId="15" fillId="0" borderId="4" xfId="0" applyFont="1" applyBorder="1" applyAlignment="1" applyProtection="1">
      <alignment horizontal="left" vertical="center"/>
      <protection hidden="1"/>
    </xf>
    <xf numFmtId="0" fontId="15" fillId="0" borderId="4" xfId="0" applyFont="1" applyBorder="1" applyAlignment="1" applyProtection="1">
      <alignment horizontal="justify" vertical="center"/>
      <protection hidden="1"/>
    </xf>
    <xf numFmtId="0" fontId="15" fillId="0" borderId="4" xfId="0" applyFont="1" applyBorder="1" applyAlignment="1" applyProtection="1">
      <alignment horizontal="center" vertical="center"/>
      <protection hidden="1"/>
    </xf>
    <xf numFmtId="0" fontId="15" fillId="0" borderId="4" xfId="0" applyFont="1" applyBorder="1" applyAlignment="1" applyProtection="1">
      <alignment vertical="center"/>
      <protection hidden="1"/>
    </xf>
    <xf numFmtId="0" fontId="15" fillId="0" borderId="4" xfId="0" applyFont="1" applyBorder="1" applyAlignment="1" applyProtection="1">
      <alignment horizontal="right" vertical="center"/>
      <protection hidden="1"/>
    </xf>
    <xf numFmtId="0" fontId="1" fillId="0" borderId="0" xfId="55" applyNumberFormat="1" applyFont="1" applyFill="1" applyBorder="1" applyAlignment="1" applyProtection="1">
      <alignment vertical="top"/>
      <protection hidden="1"/>
    </xf>
    <xf numFmtId="0" fontId="16" fillId="0" borderId="0" xfId="0" applyFont="1" applyAlignment="1" applyProtection="1">
      <alignment horizontal="justify" vertical="center"/>
      <protection hidden="1"/>
    </xf>
    <xf numFmtId="0" fontId="16" fillId="0" borderId="0" xfId="0" applyFont="1" applyAlignment="1" applyProtection="1">
      <alignment horizontal="center" vertical="center"/>
      <protection hidden="1"/>
    </xf>
    <xf numFmtId="0" fontId="16" fillId="0" borderId="0" xfId="52" applyNumberFormat="1" applyFill="1" applyBorder="1" applyAlignment="1" applyProtection="1">
      <alignment vertical="center"/>
      <protection hidden="1"/>
    </xf>
    <xf numFmtId="0" fontId="16" fillId="0" borderId="0" xfId="52" applyNumberFormat="1" applyFill="1" applyBorder="1" applyAlignment="1" applyProtection="1">
      <alignment vertical="center" wrapText="1"/>
      <protection hidden="1"/>
    </xf>
    <xf numFmtId="0" fontId="15" fillId="0" borderId="0" xfId="0" applyFont="1" applyAlignment="1" applyProtection="1">
      <alignment horizontal="justify" vertical="center"/>
      <protection hidden="1"/>
    </xf>
    <xf numFmtId="14" fontId="16" fillId="0" borderId="0" xfId="0" applyNumberFormat="1" applyFont="1" applyAlignment="1" applyProtection="1">
      <alignment horizontal="left" vertical="center"/>
      <protection hidden="1"/>
    </xf>
    <xf numFmtId="0" fontId="15"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5" fillId="0" borderId="0" xfId="0" applyFont="1" applyAlignment="1" applyProtection="1">
      <alignment horizontal="left" vertical="center"/>
      <protection hidden="1"/>
    </xf>
    <xf numFmtId="0" fontId="15" fillId="0" borderId="0" xfId="0" applyFont="1" applyAlignment="1">
      <alignment horizontal="left" vertical="center" indent="1"/>
    </xf>
    <xf numFmtId="0" fontId="15" fillId="0" borderId="0" xfId="56" applyFont="1" applyAlignment="1" applyProtection="1">
      <alignment horizontal="left" vertical="center" indent="1"/>
      <protection hidden="1"/>
    </xf>
    <xf numFmtId="0" fontId="0" fillId="0" borderId="0" xfId="0" applyAlignment="1" applyProtection="1">
      <alignment vertical="center"/>
      <protection hidden="1"/>
    </xf>
    <xf numFmtId="0" fontId="15" fillId="0" borderId="0" xfId="57" applyFont="1" applyAlignment="1" applyProtection="1">
      <alignment horizontal="center" vertical="center"/>
      <protection hidden="1"/>
    </xf>
    <xf numFmtId="0" fontId="15" fillId="0" borderId="0" xfId="57" applyFont="1" applyAlignment="1" applyProtection="1">
      <alignment horizontal="left" vertical="center" indent="1"/>
      <protection hidden="1"/>
    </xf>
    <xf numFmtId="0" fontId="15" fillId="0" borderId="11" xfId="0" applyFont="1" applyBorder="1" applyAlignment="1" applyProtection="1">
      <alignment horizontal="left" vertical="center" wrapText="1"/>
      <protection hidden="1"/>
    </xf>
    <xf numFmtId="0" fontId="15" fillId="0" borderId="11" xfId="0" applyFont="1" applyBorder="1" applyAlignment="1" applyProtection="1">
      <alignment horizontal="center" vertical="center" wrapText="1"/>
      <protection hidden="1"/>
    </xf>
    <xf numFmtId="0" fontId="15" fillId="0" borderId="11" xfId="57" applyFont="1" applyBorder="1" applyAlignment="1" applyProtection="1">
      <alignment horizontal="center" vertical="center"/>
      <protection hidden="1"/>
    </xf>
    <xf numFmtId="0" fontId="16" fillId="0" borderId="11" xfId="57" applyBorder="1" applyAlignment="1" applyProtection="1">
      <alignment horizontal="left" vertical="center" wrapText="1"/>
      <protection hidden="1"/>
    </xf>
    <xf numFmtId="0" fontId="16" fillId="0" borderId="0" xfId="57" applyAlignment="1" applyProtection="1">
      <alignment horizontal="left" vertical="center" wrapText="1"/>
      <protection hidden="1"/>
    </xf>
    <xf numFmtId="0" fontId="15" fillId="0" borderId="0" xfId="0" applyFont="1" applyAlignment="1" applyProtection="1">
      <alignment vertical="center" wrapText="1"/>
      <protection hidden="1"/>
    </xf>
    <xf numFmtId="0" fontId="15" fillId="0" borderId="0" xfId="0" applyFont="1" applyAlignment="1" applyProtection="1">
      <alignment horizontal="left" vertical="center" indent="1"/>
      <protection hidden="1"/>
    </xf>
    <xf numFmtId="0" fontId="15" fillId="0" borderId="4" xfId="49" applyFont="1" applyBorder="1" applyAlignment="1" applyProtection="1">
      <alignment vertical="center"/>
      <protection hidden="1"/>
    </xf>
    <xf numFmtId="0" fontId="16" fillId="0" borderId="4" xfId="49" applyFont="1" applyBorder="1" applyAlignment="1" applyProtection="1">
      <alignment vertical="center"/>
      <protection hidden="1"/>
    </xf>
    <xf numFmtId="0" fontId="33" fillId="0" borderId="0" xfId="49" applyAlignment="1" applyProtection="1">
      <alignment vertical="center"/>
      <protection hidden="1"/>
    </xf>
    <xf numFmtId="0" fontId="33" fillId="0" borderId="0" xfId="49" applyProtection="1">
      <protection hidden="1"/>
    </xf>
    <xf numFmtId="0" fontId="15" fillId="0" borderId="0" xfId="49" applyFont="1" applyAlignment="1" applyProtection="1">
      <alignment horizontal="center" vertical="center"/>
      <protection hidden="1"/>
    </xf>
    <xf numFmtId="0" fontId="16" fillId="0" borderId="0" xfId="49" applyFont="1" applyAlignment="1" applyProtection="1">
      <alignment vertical="center"/>
      <protection hidden="1"/>
    </xf>
    <xf numFmtId="0" fontId="15" fillId="0" borderId="0" xfId="50" applyFont="1" applyAlignment="1" applyProtection="1">
      <alignment horizontal="left" vertical="center"/>
      <protection hidden="1"/>
    </xf>
    <xf numFmtId="0" fontId="16" fillId="0" borderId="0" xfId="58" applyAlignment="1" applyProtection="1">
      <alignment horizontal="left" vertical="center"/>
      <protection hidden="1"/>
    </xf>
    <xf numFmtId="0" fontId="16" fillId="0" borderId="0" xfId="49" applyFont="1" applyAlignment="1" applyProtection="1">
      <alignment horizontal="left" vertical="center"/>
      <protection hidden="1"/>
    </xf>
    <xf numFmtId="0" fontId="16" fillId="0" borderId="0" xfId="49" applyFont="1" applyAlignment="1" applyProtection="1">
      <alignment horizontal="justify" vertical="center"/>
      <protection hidden="1"/>
    </xf>
    <xf numFmtId="0" fontId="15" fillId="0" borderId="0" xfId="49" applyFont="1" applyAlignment="1" applyProtection="1">
      <alignment horizontal="right" vertical="center"/>
      <protection hidden="1"/>
    </xf>
    <xf numFmtId="0" fontId="15" fillId="0" borderId="4" xfId="49" applyFont="1" applyBorder="1" applyAlignment="1" applyProtection="1">
      <alignment horizontal="right" vertical="center"/>
      <protection hidden="1"/>
    </xf>
    <xf numFmtId="177" fontId="16" fillId="0" borderId="0" xfId="49" applyNumberFormat="1" applyFont="1" applyAlignment="1" applyProtection="1">
      <alignment horizontal="left" vertical="center"/>
      <protection hidden="1"/>
    </xf>
    <xf numFmtId="0" fontId="16" fillId="0" borderId="0" xfId="0" applyFont="1" applyAlignment="1" applyProtection="1">
      <alignment horizontal="center" vertical="center" wrapText="1"/>
      <protection hidden="1"/>
    </xf>
    <xf numFmtId="166" fontId="16" fillId="0" borderId="0" xfId="0" applyNumberFormat="1" applyFont="1" applyAlignment="1" applyProtection="1">
      <alignment horizontal="center" vertical="center"/>
      <protection hidden="1"/>
    </xf>
    <xf numFmtId="177" fontId="15" fillId="0" borderId="0" xfId="0" applyNumberFormat="1" applyFont="1" applyAlignment="1">
      <alignment horizontal="left" vertical="center" indent="1"/>
    </xf>
    <xf numFmtId="177" fontId="15" fillId="0" borderId="0" xfId="0" applyNumberFormat="1" applyFont="1" applyAlignment="1" applyProtection="1">
      <alignment horizontal="justify" vertical="center"/>
      <protection hidden="1"/>
    </xf>
    <xf numFmtId="177" fontId="15" fillId="0" borderId="0" xfId="0" applyNumberFormat="1" applyFont="1" applyAlignment="1" applyProtection="1">
      <alignment horizontal="left" vertical="center" indent="1"/>
      <protection hidden="1"/>
    </xf>
    <xf numFmtId="177" fontId="15" fillId="0" borderId="0" xfId="49" applyNumberFormat="1" applyFont="1" applyAlignment="1" applyProtection="1">
      <alignment vertical="center"/>
      <protection hidden="1"/>
    </xf>
    <xf numFmtId="0" fontId="15" fillId="0" borderId="0" xfId="49" applyFont="1" applyAlignment="1" applyProtection="1">
      <alignment horizontal="left" vertical="center" indent="1"/>
      <protection hidden="1"/>
    </xf>
    <xf numFmtId="0" fontId="16" fillId="0" borderId="0" xfId="49" applyFont="1" applyAlignment="1" applyProtection="1">
      <alignment horizontal="left" vertical="center" indent="1"/>
      <protection hidden="1"/>
    </xf>
    <xf numFmtId="166" fontId="5" fillId="0" borderId="0" xfId="49" applyNumberFormat="1" applyFont="1" applyAlignment="1" applyProtection="1">
      <alignment horizontal="center" vertical="top"/>
      <protection hidden="1"/>
    </xf>
    <xf numFmtId="166" fontId="5" fillId="0" borderId="0" xfId="49" applyNumberFormat="1" applyFont="1" applyAlignment="1" applyProtection="1">
      <alignment horizontal="center" vertical="center"/>
      <protection hidden="1"/>
    </xf>
    <xf numFmtId="0" fontId="5" fillId="0" borderId="0" xfId="49" applyFont="1" applyAlignment="1" applyProtection="1">
      <alignment horizontal="center" vertical="top"/>
      <protection hidden="1"/>
    </xf>
    <xf numFmtId="0" fontId="5" fillId="0" borderId="0" xfId="49" applyFont="1" applyAlignment="1" applyProtection="1">
      <alignment horizontal="left" vertical="center"/>
      <protection hidden="1"/>
    </xf>
    <xf numFmtId="0" fontId="36" fillId="0" borderId="0" xfId="51" applyFont="1" applyAlignment="1" applyProtection="1">
      <alignment horizontal="center" vertical="center"/>
      <protection hidden="1"/>
    </xf>
    <xf numFmtId="0" fontId="36" fillId="0" borderId="0" xfId="51" applyFont="1" applyAlignment="1" applyProtection="1">
      <alignment horizontal="left" vertical="center"/>
      <protection hidden="1"/>
    </xf>
    <xf numFmtId="0" fontId="1" fillId="0" borderId="0" xfId="51" applyAlignment="1" applyProtection="1">
      <alignment vertical="center"/>
      <protection hidden="1"/>
    </xf>
    <xf numFmtId="0" fontId="36" fillId="0" borderId="0" xfId="51" applyFont="1" applyAlignment="1" applyProtection="1">
      <alignment vertical="center"/>
      <protection hidden="1"/>
    </xf>
    <xf numFmtId="0" fontId="1" fillId="0" borderId="0" xfId="51" applyProtection="1">
      <protection hidden="1"/>
    </xf>
    <xf numFmtId="0" fontId="1" fillId="0" borderId="0" xfId="51" applyAlignment="1" applyProtection="1">
      <alignment horizontal="left"/>
      <protection hidden="1"/>
    </xf>
    <xf numFmtId="0" fontId="1" fillId="0" borderId="0" xfId="51" applyAlignment="1" applyProtection="1">
      <alignment horizontal="center"/>
      <protection hidden="1"/>
    </xf>
    <xf numFmtId="0" fontId="1" fillId="0" borderId="0" xfId="62" applyAlignment="1" applyProtection="1">
      <alignment horizontal="center"/>
      <protection hidden="1"/>
    </xf>
    <xf numFmtId="0" fontId="1" fillId="0" borderId="0" xfId="62" applyProtection="1">
      <protection hidden="1"/>
    </xf>
    <xf numFmtId="0" fontId="16" fillId="0" borderId="0" xfId="0" applyFont="1" applyAlignment="1" applyProtection="1">
      <alignment horizontal="left" vertical="center" indent="2"/>
      <protection hidden="1"/>
    </xf>
    <xf numFmtId="0" fontId="16" fillId="0" borderId="0" xfId="0" applyFont="1" applyAlignment="1" applyProtection="1">
      <alignment vertical="center"/>
      <protection locked="0"/>
    </xf>
    <xf numFmtId="0" fontId="16" fillId="0" borderId="13" xfId="0" applyFont="1" applyBorder="1" applyAlignment="1" applyProtection="1">
      <alignment horizontal="left" vertical="center"/>
      <protection hidden="1"/>
    </xf>
    <xf numFmtId="0" fontId="15" fillId="0" borderId="0" xfId="49" applyFont="1" applyAlignment="1" applyProtection="1">
      <alignment horizontal="left" vertical="center" indent="2"/>
      <protection hidden="1"/>
    </xf>
    <xf numFmtId="0" fontId="37" fillId="0" borderId="0" xfId="55" applyNumberFormat="1" applyFont="1" applyFill="1" applyBorder="1" applyAlignment="1" applyProtection="1">
      <alignment horizontal="center" vertical="top"/>
      <protection hidden="1"/>
    </xf>
    <xf numFmtId="0" fontId="15" fillId="0" borderId="0" xfId="0" applyFont="1" applyAlignment="1" applyProtection="1">
      <alignment horizontal="center" vertical="center"/>
      <protection hidden="1"/>
    </xf>
    <xf numFmtId="0" fontId="15" fillId="0" borderId="0" xfId="55" applyFont="1" applyAlignment="1" applyProtection="1">
      <alignment horizontal="center" vertical="center" wrapText="1"/>
      <protection hidden="1"/>
    </xf>
    <xf numFmtId="0" fontId="38" fillId="0" borderId="0" xfId="55" applyNumberFormat="1" applyFont="1" applyFill="1" applyBorder="1" applyAlignment="1" applyProtection="1">
      <alignment vertical="top"/>
      <protection hidden="1"/>
    </xf>
    <xf numFmtId="0" fontId="16" fillId="0" borderId="0" xfId="55" applyNumberFormat="1" applyFont="1" applyFill="1" applyBorder="1" applyAlignment="1" applyProtection="1">
      <alignment vertical="center" wrapText="1"/>
      <protection hidden="1"/>
    </xf>
    <xf numFmtId="0" fontId="16" fillId="0" borderId="0" xfId="55" applyFont="1" applyAlignment="1" applyProtection="1">
      <alignment vertical="center"/>
      <protection hidden="1"/>
    </xf>
    <xf numFmtId="0" fontId="39" fillId="0" borderId="0" xfId="0" applyFont="1" applyAlignment="1" applyProtection="1">
      <alignment horizontal="left" vertical="center"/>
      <protection hidden="1"/>
    </xf>
    <xf numFmtId="0" fontId="39" fillId="0" borderId="0" xfId="0" applyFont="1" applyAlignment="1" applyProtection="1">
      <alignment horizontal="justify" vertical="center"/>
      <protection hidden="1"/>
    </xf>
    <xf numFmtId="0" fontId="39" fillId="0" borderId="0" xfId="0" applyFont="1" applyAlignment="1" applyProtection="1">
      <alignment horizontal="center" vertical="center"/>
      <protection hidden="1"/>
    </xf>
    <xf numFmtId="0" fontId="39" fillId="0" borderId="0" xfId="0" applyFont="1" applyAlignment="1" applyProtection="1">
      <alignment vertical="center"/>
      <protection hidden="1"/>
    </xf>
    <xf numFmtId="0" fontId="39" fillId="0" borderId="0" xfId="0" applyFont="1" applyAlignment="1" applyProtection="1">
      <alignment horizontal="left" vertical="center" indent="1"/>
      <protection hidden="1"/>
    </xf>
    <xf numFmtId="0" fontId="39" fillId="0" borderId="0" xfId="55" applyFont="1" applyAlignment="1" applyProtection="1">
      <alignment vertical="center"/>
      <protection hidden="1"/>
    </xf>
    <xf numFmtId="0" fontId="39" fillId="0" borderId="0" xfId="55" applyFont="1" applyAlignment="1" applyProtection="1">
      <alignment vertical="center" wrapText="1"/>
      <protection hidden="1"/>
    </xf>
    <xf numFmtId="0" fontId="39" fillId="0" borderId="0" xfId="55" applyNumberFormat="1" applyFont="1" applyFill="1" applyBorder="1" applyAlignment="1" applyProtection="1">
      <alignment vertical="center"/>
      <protection hidden="1"/>
    </xf>
    <xf numFmtId="0" fontId="16" fillId="0" borderId="0" xfId="55" applyNumberFormat="1" applyFont="1" applyFill="1" applyBorder="1" applyAlignment="1" applyProtection="1">
      <alignment horizontal="left" vertical="center" indent="6"/>
      <protection hidden="1"/>
    </xf>
    <xf numFmtId="0" fontId="38" fillId="0" borderId="14" xfId="55" applyNumberFormat="1" applyFont="1" applyFill="1" applyBorder="1" applyAlignment="1" applyProtection="1">
      <alignment vertical="top"/>
      <protection hidden="1"/>
    </xf>
    <xf numFmtId="0" fontId="38" fillId="0" borderId="15" xfId="55" applyNumberFormat="1" applyFont="1" applyFill="1" applyBorder="1" applyAlignment="1" applyProtection="1">
      <alignment vertical="top"/>
      <protection hidden="1"/>
    </xf>
    <xf numFmtId="0" fontId="15" fillId="0" borderId="10" xfId="55" applyFont="1" applyBorder="1" applyAlignment="1" applyProtection="1">
      <alignment horizontal="center" vertical="center" wrapText="1"/>
      <protection hidden="1"/>
    </xf>
    <xf numFmtId="0" fontId="15" fillId="0" borderId="12" xfId="55" applyFont="1" applyBorder="1" applyAlignment="1" applyProtection="1">
      <alignment horizontal="center" vertical="center" wrapText="1"/>
      <protection hidden="1"/>
    </xf>
    <xf numFmtId="0" fontId="16" fillId="0" borderId="11" xfId="55" applyFont="1" applyBorder="1" applyAlignment="1" applyProtection="1">
      <alignment horizontal="center" vertical="top"/>
      <protection hidden="1"/>
    </xf>
    <xf numFmtId="0" fontId="16" fillId="0" borderId="9" xfId="55" applyFont="1" applyBorder="1" applyAlignment="1" applyProtection="1">
      <alignment horizontal="center" vertical="top"/>
      <protection hidden="1"/>
    </xf>
    <xf numFmtId="0" fontId="15" fillId="0" borderId="0" xfId="55" applyFont="1" applyBorder="1" applyAlignment="1" applyProtection="1">
      <alignment horizontal="center" vertical="center" wrapText="1"/>
      <protection hidden="1"/>
    </xf>
    <xf numFmtId="0" fontId="16" fillId="0" borderId="0" xfId="55" applyFont="1" applyBorder="1" applyAlignment="1" applyProtection="1">
      <alignment horizontal="justify" vertical="center"/>
      <protection hidden="1"/>
    </xf>
    <xf numFmtId="0" fontId="38" fillId="0" borderId="16" xfId="55" applyNumberFormat="1" applyFont="1" applyFill="1" applyBorder="1" applyAlignment="1" applyProtection="1">
      <alignment horizontal="right" vertical="top"/>
      <protection hidden="1"/>
    </xf>
    <xf numFmtId="0" fontId="16" fillId="0" borderId="14" xfId="55" applyFont="1" applyBorder="1" applyAlignment="1" applyProtection="1">
      <alignment horizontal="center" vertical="center"/>
      <protection hidden="1"/>
    </xf>
    <xf numFmtId="10" fontId="16" fillId="3" borderId="11" xfId="55" applyNumberFormat="1" applyFont="1" applyFill="1" applyBorder="1" applyAlignment="1" applyProtection="1">
      <alignment horizontal="right" vertical="center"/>
      <protection locked="0"/>
    </xf>
    <xf numFmtId="168" fontId="15" fillId="0" borderId="0" xfId="0" applyNumberFormat="1" applyFont="1" applyAlignment="1" applyProtection="1">
      <alignment horizontal="center" vertical="center" wrapText="1"/>
      <protection hidden="1"/>
    </xf>
    <xf numFmtId="3" fontId="15" fillId="0" borderId="12" xfId="56" applyNumberFormat="1" applyFont="1" applyBorder="1" applyAlignment="1" applyProtection="1">
      <alignment horizontal="right" vertical="center" wrapText="1"/>
      <protection hidden="1"/>
    </xf>
    <xf numFmtId="0" fontId="16" fillId="3" borderId="14" xfId="0" applyFont="1" applyFill="1" applyBorder="1" applyAlignment="1" applyProtection="1">
      <alignment horizontal="left" vertical="center"/>
      <protection locked="0"/>
    </xf>
    <xf numFmtId="0" fontId="15" fillId="0" borderId="0" xfId="52" applyNumberFormat="1" applyFont="1" applyFill="1" applyBorder="1" applyAlignment="1" applyProtection="1">
      <alignment horizontal="left" vertical="center"/>
    </xf>
    <xf numFmtId="0" fontId="15" fillId="0" borderId="0" xfId="56" applyFont="1" applyAlignment="1" applyProtection="1">
      <alignment vertical="top"/>
      <protection hidden="1"/>
    </xf>
    <xf numFmtId="0" fontId="42" fillId="0" borderId="0" xfId="49" applyFont="1" applyAlignment="1" applyProtection="1">
      <alignment vertical="center"/>
      <protection hidden="1"/>
    </xf>
    <xf numFmtId="0" fontId="16" fillId="0" borderId="17" xfId="55" applyNumberFormat="1" applyFont="1" applyFill="1" applyBorder="1" applyAlignment="1" applyProtection="1">
      <alignment horizontal="left" vertical="center" indent="3"/>
      <protection hidden="1"/>
    </xf>
    <xf numFmtId="0" fontId="16" fillId="0" borderId="14" xfId="55" applyFont="1" applyBorder="1" applyAlignment="1" applyProtection="1">
      <alignment horizontal="right" vertical="center"/>
      <protection hidden="1"/>
    </xf>
    <xf numFmtId="0" fontId="16" fillId="0" borderId="18" xfId="55" applyFont="1" applyBorder="1" applyAlignment="1" applyProtection="1">
      <alignment horizontal="right" vertical="center"/>
      <protection hidden="1"/>
    </xf>
    <xf numFmtId="0" fontId="16" fillId="0" borderId="19" xfId="55" applyFont="1" applyBorder="1" applyAlignment="1" applyProtection="1">
      <alignment horizontal="right" vertical="center"/>
      <protection hidden="1"/>
    </xf>
    <xf numFmtId="0" fontId="16" fillId="0" borderId="15" xfId="55" applyFont="1" applyBorder="1" applyAlignment="1" applyProtection="1">
      <alignment horizontal="right" vertical="center"/>
      <protection hidden="1"/>
    </xf>
    <xf numFmtId="0" fontId="43" fillId="0" borderId="17" xfId="56" applyFont="1" applyBorder="1" applyAlignment="1" applyProtection="1">
      <alignment horizontal="center" vertical="center"/>
      <protection hidden="1"/>
    </xf>
    <xf numFmtId="0" fontId="43" fillId="0" borderId="17" xfId="56" applyFont="1" applyBorder="1" applyAlignment="1" applyProtection="1">
      <alignment horizontal="center" vertical="top"/>
      <protection hidden="1"/>
    </xf>
    <xf numFmtId="10" fontId="16" fillId="3" borderId="20" xfId="55" applyNumberFormat="1" applyFont="1" applyFill="1" applyBorder="1" applyAlignment="1" applyProtection="1">
      <alignment horizontal="right" vertical="center" wrapText="1"/>
      <protection locked="0"/>
    </xf>
    <xf numFmtId="10" fontId="16" fillId="3" borderId="21" xfId="55" applyNumberFormat="1" applyFont="1" applyFill="1" applyBorder="1" applyAlignment="1" applyProtection="1">
      <alignment horizontal="right" vertical="center" wrapText="1"/>
      <protection locked="0"/>
    </xf>
    <xf numFmtId="0" fontId="15" fillId="0" borderId="0" xfId="0" applyFont="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0" xfId="52" applyNumberFormat="1" applyFont="1" applyFill="1" applyBorder="1" applyAlignment="1" applyProtection="1">
      <alignment horizontal="center" vertical="center" wrapText="1"/>
      <protection hidden="1"/>
    </xf>
    <xf numFmtId="2" fontId="32" fillId="0" borderId="0" xfId="52" applyNumberFormat="1" applyFont="1" applyFill="1" applyBorder="1" applyAlignment="1" applyProtection="1">
      <alignment horizontal="right" vertical="center"/>
      <protection hidden="1"/>
    </xf>
    <xf numFmtId="2" fontId="27" fillId="0" borderId="0" xfId="52" applyNumberFormat="1" applyFont="1" applyFill="1" applyBorder="1" applyAlignment="1" applyProtection="1">
      <alignment horizontal="right" vertical="center"/>
      <protection hidden="1"/>
    </xf>
    <xf numFmtId="0" fontId="40" fillId="0" borderId="0" xfId="56" applyFont="1" applyAlignment="1" applyProtection="1">
      <alignment vertical="top"/>
      <protection hidden="1"/>
    </xf>
    <xf numFmtId="2" fontId="40" fillId="0" borderId="0" xfId="56" applyNumberFormat="1" applyFont="1" applyAlignment="1" applyProtection="1">
      <alignment vertical="top"/>
      <protection hidden="1"/>
    </xf>
    <xf numFmtId="0" fontId="32" fillId="0" borderId="0" xfId="0" applyFont="1" applyProtection="1">
      <protection hidden="1"/>
    </xf>
    <xf numFmtId="2" fontId="32" fillId="0" borderId="0" xfId="57" applyNumberFormat="1" applyFont="1" applyAlignment="1" applyProtection="1">
      <alignment vertical="center"/>
      <protection hidden="1"/>
    </xf>
    <xf numFmtId="0" fontId="32" fillId="0" borderId="0" xfId="0" applyFont="1" applyAlignment="1" applyProtection="1">
      <alignment horizontal="right"/>
      <protection hidden="1"/>
    </xf>
    <xf numFmtId="2" fontId="32" fillId="0" borderId="0" xfId="0" applyNumberFormat="1" applyFont="1" applyProtection="1">
      <protection hidden="1"/>
    </xf>
    <xf numFmtId="0" fontId="44" fillId="0" borderId="0" xfId="49" applyFont="1" applyProtection="1">
      <protection hidden="1"/>
    </xf>
    <xf numFmtId="0" fontId="44" fillId="0" borderId="0" xfId="49" applyFont="1" applyAlignment="1" applyProtection="1">
      <alignment horizontal="center" vertical="center"/>
      <protection hidden="1"/>
    </xf>
    <xf numFmtId="0" fontId="44" fillId="0" borderId="0" xfId="49" applyFont="1" applyAlignment="1" applyProtection="1">
      <alignment horizontal="center"/>
      <protection hidden="1"/>
    </xf>
    <xf numFmtId="0" fontId="44" fillId="0" borderId="0" xfId="49" applyFont="1" applyAlignment="1" applyProtection="1">
      <alignment horizontal="justify"/>
      <protection hidden="1"/>
    </xf>
    <xf numFmtId="0" fontId="44" fillId="0" borderId="0" xfId="49" quotePrefix="1" applyFont="1" applyAlignment="1" applyProtection="1">
      <alignment horizontal="justify"/>
      <protection hidden="1"/>
    </xf>
    <xf numFmtId="4" fontId="45" fillId="0" borderId="0" xfId="49" applyNumberFormat="1" applyFont="1" applyAlignment="1" applyProtection="1">
      <alignment vertical="center"/>
      <protection hidden="1"/>
    </xf>
    <xf numFmtId="0" fontId="45" fillId="0" borderId="0" xfId="49" applyFont="1" applyAlignment="1" applyProtection="1">
      <alignment horizontal="justify" vertical="center"/>
      <protection hidden="1"/>
    </xf>
    <xf numFmtId="0" fontId="44" fillId="0" borderId="0" xfId="49" applyFont="1" applyAlignment="1" applyProtection="1">
      <alignment vertical="center"/>
      <protection hidden="1"/>
    </xf>
    <xf numFmtId="0" fontId="32" fillId="0" borderId="0" xfId="0" applyFont="1" applyAlignment="1" applyProtection="1">
      <alignment horizontal="left" vertical="center"/>
      <protection hidden="1"/>
    </xf>
    <xf numFmtId="10" fontId="32" fillId="0" borderId="0" xfId="0" applyNumberFormat="1" applyFont="1" applyAlignment="1" applyProtection="1">
      <alignment horizontal="center" vertical="center"/>
      <protection hidden="1"/>
    </xf>
    <xf numFmtId="0" fontId="28" fillId="0" borderId="0" xfId="52" applyNumberFormat="1" applyFont="1" applyFill="1" applyBorder="1" applyAlignment="1" applyProtection="1">
      <alignment vertical="center"/>
      <protection hidden="1"/>
    </xf>
    <xf numFmtId="0" fontId="28" fillId="0" borderId="0" xfId="52" applyNumberFormat="1" applyFont="1" applyFill="1" applyBorder="1" applyAlignment="1" applyProtection="1">
      <alignment vertical="center" wrapText="1"/>
      <protection hidden="1"/>
    </xf>
    <xf numFmtId="0" fontId="15" fillId="0" borderId="0" xfId="52" applyNumberFormat="1" applyFont="1" applyFill="1" applyBorder="1" applyAlignment="1" applyProtection="1">
      <alignment horizontal="left" vertical="center"/>
      <protection hidden="1"/>
    </xf>
    <xf numFmtId="0" fontId="15" fillId="0" borderId="11" xfId="0" applyFont="1" applyBorder="1" applyAlignment="1" applyProtection="1">
      <alignment horizontal="center" vertical="center"/>
      <protection hidden="1"/>
    </xf>
    <xf numFmtId="0" fontId="16" fillId="0" borderId="0" xfId="0" applyFont="1" applyProtection="1">
      <protection hidden="1"/>
    </xf>
    <xf numFmtId="0" fontId="16" fillId="0" borderId="0" xfId="52" applyNumberFormat="1" applyFill="1" applyBorder="1" applyAlignment="1" applyProtection="1">
      <alignment horizontal="center" vertical="center"/>
      <protection hidden="1"/>
    </xf>
    <xf numFmtId="4" fontId="16" fillId="0" borderId="0" xfId="52" applyNumberFormat="1" applyFill="1" applyBorder="1" applyAlignment="1" applyProtection="1">
      <alignment vertical="center"/>
      <protection hidden="1"/>
    </xf>
    <xf numFmtId="0" fontId="15" fillId="0" borderId="0" xfId="52" applyNumberFormat="1" applyFont="1" applyFill="1" applyBorder="1" applyAlignment="1" applyProtection="1">
      <alignment vertical="center" wrapText="1"/>
      <protection hidden="1"/>
    </xf>
    <xf numFmtId="177" fontId="15" fillId="0" borderId="0" xfId="0" applyNumberFormat="1" applyFont="1" applyAlignment="1" applyProtection="1">
      <alignment horizontal="left" vertical="center"/>
      <protection hidden="1"/>
    </xf>
    <xf numFmtId="0" fontId="0" fillId="0" borderId="0" xfId="0" applyAlignment="1" applyProtection="1">
      <alignment horizontal="center"/>
      <protection hidden="1"/>
    </xf>
    <xf numFmtId="0" fontId="32" fillId="0" borderId="0" xfId="0" applyFont="1" applyAlignment="1" applyProtection="1">
      <alignment horizontal="center"/>
      <protection hidden="1"/>
    </xf>
    <xf numFmtId="0" fontId="39" fillId="0" borderId="0" xfId="57" applyFont="1" applyAlignment="1" applyProtection="1">
      <alignment vertical="center"/>
      <protection hidden="1"/>
    </xf>
    <xf numFmtId="0" fontId="39" fillId="0" borderId="0" xfId="0" applyFont="1" applyProtection="1">
      <protection hidden="1"/>
    </xf>
    <xf numFmtId="0" fontId="16" fillId="0" borderId="0" xfId="0" applyFont="1" applyAlignment="1" applyProtection="1">
      <alignment horizontal="justify" vertical="center" wrapText="1"/>
      <protection hidden="1"/>
    </xf>
    <xf numFmtId="166" fontId="16" fillId="0" borderId="11" xfId="57" applyNumberFormat="1" applyBorder="1" applyAlignment="1" applyProtection="1">
      <alignment horizontal="center" vertical="center"/>
      <protection hidden="1"/>
    </xf>
    <xf numFmtId="2" fontId="16" fillId="2" borderId="11" xfId="57" applyNumberFormat="1" applyFill="1" applyBorder="1" applyAlignment="1" applyProtection="1">
      <alignment vertical="center"/>
      <protection hidden="1"/>
    </xf>
    <xf numFmtId="168" fontId="15" fillId="0" borderId="11" xfId="0" applyNumberFormat="1" applyFont="1" applyBorder="1" applyAlignment="1" applyProtection="1">
      <alignment vertical="center" wrapText="1"/>
      <protection hidden="1"/>
    </xf>
    <xf numFmtId="0" fontId="16" fillId="0" borderId="11" xfId="57" applyBorder="1" applyAlignment="1" applyProtection="1">
      <alignment vertical="center"/>
      <protection hidden="1"/>
    </xf>
    <xf numFmtId="0" fontId="16" fillId="0" borderId="4" xfId="0" applyFont="1" applyBorder="1" applyAlignment="1" applyProtection="1">
      <alignment horizontal="left" vertical="center"/>
      <protection hidden="1"/>
    </xf>
    <xf numFmtId="0" fontId="28" fillId="0" borderId="0" xfId="0" applyFont="1" applyAlignment="1" applyProtection="1">
      <alignment horizontal="center" vertical="center"/>
      <protection hidden="1"/>
    </xf>
    <xf numFmtId="0" fontId="16" fillId="0" borderId="0" xfId="0" applyFont="1" applyAlignment="1" applyProtection="1">
      <alignment vertical="center" wrapText="1"/>
      <protection hidden="1"/>
    </xf>
    <xf numFmtId="166" fontId="16" fillId="0" borderId="11" xfId="61" applyNumberFormat="1" applyFont="1" applyFill="1" applyBorder="1" applyAlignment="1" applyProtection="1">
      <alignment horizontal="center" vertical="center" wrapText="1"/>
      <protection hidden="1"/>
    </xf>
    <xf numFmtId="0" fontId="16" fillId="0" borderId="11" xfId="0" applyFont="1" applyBorder="1" applyAlignment="1" applyProtection="1">
      <alignment horizontal="center" vertical="center"/>
      <protection hidden="1"/>
    </xf>
    <xf numFmtId="2" fontId="16" fillId="0" borderId="20" xfId="0" applyNumberFormat="1" applyFont="1" applyBorder="1" applyAlignment="1" applyProtection="1">
      <alignment vertical="center"/>
      <protection hidden="1"/>
    </xf>
    <xf numFmtId="0" fontId="18" fillId="0" borderId="11" xfId="61" applyFont="1" applyFill="1" applyBorder="1" applyAlignment="1" applyProtection="1">
      <alignment horizontal="center" vertical="center" wrapText="1"/>
      <protection hidden="1"/>
    </xf>
    <xf numFmtId="2" fontId="16" fillId="0" borderId="11" xfId="0" applyNumberFormat="1" applyFont="1" applyBorder="1" applyAlignment="1" applyProtection="1">
      <alignment vertical="center"/>
      <protection hidden="1"/>
    </xf>
    <xf numFmtId="0" fontId="16" fillId="0" borderId="11" xfId="0" applyFont="1" applyBorder="1" applyAlignment="1" applyProtection="1">
      <alignment vertical="center"/>
      <protection hidden="1"/>
    </xf>
    <xf numFmtId="0" fontId="16" fillId="0" borderId="11" xfId="61" applyNumberFormat="1" applyFont="1" applyFill="1" applyBorder="1" applyAlignment="1" applyProtection="1">
      <alignment horizontal="center" vertical="center"/>
      <protection hidden="1"/>
    </xf>
    <xf numFmtId="0" fontId="16" fillId="0" borderId="8" xfId="61" applyNumberFormat="1" applyFont="1" applyFill="1" applyBorder="1" applyAlignment="1" applyProtection="1">
      <alignment horizontal="center" vertical="center"/>
      <protection hidden="1"/>
    </xf>
    <xf numFmtId="0" fontId="15" fillId="0" borderId="8" xfId="61" applyNumberFormat="1" applyFont="1" applyFill="1" applyBorder="1" applyAlignment="1" applyProtection="1">
      <alignment horizontal="left" vertical="center" wrapText="1"/>
      <protection hidden="1"/>
    </xf>
    <xf numFmtId="0" fontId="16" fillId="0" borderId="8" xfId="0" applyFont="1" applyBorder="1" applyAlignment="1" applyProtection="1">
      <alignment horizontal="center" vertical="center"/>
      <protection hidden="1"/>
    </xf>
    <xf numFmtId="1" fontId="16" fillId="0" borderId="8" xfId="0" applyNumberFormat="1" applyFont="1" applyBorder="1" applyAlignment="1" applyProtection="1">
      <alignment vertical="center"/>
      <protection hidden="1"/>
    </xf>
    <xf numFmtId="0" fontId="16" fillId="0" borderId="8" xfId="0" applyFont="1" applyBorder="1" applyAlignment="1" applyProtection="1">
      <alignment vertical="center"/>
      <protection hidden="1"/>
    </xf>
    <xf numFmtId="0" fontId="29" fillId="0" borderId="0" xfId="0" applyFont="1" applyAlignment="1" applyProtection="1">
      <alignment vertical="center" wrapText="1"/>
      <protection hidden="1"/>
    </xf>
    <xf numFmtId="0" fontId="15" fillId="0" borderId="0" xfId="0" applyFont="1" applyAlignment="1" applyProtection="1">
      <alignment horizontal="left" vertical="top"/>
      <protection hidden="1"/>
    </xf>
    <xf numFmtId="0" fontId="28" fillId="0" borderId="0" xfId="0" applyFont="1" applyAlignment="1" applyProtection="1">
      <alignment horizontal="justify" vertical="center" wrapText="1"/>
      <protection hidden="1"/>
    </xf>
    <xf numFmtId="0" fontId="28" fillId="0" borderId="0" xfId="0" applyFont="1" applyAlignment="1" applyProtection="1">
      <alignment horizontal="justify" vertical="center"/>
      <protection hidden="1"/>
    </xf>
    <xf numFmtId="0" fontId="27" fillId="0" borderId="0" xfId="0" applyFont="1" applyAlignment="1" applyProtection="1">
      <alignment vertical="center"/>
      <protection hidden="1"/>
    </xf>
    <xf numFmtId="0" fontId="28" fillId="0" borderId="0" xfId="52" applyNumberFormat="1" applyFont="1" applyFill="1" applyBorder="1" applyAlignment="1" applyProtection="1">
      <alignment horizontal="center" vertical="center"/>
      <protection hidden="1"/>
    </xf>
    <xf numFmtId="0" fontId="28" fillId="0" borderId="0" xfId="0" applyFont="1" applyAlignment="1" applyProtection="1">
      <alignment vertical="center"/>
      <protection hidden="1"/>
    </xf>
    <xf numFmtId="166" fontId="16" fillId="0" borderId="11" xfId="61" quotePrefix="1" applyNumberFormat="1" applyFont="1" applyFill="1" applyBorder="1" applyAlignment="1" applyProtection="1">
      <alignment horizontal="center" vertical="center" wrapText="1"/>
      <protection hidden="1"/>
    </xf>
    <xf numFmtId="2" fontId="16" fillId="0" borderId="11" xfId="52" applyNumberFormat="1" applyFill="1" applyBorder="1" applyAlignment="1" applyProtection="1">
      <alignment horizontal="right" vertical="center"/>
      <protection hidden="1"/>
    </xf>
    <xf numFmtId="0" fontId="18" fillId="0" borderId="11" xfId="53" applyNumberFormat="1" applyFont="1" applyFill="1" applyBorder="1" applyAlignment="1" applyProtection="1">
      <alignment vertical="center" wrapText="1"/>
      <protection hidden="1"/>
    </xf>
    <xf numFmtId="0" fontId="15" fillId="0" borderId="11" xfId="53" applyNumberFormat="1" applyFont="1" applyFill="1" applyBorder="1" applyAlignment="1" applyProtection="1">
      <alignment vertical="center" wrapText="1"/>
      <protection hidden="1"/>
    </xf>
    <xf numFmtId="3" fontId="17" fillId="0" borderId="11" xfId="61" applyNumberFormat="1" applyFont="1" applyBorder="1" applyAlignment="1" applyProtection="1">
      <alignment horizontal="center" vertical="center" wrapText="1"/>
      <protection hidden="1"/>
    </xf>
    <xf numFmtId="3" fontId="18" fillId="0" borderId="11" xfId="61" applyNumberFormat="1" applyFont="1" applyFill="1" applyBorder="1" applyAlignment="1" applyProtection="1">
      <alignment horizontal="center" vertical="center" wrapText="1"/>
      <protection hidden="1"/>
    </xf>
    <xf numFmtId="2" fontId="18" fillId="0" borderId="11" xfId="52" applyNumberFormat="1" applyFont="1" applyFill="1" applyBorder="1" applyAlignment="1" applyProtection="1">
      <alignment horizontal="right" vertical="center"/>
      <protection hidden="1"/>
    </xf>
    <xf numFmtId="2" fontId="15" fillId="0" borderId="11" xfId="52" applyNumberFormat="1" applyFont="1" applyFill="1" applyBorder="1" applyAlignment="1" applyProtection="1">
      <alignment horizontal="right" vertical="center"/>
      <protection hidden="1"/>
    </xf>
    <xf numFmtId="0" fontId="18" fillId="0" borderId="0" xfId="52" applyNumberFormat="1" applyFont="1" applyFill="1" applyBorder="1" applyAlignment="1" applyProtection="1">
      <alignment horizontal="center" vertical="center"/>
      <protection hidden="1"/>
    </xf>
    <xf numFmtId="2" fontId="32" fillId="0" borderId="0" xfId="0" applyNumberFormat="1" applyFont="1" applyAlignment="1" applyProtection="1">
      <alignment vertical="center"/>
      <protection hidden="1"/>
    </xf>
    <xf numFmtId="0" fontId="6" fillId="0" borderId="11" xfId="0" applyFont="1" applyBorder="1" applyAlignment="1" applyProtection="1">
      <alignment horizontal="center" vertical="top" wrapText="1"/>
      <protection hidden="1"/>
    </xf>
    <xf numFmtId="0" fontId="5" fillId="0" borderId="11" xfId="0" applyFont="1" applyBorder="1" applyAlignment="1" applyProtection="1">
      <alignment vertical="top" wrapText="1"/>
      <protection hidden="1"/>
    </xf>
    <xf numFmtId="0" fontId="5" fillId="0" borderId="0" xfId="0" applyFont="1" applyAlignment="1" applyProtection="1">
      <alignment vertical="top" wrapText="1"/>
      <protection hidden="1"/>
    </xf>
    <xf numFmtId="0" fontId="0" fillId="4" borderId="0" xfId="0" applyFill="1" applyAlignment="1" applyProtection="1">
      <alignment horizontal="center" vertical="center"/>
      <protection hidden="1"/>
    </xf>
    <xf numFmtId="0" fontId="16" fillId="4" borderId="0" xfId="0" applyFont="1" applyFill="1" applyAlignment="1" applyProtection="1">
      <alignment vertical="center"/>
      <protection hidden="1"/>
    </xf>
    <xf numFmtId="0" fontId="0" fillId="4" borderId="0" xfId="0" applyFill="1" applyProtection="1">
      <protection hidden="1"/>
    </xf>
    <xf numFmtId="0" fontId="15" fillId="4" borderId="0" xfId="0" applyFont="1" applyFill="1" applyAlignment="1" applyProtection="1">
      <alignment horizontal="center" vertical="center"/>
      <protection hidden="1"/>
    </xf>
    <xf numFmtId="0" fontId="46" fillId="4" borderId="0" xfId="0" applyFont="1" applyFill="1" applyAlignment="1" applyProtection="1">
      <alignment vertical="center"/>
      <protection hidden="1"/>
    </xf>
    <xf numFmtId="0" fontId="15" fillId="4" borderId="0" xfId="0" applyFont="1" applyFill="1" applyAlignment="1" applyProtection="1">
      <alignment horizontal="center" vertical="top"/>
      <protection hidden="1"/>
    </xf>
    <xf numFmtId="0" fontId="15" fillId="4" borderId="0" xfId="0" applyFont="1" applyFill="1" applyAlignment="1" applyProtection="1">
      <alignment vertical="top"/>
      <protection hidden="1"/>
    </xf>
    <xf numFmtId="0" fontId="15" fillId="4" borderId="0" xfId="0" applyFont="1" applyFill="1" applyAlignment="1" applyProtection="1">
      <alignment vertical="center"/>
      <protection hidden="1"/>
    </xf>
    <xf numFmtId="0" fontId="47" fillId="4" borderId="0" xfId="0" applyFont="1" applyFill="1" applyAlignment="1" applyProtection="1">
      <alignment vertical="center"/>
      <protection hidden="1"/>
    </xf>
    <xf numFmtId="0" fontId="15" fillId="4" borderId="22" xfId="0" applyFont="1" applyFill="1" applyBorder="1" applyAlignment="1" applyProtection="1">
      <alignment vertical="center"/>
      <protection hidden="1"/>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vertical="center"/>
      <protection locked="0"/>
    </xf>
    <xf numFmtId="0" fontId="47" fillId="0" borderId="25" xfId="0" applyFont="1" applyBorder="1" applyAlignment="1" applyProtection="1">
      <alignment horizontal="center" vertical="center"/>
      <protection locked="0"/>
    </xf>
    <xf numFmtId="0" fontId="47" fillId="0" borderId="26" xfId="0" applyFont="1" applyBorder="1" applyAlignment="1" applyProtection="1">
      <alignment horizontal="center" vertical="center"/>
      <protection locked="0"/>
    </xf>
    <xf numFmtId="0" fontId="47" fillId="0" borderId="27" xfId="0" applyFont="1" applyBorder="1" applyAlignment="1" applyProtection="1">
      <alignment vertical="center"/>
      <protection locked="0"/>
    </xf>
    <xf numFmtId="0" fontId="47" fillId="0" borderId="28" xfId="0" applyFont="1" applyBorder="1" applyAlignment="1" applyProtection="1">
      <alignment horizontal="center" vertical="center"/>
      <protection locked="0"/>
    </xf>
    <xf numFmtId="0" fontId="47" fillId="0" borderId="29" xfId="0" applyFont="1" applyBorder="1" applyAlignment="1" applyProtection="1">
      <alignment horizontal="center" vertical="center"/>
      <protection locked="0"/>
    </xf>
    <xf numFmtId="0" fontId="47" fillId="0" borderId="30" xfId="0" applyFont="1" applyBorder="1" applyAlignment="1" applyProtection="1">
      <alignment vertical="center"/>
      <protection locked="0"/>
    </xf>
    <xf numFmtId="0" fontId="47" fillId="0" borderId="31" xfId="0" applyFont="1" applyBorder="1" applyAlignment="1" applyProtection="1">
      <alignment horizontal="center" vertical="center"/>
      <protection locked="0"/>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5" fillId="0" borderId="11" xfId="0" applyFont="1" applyBorder="1" applyAlignment="1" applyProtection="1">
      <alignment vertical="center" wrapText="1"/>
      <protection hidden="1"/>
    </xf>
    <xf numFmtId="0" fontId="15" fillId="0" borderId="11" xfId="0" quotePrefix="1" applyFont="1"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3" borderId="11" xfId="0" applyFill="1" applyBorder="1" applyAlignment="1" applyProtection="1">
      <alignment vertical="center"/>
      <protection locked="0"/>
    </xf>
    <xf numFmtId="2" fontId="0" fillId="3" borderId="11" xfId="0" applyNumberFormat="1" applyFill="1" applyBorder="1" applyAlignment="1" applyProtection="1">
      <alignment vertical="center"/>
      <protection locked="0"/>
    </xf>
    <xf numFmtId="10" fontId="0" fillId="3" borderId="11" xfId="0" applyNumberFormat="1" applyFill="1" applyBorder="1" applyAlignment="1" applyProtection="1">
      <alignment vertical="center"/>
      <protection locked="0"/>
    </xf>
    <xf numFmtId="0" fontId="0" fillId="0" borderId="11" xfId="0" applyBorder="1" applyAlignment="1" applyProtection="1">
      <alignment vertical="center"/>
      <protection hidden="1"/>
    </xf>
    <xf numFmtId="0" fontId="15" fillId="0" borderId="11" xfId="0" applyFont="1" applyBorder="1" applyAlignment="1" applyProtection="1">
      <alignment vertical="center"/>
      <protection hidden="1"/>
    </xf>
    <xf numFmtId="0" fontId="15" fillId="0" borderId="0" xfId="0" applyFont="1" applyProtection="1">
      <protection hidden="1"/>
    </xf>
    <xf numFmtId="0" fontId="0" fillId="0" borderId="0" xfId="0" applyAlignment="1" applyProtection="1">
      <alignment horizontal="center" vertical="center"/>
      <protection hidden="1"/>
    </xf>
    <xf numFmtId="0" fontId="15" fillId="0" borderId="0" xfId="0" quotePrefix="1" applyFont="1" applyAlignment="1" applyProtection="1">
      <alignment horizontal="center" vertical="center"/>
      <protection hidden="1"/>
    </xf>
    <xf numFmtId="0" fontId="18" fillId="0" borderId="0" xfId="53" applyNumberFormat="1" applyFont="1" applyFill="1" applyBorder="1" applyAlignment="1" applyProtection="1">
      <alignment vertical="center" wrapText="1"/>
      <protection hidden="1"/>
    </xf>
    <xf numFmtId="0" fontId="15" fillId="0" borderId="0" xfId="53" applyNumberFormat="1" applyFont="1" applyFill="1" applyBorder="1" applyAlignment="1" applyProtection="1">
      <alignment vertical="center" wrapText="1"/>
      <protection hidden="1"/>
    </xf>
    <xf numFmtId="3" fontId="17" fillId="0" borderId="0" xfId="61" applyNumberFormat="1" applyFont="1" applyBorder="1" applyAlignment="1" applyProtection="1">
      <alignment horizontal="center" vertical="center" wrapText="1"/>
      <protection hidden="1"/>
    </xf>
    <xf numFmtId="3" fontId="18" fillId="0" borderId="0" xfId="61" applyNumberFormat="1" applyFont="1" applyFill="1" applyBorder="1" applyAlignment="1" applyProtection="1">
      <alignment horizontal="center" vertical="center" wrapText="1"/>
      <protection hidden="1"/>
    </xf>
    <xf numFmtId="2" fontId="18" fillId="0" borderId="0" xfId="52" applyNumberFormat="1" applyFont="1" applyFill="1" applyBorder="1" applyAlignment="1" applyProtection="1">
      <alignment horizontal="right" vertical="center"/>
      <protection hidden="1"/>
    </xf>
    <xf numFmtId="2" fontId="15" fillId="0" borderId="0" xfId="52" applyNumberFormat="1" applyFont="1" applyFill="1" applyBorder="1" applyAlignment="1" applyProtection="1">
      <alignment horizontal="right" vertical="center"/>
      <protection hidden="1"/>
    </xf>
    <xf numFmtId="3" fontId="16" fillId="0" borderId="11" xfId="0" applyNumberFormat="1" applyFont="1" applyBorder="1" applyAlignment="1" applyProtection="1">
      <alignment horizontal="center" vertical="center"/>
      <protection hidden="1"/>
    </xf>
    <xf numFmtId="2" fontId="16" fillId="0" borderId="20" xfId="0" applyNumberFormat="1" applyFont="1" applyBorder="1" applyAlignment="1" applyProtection="1">
      <alignment horizontal="right" vertical="center"/>
      <protection hidden="1"/>
    </xf>
    <xf numFmtId="2" fontId="15" fillId="2" borderId="11" xfId="57" applyNumberFormat="1" applyFont="1" applyFill="1" applyBorder="1" applyAlignment="1" applyProtection="1">
      <alignment vertical="center"/>
      <protection hidden="1"/>
    </xf>
    <xf numFmtId="0" fontId="36" fillId="3" borderId="0" xfId="24" applyFont="1" applyFill="1" applyAlignment="1" applyProtection="1">
      <alignment horizontal="center" vertical="center" wrapText="1"/>
    </xf>
    <xf numFmtId="0" fontId="0" fillId="3" borderId="0" xfId="0" applyFill="1" applyAlignment="1">
      <alignment horizontal="center" vertical="center" wrapText="1"/>
    </xf>
    <xf numFmtId="0" fontId="0" fillId="0" borderId="32" xfId="55" applyNumberFormat="1" applyFont="1" applyFill="1" applyBorder="1" applyAlignment="1" applyProtection="1">
      <alignment horizontal="left" vertical="center" indent="3"/>
      <protection hidden="1"/>
    </xf>
    <xf numFmtId="0" fontId="49" fillId="0" borderId="0" xfId="55" applyNumberFormat="1" applyFont="1" applyFill="1" applyBorder="1" applyAlignment="1" applyProtection="1">
      <alignment horizontal="center" vertical="top"/>
      <protection hidden="1"/>
    </xf>
    <xf numFmtId="0" fontId="51" fillId="0" borderId="0" xfId="55" applyNumberFormat="1" applyFont="1" applyFill="1" applyBorder="1" applyAlignment="1" applyProtection="1">
      <alignment vertical="top"/>
      <protection hidden="1"/>
    </xf>
    <xf numFmtId="0" fontId="50" fillId="0" borderId="0" xfId="55" applyNumberFormat="1" applyFont="1" applyFill="1" applyBorder="1" applyAlignment="1" applyProtection="1">
      <alignment vertical="top"/>
      <protection hidden="1"/>
    </xf>
    <xf numFmtId="4" fontId="16" fillId="3" borderId="11" xfId="55" applyNumberFormat="1" applyFont="1" applyFill="1" applyBorder="1" applyAlignment="1" applyProtection="1">
      <alignment horizontal="right" vertical="center"/>
      <protection locked="0"/>
    </xf>
    <xf numFmtId="4" fontId="16" fillId="3" borderId="20" xfId="55" applyNumberFormat="1" applyFont="1" applyFill="1" applyBorder="1" applyAlignment="1" applyProtection="1">
      <alignment horizontal="right" vertical="center" wrapText="1"/>
      <protection locked="0"/>
    </xf>
    <xf numFmtId="4" fontId="16" fillId="3" borderId="21" xfId="55" applyNumberFormat="1" applyFont="1" applyFill="1" applyBorder="1" applyAlignment="1" applyProtection="1">
      <alignment horizontal="right" vertical="center" wrapText="1"/>
      <protection locked="0"/>
    </xf>
    <xf numFmtId="0" fontId="16" fillId="0" borderId="11" xfId="0" applyFont="1" applyBorder="1" applyAlignment="1">
      <alignment horizontal="center" vertical="center"/>
    </xf>
    <xf numFmtId="2" fontId="39" fillId="3" borderId="11" xfId="57" applyNumberFormat="1" applyFont="1" applyFill="1" applyBorder="1" applyAlignment="1">
      <alignment vertical="center"/>
    </xf>
    <xf numFmtId="1" fontId="16" fillId="0" borderId="11" xfId="61" quotePrefix="1" applyNumberFormat="1" applyFont="1" applyFill="1" applyBorder="1" applyAlignment="1" applyProtection="1">
      <alignment horizontal="center" vertical="center" wrapText="1"/>
      <protection hidden="1"/>
    </xf>
    <xf numFmtId="0" fontId="16" fillId="0" borderId="11" xfId="61" quotePrefix="1" applyNumberFormat="1" applyFont="1" applyFill="1" applyBorder="1" applyAlignment="1" applyProtection="1">
      <alignment horizontal="center" vertical="center" wrapText="1"/>
      <protection hidden="1"/>
    </xf>
    <xf numFmtId="166" fontId="16" fillId="0" borderId="11" xfId="57" applyNumberFormat="1" applyBorder="1" applyAlignment="1" applyProtection="1">
      <alignment horizontal="left" vertical="center"/>
      <protection hidden="1"/>
    </xf>
    <xf numFmtId="0" fontId="16" fillId="0" borderId="11" xfId="61" applyNumberFormat="1" applyFont="1" applyFill="1" applyBorder="1" applyAlignment="1" applyProtection="1">
      <alignment horizontal="center" vertical="center" wrapText="1"/>
      <protection hidden="1"/>
    </xf>
    <xf numFmtId="10" fontId="15" fillId="3" borderId="11" xfId="56" applyNumberFormat="1" applyFont="1" applyFill="1" applyBorder="1" applyAlignment="1" applyProtection="1">
      <alignment horizontal="center" vertical="center" wrapText="1"/>
      <protection hidden="1"/>
    </xf>
    <xf numFmtId="0" fontId="15" fillId="3" borderId="11" xfId="56" applyFont="1" applyFill="1" applyBorder="1" applyAlignment="1" applyProtection="1">
      <alignment horizontal="center" vertical="center" wrapText="1"/>
      <protection hidden="1"/>
    </xf>
    <xf numFmtId="0" fontId="2" fillId="3" borderId="0" xfId="24" applyFill="1" applyAlignment="1" applyProtection="1">
      <alignment horizontal="center" vertical="center" wrapText="1"/>
    </xf>
    <xf numFmtId="0" fontId="16" fillId="0" borderId="7" xfId="56" applyFont="1" applyBorder="1" applyAlignment="1" applyProtection="1">
      <alignment horizontal="justify" vertical="center" wrapText="1"/>
      <protection hidden="1"/>
    </xf>
    <xf numFmtId="0" fontId="5" fillId="0" borderId="0" xfId="49" applyFont="1" applyAlignment="1" applyProtection="1">
      <alignment vertical="top"/>
      <protection hidden="1"/>
    </xf>
    <xf numFmtId="0" fontId="16" fillId="0" borderId="0" xfId="49" applyFont="1" applyAlignment="1" applyProtection="1">
      <alignment vertical="top"/>
      <protection hidden="1"/>
    </xf>
    <xf numFmtId="0" fontId="0" fillId="0" borderId="0" xfId="49" applyFont="1" applyAlignment="1" applyProtection="1">
      <alignment vertical="top"/>
      <protection hidden="1"/>
    </xf>
    <xf numFmtId="0" fontId="33" fillId="0" borderId="0" xfId="49" applyAlignment="1" applyProtection="1">
      <alignment vertical="top"/>
      <protection hidden="1"/>
    </xf>
    <xf numFmtId="4" fontId="5" fillId="0" borderId="0" xfId="56" applyNumberFormat="1" applyFont="1" applyAlignment="1" applyProtection="1">
      <alignment vertical="top"/>
      <protection hidden="1"/>
    </xf>
    <xf numFmtId="2" fontId="16" fillId="0" borderId="11" xfId="56" applyNumberFormat="1" applyFont="1" applyBorder="1" applyAlignment="1" applyProtection="1">
      <alignment horizontal="justify" vertical="center" wrapText="1"/>
      <protection hidden="1"/>
    </xf>
    <xf numFmtId="1" fontId="16" fillId="0" borderId="0" xfId="60" applyNumberFormat="1" applyFont="1" applyAlignment="1" applyProtection="1">
      <alignment vertical="center" wrapText="1"/>
      <protection hidden="1"/>
    </xf>
    <xf numFmtId="1" fontId="15" fillId="0" borderId="0" xfId="60" applyNumberFormat="1" applyFont="1" applyAlignment="1" applyProtection="1">
      <alignment horizontal="center" vertical="center" wrapText="1"/>
      <protection hidden="1"/>
    </xf>
    <xf numFmtId="0" fontId="15" fillId="0" borderId="0" xfId="60" applyFont="1" applyAlignment="1" applyProtection="1">
      <alignment horizontal="center" vertical="center" wrapText="1"/>
      <protection hidden="1"/>
    </xf>
    <xf numFmtId="0" fontId="36" fillId="0" borderId="0" xfId="60" applyProtection="1">
      <protection hidden="1"/>
    </xf>
    <xf numFmtId="4" fontId="15" fillId="0" borderId="0" xfId="60" applyNumberFormat="1" applyFont="1" applyAlignment="1" applyProtection="1">
      <alignment horizontal="center" vertical="center" wrapText="1"/>
      <protection hidden="1"/>
    </xf>
    <xf numFmtId="0" fontId="19" fillId="0" borderId="0" xfId="60" applyFont="1" applyProtection="1">
      <protection hidden="1"/>
    </xf>
    <xf numFmtId="4" fontId="15" fillId="0" borderId="11" xfId="60" applyNumberFormat="1" applyFont="1" applyBorder="1" applyAlignment="1" applyProtection="1">
      <alignment horizontal="center" vertical="center" wrapText="1"/>
      <protection hidden="1"/>
    </xf>
    <xf numFmtId="1" fontId="15" fillId="0" borderId="11" xfId="60" applyNumberFormat="1" applyFont="1" applyBorder="1" applyAlignment="1" applyProtection="1">
      <alignment vertical="center" wrapText="1"/>
      <protection hidden="1"/>
    </xf>
    <xf numFmtId="4" fontId="15" fillId="0" borderId="11" xfId="60" applyNumberFormat="1" applyFont="1" applyBorder="1" applyAlignment="1" applyProtection="1">
      <alignment horizontal="right" vertical="center" wrapText="1"/>
      <protection hidden="1"/>
    </xf>
    <xf numFmtId="4" fontId="15" fillId="0" borderId="33" xfId="60" applyNumberFormat="1" applyFont="1" applyBorder="1" applyAlignment="1" applyProtection="1">
      <alignment horizontal="right" vertical="center" wrapText="1"/>
      <protection hidden="1"/>
    </xf>
    <xf numFmtId="4" fontId="16" fillId="0" borderId="34" xfId="60" applyNumberFormat="1" applyFont="1" applyBorder="1" applyAlignment="1" applyProtection="1">
      <alignment horizontal="right" vertical="center" wrapText="1"/>
      <protection hidden="1"/>
    </xf>
    <xf numFmtId="0" fontId="19" fillId="0" borderId="0" xfId="60" applyFont="1" applyAlignment="1" applyProtection="1">
      <alignment vertical="center"/>
      <protection hidden="1"/>
    </xf>
    <xf numFmtId="1" fontId="16" fillId="0" borderId="11" xfId="60" applyNumberFormat="1" applyFont="1" applyBorder="1" applyAlignment="1" applyProtection="1">
      <alignment horizontal="center" vertical="center" wrapText="1"/>
      <protection hidden="1"/>
    </xf>
    <xf numFmtId="0" fontId="15" fillId="0" borderId="33" xfId="60" applyFont="1" applyBorder="1" applyAlignment="1" applyProtection="1">
      <alignment vertical="center" wrapText="1"/>
      <protection hidden="1"/>
    </xf>
    <xf numFmtId="0" fontId="15" fillId="0" borderId="34" xfId="60" applyFont="1" applyBorder="1" applyAlignment="1" applyProtection="1">
      <alignment vertical="center" wrapText="1"/>
      <protection hidden="1"/>
    </xf>
    <xf numFmtId="4" fontId="16" fillId="0" borderId="11" xfId="60" applyNumberFormat="1" applyFont="1" applyBorder="1" applyAlignment="1" applyProtection="1">
      <alignment vertical="center" wrapText="1"/>
      <protection hidden="1"/>
    </xf>
    <xf numFmtId="4" fontId="15" fillId="0" borderId="33" xfId="60" applyNumberFormat="1" applyFont="1" applyBorder="1" applyAlignment="1" applyProtection="1">
      <alignment vertical="center" wrapText="1"/>
      <protection hidden="1"/>
    </xf>
    <xf numFmtId="4" fontId="16" fillId="0" borderId="34" xfId="60" applyNumberFormat="1" applyFont="1" applyBorder="1" applyAlignment="1" applyProtection="1">
      <alignment vertical="center" wrapText="1"/>
      <protection hidden="1"/>
    </xf>
    <xf numFmtId="3" fontId="19" fillId="0" borderId="0" xfId="60" applyNumberFormat="1" applyFont="1" applyProtection="1">
      <protection hidden="1"/>
    </xf>
    <xf numFmtId="4" fontId="16" fillId="0" borderId="11" xfId="60" applyNumberFormat="1" applyFont="1" applyBorder="1" applyAlignment="1" applyProtection="1">
      <alignment horizontal="right" vertical="center" wrapText="1"/>
      <protection hidden="1"/>
    </xf>
    <xf numFmtId="4" fontId="15" fillId="0" borderId="11" xfId="60" applyNumberFormat="1" applyFont="1" applyBorder="1" applyAlignment="1" applyProtection="1">
      <alignment vertical="center" wrapText="1"/>
      <protection hidden="1"/>
    </xf>
    <xf numFmtId="4" fontId="15" fillId="0" borderId="34" xfId="60" applyNumberFormat="1" applyFont="1" applyBorder="1" applyAlignment="1" applyProtection="1">
      <alignment vertical="center" wrapText="1"/>
      <protection hidden="1"/>
    </xf>
    <xf numFmtId="0" fontId="15" fillId="5" borderId="33" xfId="60" applyFont="1" applyFill="1" applyBorder="1" applyAlignment="1" applyProtection="1">
      <alignment vertical="center" wrapText="1"/>
      <protection hidden="1"/>
    </xf>
    <xf numFmtId="0" fontId="16" fillId="0" borderId="34" xfId="60" applyFont="1" applyBorder="1" applyAlignment="1" applyProtection="1">
      <alignment vertical="center" wrapText="1"/>
      <protection hidden="1"/>
    </xf>
    <xf numFmtId="4" fontId="16" fillId="0" borderId="33" xfId="60" applyNumberFormat="1" applyFont="1" applyBorder="1" applyAlignment="1" applyProtection="1">
      <alignment vertical="center" wrapText="1"/>
      <protection hidden="1"/>
    </xf>
    <xf numFmtId="2" fontId="19" fillId="0" borderId="0" xfId="60" applyNumberFormat="1" applyFont="1" applyProtection="1">
      <protection hidden="1"/>
    </xf>
    <xf numFmtId="178" fontId="19" fillId="0" borderId="0" xfId="60" applyNumberFormat="1" applyFont="1" applyProtection="1">
      <protection hidden="1"/>
    </xf>
    <xf numFmtId="0" fontId="16" fillId="0" borderId="34" xfId="60" applyFont="1" applyBorder="1" applyAlignment="1" applyProtection="1">
      <alignment horizontal="center" vertical="center" wrapText="1"/>
      <protection hidden="1"/>
    </xf>
    <xf numFmtId="3" fontId="16" fillId="0" borderId="11" xfId="60" applyNumberFormat="1" applyFont="1" applyBorder="1" applyAlignment="1" applyProtection="1">
      <alignment horizontal="right" vertical="center" wrapText="1"/>
      <protection hidden="1"/>
    </xf>
    <xf numFmtId="3" fontId="16" fillId="0" borderId="33" xfId="60" applyNumberFormat="1" applyFont="1" applyBorder="1" applyAlignment="1" applyProtection="1">
      <alignment horizontal="right" vertical="center" wrapText="1"/>
      <protection hidden="1"/>
    </xf>
    <xf numFmtId="3" fontId="15" fillId="0" borderId="33" xfId="60" applyNumberFormat="1" applyFont="1" applyBorder="1" applyAlignment="1" applyProtection="1">
      <alignment horizontal="right" vertical="center" wrapText="1"/>
      <protection hidden="1"/>
    </xf>
    <xf numFmtId="4" fontId="15" fillId="0" borderId="34" xfId="16" applyNumberFormat="1" applyFont="1" applyBorder="1" applyAlignment="1" applyProtection="1">
      <alignment horizontal="right" vertical="center" wrapText="1"/>
      <protection hidden="1"/>
    </xf>
    <xf numFmtId="3" fontId="15" fillId="0" borderId="11" xfId="16" applyNumberFormat="1" applyFont="1" applyBorder="1" applyAlignment="1" applyProtection="1">
      <alignment horizontal="right" vertical="center" wrapText="1"/>
      <protection hidden="1"/>
    </xf>
    <xf numFmtId="4" fontId="15" fillId="0" borderId="33" xfId="16" applyNumberFormat="1" applyFont="1" applyBorder="1" applyAlignment="1" applyProtection="1">
      <alignment horizontal="right" vertical="center" wrapText="1"/>
      <protection hidden="1"/>
    </xf>
    <xf numFmtId="4" fontId="15" fillId="0" borderId="33" xfId="60" applyNumberFormat="1" applyFont="1" applyBorder="1" applyAlignment="1" applyProtection="1">
      <alignment horizontal="center" vertical="center" wrapText="1"/>
      <protection hidden="1"/>
    </xf>
    <xf numFmtId="4" fontId="15" fillId="0" borderId="34" xfId="60" applyNumberFormat="1" applyFont="1" applyBorder="1" applyAlignment="1" applyProtection="1">
      <alignment horizontal="right" vertical="center" wrapText="1"/>
      <protection hidden="1"/>
    </xf>
    <xf numFmtId="1" fontId="16" fillId="0" borderId="35" xfId="60" applyNumberFormat="1" applyFont="1" applyBorder="1" applyAlignment="1" applyProtection="1">
      <alignment horizontal="center" vertical="center" wrapText="1"/>
      <protection hidden="1"/>
    </xf>
    <xf numFmtId="0" fontId="15" fillId="0" borderId="8" xfId="60" applyFont="1" applyBorder="1" applyAlignment="1" applyProtection="1">
      <alignment vertical="center" wrapText="1"/>
      <protection hidden="1"/>
    </xf>
    <xf numFmtId="4" fontId="16" fillId="0" borderId="8" xfId="60" applyNumberFormat="1" applyFont="1" applyBorder="1" applyAlignment="1" applyProtection="1">
      <alignment vertical="center" wrapText="1"/>
      <protection hidden="1"/>
    </xf>
    <xf numFmtId="4" fontId="15" fillId="0" borderId="8" xfId="60" applyNumberFormat="1" applyFont="1" applyBorder="1" applyAlignment="1" applyProtection="1">
      <alignment vertical="center" wrapText="1"/>
      <protection hidden="1"/>
    </xf>
    <xf numFmtId="4" fontId="16" fillId="0" borderId="36" xfId="60" applyNumberFormat="1" applyFont="1" applyBorder="1" applyAlignment="1" applyProtection="1">
      <alignment vertical="center" wrapText="1"/>
      <protection hidden="1"/>
    </xf>
    <xf numFmtId="1" fontId="15" fillId="0" borderId="5" xfId="60" applyNumberFormat="1" applyFont="1" applyBorder="1" applyAlignment="1" applyProtection="1">
      <alignment horizontal="center" vertical="center" wrapText="1"/>
      <protection hidden="1"/>
    </xf>
    <xf numFmtId="0" fontId="16" fillId="0" borderId="0" xfId="60" applyFont="1" applyAlignment="1" applyProtection="1">
      <alignment horizontal="justify" vertical="center" wrapText="1"/>
      <protection hidden="1"/>
    </xf>
    <xf numFmtId="2" fontId="0" fillId="0" borderId="5" xfId="60" applyNumberFormat="1" applyFont="1" applyBorder="1" applyAlignment="1" applyProtection="1">
      <alignment horizontal="left" vertical="center" wrapText="1" indent="3"/>
      <protection hidden="1"/>
    </xf>
    <xf numFmtId="0" fontId="0" fillId="0" borderId="0" xfId="60" applyFont="1" applyAlignment="1" applyProtection="1">
      <alignment vertical="center" wrapText="1"/>
      <protection hidden="1"/>
    </xf>
    <xf numFmtId="2" fontId="16" fillId="0" borderId="0" xfId="60" applyNumberFormat="1" applyFont="1" applyAlignment="1" applyProtection="1">
      <alignment horizontal="left" vertical="center" wrapText="1"/>
      <protection hidden="1"/>
    </xf>
    <xf numFmtId="0" fontId="0" fillId="0" borderId="0" xfId="60" applyFont="1" applyAlignment="1" applyProtection="1">
      <alignment horizontal="justify" vertical="center" wrapText="1"/>
      <protection hidden="1"/>
    </xf>
    <xf numFmtId="3" fontId="16" fillId="0" borderId="6" xfId="60" applyNumberFormat="1" applyFont="1" applyBorder="1" applyAlignment="1" applyProtection="1">
      <alignment horizontal="right" vertical="center" wrapText="1"/>
      <protection hidden="1"/>
    </xf>
    <xf numFmtId="10" fontId="16" fillId="0" borderId="0" xfId="60" applyNumberFormat="1" applyFont="1" applyAlignment="1" applyProtection="1">
      <alignment horizontal="left" vertical="center" wrapText="1"/>
      <protection hidden="1"/>
    </xf>
    <xf numFmtId="4" fontId="16" fillId="0" borderId="6" xfId="60" applyNumberFormat="1" applyFont="1" applyBorder="1" applyAlignment="1" applyProtection="1">
      <alignment horizontal="right" vertical="center" wrapText="1"/>
      <protection hidden="1"/>
    </xf>
    <xf numFmtId="1" fontId="15" fillId="0" borderId="5" xfId="60" applyNumberFormat="1" applyFont="1" applyBorder="1" applyAlignment="1" applyProtection="1">
      <alignment horizontal="center" vertical="top" wrapText="1"/>
      <protection hidden="1"/>
    </xf>
    <xf numFmtId="1" fontId="16" fillId="0" borderId="5" xfId="60" applyNumberFormat="1" applyFont="1" applyBorder="1" applyAlignment="1" applyProtection="1">
      <alignment horizontal="left" vertical="center" wrapText="1" indent="3"/>
      <protection hidden="1"/>
    </xf>
    <xf numFmtId="0" fontId="16" fillId="0" borderId="0" xfId="60" applyFont="1" applyAlignment="1" applyProtection="1">
      <alignment vertical="center" wrapText="1"/>
      <protection hidden="1"/>
    </xf>
    <xf numFmtId="10" fontId="15" fillId="6" borderId="0" xfId="60" applyNumberFormat="1" applyFont="1" applyFill="1" applyAlignment="1" applyProtection="1">
      <alignment vertical="center" wrapText="1"/>
      <protection locked="0" hidden="1"/>
    </xf>
    <xf numFmtId="1" fontId="0" fillId="0" borderId="5" xfId="60" applyNumberFormat="1" applyFont="1" applyBorder="1" applyAlignment="1" applyProtection="1">
      <alignment horizontal="left" vertical="center" wrapText="1" indent="3"/>
      <protection hidden="1"/>
    </xf>
    <xf numFmtId="2" fontId="15" fillId="0" borderId="0" xfId="60" applyNumberFormat="1" applyFont="1" applyAlignment="1" applyProtection="1">
      <alignment vertical="center" wrapText="1"/>
      <protection hidden="1"/>
    </xf>
    <xf numFmtId="4" fontId="16" fillId="6" borderId="6" xfId="60" applyNumberFormat="1" applyFont="1" applyFill="1" applyBorder="1" applyAlignment="1" applyProtection="1">
      <alignment horizontal="right" vertical="center" wrapText="1"/>
      <protection locked="0" hidden="1"/>
    </xf>
    <xf numFmtId="3" fontId="16" fillId="6" borderId="6" xfId="60" applyNumberFormat="1" applyFont="1" applyFill="1" applyBorder="1" applyAlignment="1" applyProtection="1">
      <alignment horizontal="right" vertical="center" wrapText="1"/>
      <protection locked="0" hidden="1"/>
    </xf>
    <xf numFmtId="4" fontId="16" fillId="0" borderId="6" xfId="60" applyNumberFormat="1" applyFont="1" applyBorder="1" applyAlignment="1" applyProtection="1">
      <alignment horizontal="justify" vertical="center" wrapText="1"/>
      <protection hidden="1"/>
    </xf>
    <xf numFmtId="1" fontId="0" fillId="0" borderId="0" xfId="60" applyNumberFormat="1" applyFont="1" applyAlignment="1" applyProtection="1">
      <alignment vertical="center" wrapText="1"/>
      <protection hidden="1"/>
    </xf>
    <xf numFmtId="4" fontId="16" fillId="0" borderId="0" xfId="60" applyNumberFormat="1" applyFont="1" applyAlignment="1" applyProtection="1">
      <alignment vertical="center" wrapText="1"/>
      <protection hidden="1"/>
    </xf>
    <xf numFmtId="0" fontId="0" fillId="0" borderId="0" xfId="0" applyAlignment="1">
      <alignment vertical="top"/>
    </xf>
    <xf numFmtId="9" fontId="0" fillId="0" borderId="5" xfId="60" applyNumberFormat="1" applyFont="1" applyBorder="1" applyAlignment="1" applyProtection="1">
      <alignment horizontal="left" vertical="center" wrapText="1" indent="3"/>
      <protection hidden="1"/>
    </xf>
    <xf numFmtId="0" fontId="0" fillId="0" borderId="9" xfId="0" applyBorder="1" applyAlignment="1">
      <alignment horizontal="center"/>
    </xf>
    <xf numFmtId="0" fontId="0" fillId="0" borderId="9" xfId="0" applyBorder="1" applyAlignment="1">
      <alignment horizontal="center" vertical="top"/>
    </xf>
    <xf numFmtId="9" fontId="0" fillId="0" borderId="0" xfId="0" applyNumberFormat="1"/>
    <xf numFmtId="0" fontId="0" fillId="0" borderId="10" xfId="0" applyBorder="1" applyAlignment="1">
      <alignment horizontal="center" vertical="top"/>
    </xf>
    <xf numFmtId="0" fontId="0" fillId="0" borderId="10" xfId="0" applyBorder="1" applyAlignment="1">
      <alignment vertical="top" wrapText="1"/>
    </xf>
    <xf numFmtId="0" fontId="19" fillId="0" borderId="10" xfId="0" applyFont="1" applyBorder="1" applyAlignment="1">
      <alignment vertical="top"/>
    </xf>
    <xf numFmtId="0" fontId="0" fillId="0" borderId="10" xfId="0" applyBorder="1"/>
    <xf numFmtId="0" fontId="19" fillId="0" borderId="10" xfId="0" applyFont="1" applyBorder="1" applyAlignment="1">
      <alignment vertical="top" wrapText="1"/>
    </xf>
    <xf numFmtId="0" fontId="0" fillId="0" borderId="12" xfId="0" applyBorder="1" applyAlignment="1">
      <alignment horizontal="center" vertical="top"/>
    </xf>
    <xf numFmtId="0" fontId="0" fillId="0" borderId="12" xfId="0" applyBorder="1" applyAlignment="1">
      <alignment vertical="top" wrapText="1"/>
    </xf>
    <xf numFmtId="0" fontId="19" fillId="0" borderId="12" xfId="0" applyFont="1" applyBorder="1" applyAlignment="1">
      <alignment vertical="top" wrapText="1"/>
    </xf>
    <xf numFmtId="0" fontId="0" fillId="0" borderId="0" xfId="0" applyAlignment="1">
      <alignment vertical="top" wrapText="1"/>
    </xf>
    <xf numFmtId="0" fontId="0" fillId="0" borderId="0" xfId="0" applyAlignment="1">
      <alignment wrapText="1"/>
    </xf>
    <xf numFmtId="4" fontId="15" fillId="0" borderId="12" xfId="56" applyNumberFormat="1" applyFont="1" applyBorder="1" applyAlignment="1" applyProtection="1">
      <alignment vertical="center"/>
      <protection hidden="1"/>
    </xf>
    <xf numFmtId="0" fontId="16" fillId="0" borderId="37" xfId="56" applyFont="1" applyBorder="1" applyAlignment="1" applyProtection="1">
      <alignment horizontal="justify" vertical="center" wrapText="1"/>
      <protection hidden="1"/>
    </xf>
    <xf numFmtId="4" fontId="15" fillId="0" borderId="9" xfId="56" applyNumberFormat="1" applyFont="1" applyBorder="1" applyAlignment="1" applyProtection="1">
      <alignment vertical="center" wrapText="1"/>
      <protection hidden="1"/>
    </xf>
    <xf numFmtId="14" fontId="0" fillId="0" borderId="0" xfId="0" applyNumberFormat="1" applyAlignment="1" applyProtection="1">
      <alignment horizontal="left" vertical="center"/>
      <protection hidden="1"/>
    </xf>
    <xf numFmtId="14" fontId="0" fillId="0" borderId="0" xfId="0" applyNumberFormat="1" applyAlignment="1">
      <alignment horizontal="left" vertical="center"/>
    </xf>
    <xf numFmtId="0" fontId="0" fillId="0" borderId="0" xfId="56" applyFont="1" applyAlignment="1" applyProtection="1">
      <alignment vertical="center"/>
      <protection hidden="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vertical="center"/>
    </xf>
    <xf numFmtId="0" fontId="36" fillId="0" borderId="0" xfId="55" applyNumberFormat="1" applyFont="1" applyFill="1" applyBorder="1" applyAlignment="1" applyProtection="1">
      <alignment vertical="top"/>
      <protection hidden="1"/>
    </xf>
    <xf numFmtId="0" fontId="19" fillId="0" borderId="0" xfId="49" applyFont="1" applyProtection="1">
      <protection hidden="1"/>
    </xf>
    <xf numFmtId="0" fontId="0" fillId="0" borderId="11" xfId="55" applyFont="1" applyBorder="1" applyAlignment="1" applyProtection="1">
      <alignment horizontal="center" vertical="top" wrapText="1"/>
      <protection hidden="1"/>
    </xf>
    <xf numFmtId="2" fontId="5" fillId="0" borderId="0" xfId="56" applyNumberFormat="1" applyFont="1" applyAlignment="1" applyProtection="1">
      <alignment vertical="top"/>
      <protection hidden="1"/>
    </xf>
    <xf numFmtId="164" fontId="15" fillId="0" borderId="10" xfId="7" applyFont="1" applyFill="1" applyBorder="1" applyAlignment="1" applyProtection="1">
      <alignment horizontal="right" vertical="center"/>
      <protection hidden="1"/>
    </xf>
    <xf numFmtId="164" fontId="5" fillId="0" borderId="0" xfId="56" applyNumberFormat="1" applyFont="1" applyAlignment="1" applyProtection="1">
      <alignment vertical="top"/>
      <protection hidden="1"/>
    </xf>
    <xf numFmtId="164" fontId="5" fillId="0" borderId="0" xfId="7" applyFont="1" applyAlignment="1" applyProtection="1">
      <alignment vertical="top"/>
      <protection hidden="1"/>
    </xf>
    <xf numFmtId="164" fontId="16" fillId="0" borderId="11" xfId="7" applyFont="1" applyBorder="1" applyAlignment="1" applyProtection="1">
      <alignment horizontal="center" vertical="center" wrapText="1"/>
      <protection hidden="1"/>
    </xf>
    <xf numFmtId="10" fontId="15" fillId="3" borderId="11" xfId="56" applyNumberFormat="1" applyFont="1" applyFill="1" applyBorder="1" applyAlignment="1" applyProtection="1">
      <alignment horizontal="right" vertical="center" wrapText="1"/>
      <protection locked="0" hidden="1"/>
    </xf>
    <xf numFmtId="164" fontId="15" fillId="0" borderId="6" xfId="7" applyFont="1" applyFill="1" applyBorder="1" applyAlignment="1" applyProtection="1">
      <alignment vertical="center"/>
      <protection hidden="1"/>
    </xf>
    <xf numFmtId="43" fontId="5" fillId="0" borderId="0" xfId="56" applyNumberFormat="1" applyFont="1" applyAlignment="1" applyProtection="1">
      <alignment vertical="top"/>
      <protection hidden="1"/>
    </xf>
    <xf numFmtId="0" fontId="52" fillId="0" borderId="0" xfId="55" applyNumberFormat="1" applyFont="1" applyFill="1" applyBorder="1" applyAlignment="1" applyProtection="1">
      <alignment horizontal="center" vertical="center"/>
      <protection hidden="1"/>
    </xf>
    <xf numFmtId="0" fontId="53" fillId="0" borderId="0" xfId="55" applyNumberFormat="1" applyFont="1" applyFill="1" applyBorder="1" applyAlignment="1" applyProtection="1">
      <alignment horizontal="center" vertical="center"/>
      <protection hidden="1"/>
    </xf>
    <xf numFmtId="0" fontId="53" fillId="0" borderId="0" xfId="55" applyNumberFormat="1" applyFont="1" applyFill="1" applyBorder="1" applyAlignment="1" applyProtection="1">
      <alignment horizontal="center" vertical="top"/>
      <protection hidden="1"/>
    </xf>
    <xf numFmtId="0" fontId="54" fillId="0" borderId="0" xfId="55" applyNumberFormat="1" applyFont="1" applyFill="1" applyBorder="1" applyAlignment="1" applyProtection="1">
      <alignment vertical="center"/>
      <protection hidden="1"/>
    </xf>
    <xf numFmtId="0" fontId="55" fillId="0" borderId="0" xfId="55" applyNumberFormat="1" applyFont="1" applyFill="1" applyBorder="1" applyAlignment="1" applyProtection="1">
      <alignment vertical="center"/>
      <protection hidden="1"/>
    </xf>
    <xf numFmtId="0" fontId="55" fillId="0" borderId="0" xfId="55" applyNumberFormat="1" applyFont="1" applyFill="1" applyBorder="1" applyAlignment="1" applyProtection="1">
      <alignment vertical="top"/>
      <protection hidden="1"/>
    </xf>
    <xf numFmtId="0" fontId="55" fillId="0" borderId="0" xfId="55" applyNumberFormat="1" applyFont="1" applyFill="1" applyBorder="1" applyAlignment="1" applyProtection="1">
      <alignment vertical="top" wrapText="1"/>
      <protection hidden="1"/>
    </xf>
    <xf numFmtId="164" fontId="55" fillId="0" borderId="0" xfId="7" applyFont="1" applyFill="1" applyBorder="1" applyAlignment="1" applyProtection="1">
      <alignment vertical="center"/>
      <protection hidden="1"/>
    </xf>
    <xf numFmtId="179" fontId="54" fillId="0" borderId="0" xfId="55" applyNumberFormat="1" applyFont="1" applyFill="1" applyBorder="1" applyAlignment="1" applyProtection="1">
      <alignment vertical="center"/>
      <protection hidden="1"/>
    </xf>
    <xf numFmtId="2" fontId="55" fillId="0" borderId="0" xfId="55" applyNumberFormat="1" applyFont="1" applyFill="1" applyBorder="1" applyAlignment="1" applyProtection="1">
      <alignment vertical="center"/>
      <protection hidden="1"/>
    </xf>
    <xf numFmtId="10" fontId="55" fillId="0" borderId="0" xfId="55" applyNumberFormat="1" applyFont="1" applyFill="1" applyBorder="1" applyAlignment="1" applyProtection="1">
      <alignment vertical="top"/>
      <protection hidden="1"/>
    </xf>
    <xf numFmtId="0" fontId="54" fillId="0" borderId="0" xfId="55" applyNumberFormat="1" applyFont="1" applyFill="1" applyBorder="1" applyAlignment="1" applyProtection="1">
      <alignment vertical="top"/>
      <protection hidden="1"/>
    </xf>
    <xf numFmtId="2" fontId="54" fillId="0" borderId="0" xfId="55" applyNumberFormat="1" applyFont="1" applyFill="1" applyBorder="1" applyAlignment="1" applyProtection="1">
      <alignment vertical="center"/>
      <protection hidden="1"/>
    </xf>
    <xf numFmtId="179" fontId="54" fillId="0" borderId="0" xfId="55" applyNumberFormat="1" applyFont="1" applyFill="1" applyBorder="1" applyAlignment="1" applyProtection="1">
      <alignment vertical="top"/>
      <protection hidden="1"/>
    </xf>
    <xf numFmtId="0" fontId="56" fillId="0" borderId="17" xfId="55" applyNumberFormat="1" applyFont="1" applyFill="1" applyBorder="1" applyAlignment="1" applyProtection="1">
      <alignment horizontal="left" vertical="center" indent="3"/>
      <protection hidden="1"/>
    </xf>
    <xf numFmtId="0" fontId="56" fillId="0" borderId="32" xfId="55" applyNumberFormat="1" applyFont="1" applyFill="1" applyBorder="1" applyAlignment="1" applyProtection="1">
      <alignment horizontal="left" vertical="center" indent="3"/>
      <protection hidden="1"/>
    </xf>
    <xf numFmtId="10" fontId="54" fillId="0" borderId="0" xfId="55" applyNumberFormat="1" applyFont="1" applyFill="1" applyBorder="1" applyAlignment="1" applyProtection="1">
      <alignment vertical="top"/>
      <protection hidden="1"/>
    </xf>
    <xf numFmtId="0" fontId="54" fillId="0" borderId="0" xfId="0" applyFont="1" applyAlignment="1" applyProtection="1">
      <alignment horizontal="justify" vertical="center"/>
      <protection hidden="1"/>
    </xf>
    <xf numFmtId="0" fontId="54" fillId="0" borderId="0" xfId="49" applyFont="1" applyAlignment="1" applyProtection="1">
      <alignment horizontal="left" vertical="center"/>
      <protection hidden="1"/>
    </xf>
    <xf numFmtId="0" fontId="54" fillId="0" borderId="0" xfId="49" applyFont="1" applyAlignment="1" applyProtection="1">
      <alignment vertical="center"/>
      <protection hidden="1"/>
    </xf>
    <xf numFmtId="0" fontId="16" fillId="0" borderId="0" xfId="0" applyFont="1" applyAlignment="1" applyProtection="1">
      <alignment vertical="top"/>
      <protection hidden="1"/>
    </xf>
    <xf numFmtId="0" fontId="5"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Protection="1">
      <protection hidden="1"/>
    </xf>
    <xf numFmtId="0" fontId="5" fillId="0" borderId="0" xfId="0" applyFont="1" applyAlignment="1" applyProtection="1">
      <alignment horizontal="justify"/>
      <protection hidden="1"/>
    </xf>
    <xf numFmtId="0" fontId="21" fillId="0" borderId="0" xfId="0" applyFont="1" applyAlignment="1" applyProtection="1">
      <alignment horizontal="center" vertical="top"/>
      <protection hidden="1"/>
    </xf>
    <xf numFmtId="166" fontId="6" fillId="0" borderId="0" xfId="0" quotePrefix="1" applyNumberFormat="1" applyFont="1" applyAlignment="1" applyProtection="1">
      <alignment horizontal="left" vertical="top" wrapText="1"/>
      <protection hidden="1"/>
    </xf>
    <xf numFmtId="0" fontId="20" fillId="0" borderId="0" xfId="0" applyFont="1" applyAlignment="1" applyProtection="1">
      <alignment vertical="top" wrapText="1"/>
      <protection hidden="1"/>
    </xf>
    <xf numFmtId="0" fontId="5" fillId="0" borderId="0" xfId="0" applyFont="1" applyAlignment="1" applyProtection="1">
      <alignment horizontal="justify" vertical="center"/>
      <protection hidden="1"/>
    </xf>
    <xf numFmtId="0" fontId="5" fillId="0" borderId="0" xfId="0" applyFont="1" applyAlignment="1" applyProtection="1">
      <alignment horizontal="justify" vertical="top"/>
      <protection hidden="1"/>
    </xf>
    <xf numFmtId="0" fontId="5" fillId="0" borderId="0" xfId="0" applyFont="1" applyAlignment="1" applyProtection="1">
      <alignment horizontal="center" vertical="top" wrapText="1"/>
      <protection hidden="1"/>
    </xf>
    <xf numFmtId="0" fontId="21" fillId="0" borderId="0" xfId="0" applyFont="1" applyAlignment="1" applyProtection="1">
      <alignment horizontal="justify" vertical="center"/>
      <protection hidden="1"/>
    </xf>
    <xf numFmtId="0" fontId="58" fillId="0" borderId="0" xfId="0" applyFont="1" applyAlignment="1" applyProtection="1">
      <alignment horizontal="justify" vertical="top"/>
      <protection hidden="1"/>
    </xf>
    <xf numFmtId="0" fontId="5" fillId="0" borderId="0" xfId="0" applyFont="1" applyAlignment="1" applyProtection="1">
      <alignment horizontal="right" vertical="top" wrapText="1"/>
      <protection hidden="1"/>
    </xf>
    <xf numFmtId="0" fontId="15" fillId="0" borderId="0" xfId="0" applyFont="1" applyAlignment="1" applyProtection="1">
      <alignment horizontal="center" vertical="top"/>
      <protection hidden="1"/>
    </xf>
    <xf numFmtId="166" fontId="6" fillId="0" borderId="0" xfId="0" quotePrefix="1" applyNumberFormat="1" applyFont="1" applyAlignment="1" applyProtection="1">
      <alignment horizontal="left" vertical="top" wrapText="1" indent="1"/>
      <protection hidden="1"/>
    </xf>
    <xf numFmtId="0" fontId="20" fillId="0" borderId="0" xfId="0" applyFont="1" applyProtection="1">
      <protection hidden="1"/>
    </xf>
    <xf numFmtId="0" fontId="5" fillId="0" borderId="0" xfId="0" applyFont="1" applyAlignment="1" applyProtection="1">
      <alignment vertical="center"/>
      <protection hidden="1"/>
    </xf>
    <xf numFmtId="0" fontId="4" fillId="0" borderId="0" xfId="0" applyFont="1" applyProtection="1">
      <protection hidden="1"/>
    </xf>
    <xf numFmtId="0" fontId="61" fillId="0" borderId="0" xfId="0" applyFont="1" applyAlignment="1" applyProtection="1">
      <alignment horizontal="center" vertical="center" wrapText="1"/>
      <protection hidden="1"/>
    </xf>
    <xf numFmtId="4" fontId="0" fillId="3" borderId="20" xfId="55" applyNumberFormat="1" applyFont="1" applyFill="1" applyBorder="1" applyAlignment="1" applyProtection="1">
      <alignment horizontal="right" vertical="center" wrapText="1"/>
      <protection locked="0"/>
    </xf>
    <xf numFmtId="0" fontId="62" fillId="0" borderId="0" xfId="0" applyFont="1" applyAlignment="1" applyProtection="1">
      <alignment vertical="top"/>
      <protection hidden="1"/>
    </xf>
    <xf numFmtId="0" fontId="62" fillId="0" borderId="0" xfId="59" applyFont="1" applyAlignment="1" applyProtection="1">
      <alignment horizontal="left" vertical="top"/>
      <protection hidden="1"/>
    </xf>
    <xf numFmtId="0" fontId="62" fillId="0" borderId="0" xfId="57" applyFont="1" applyAlignment="1" applyProtection="1">
      <alignment vertical="top"/>
      <protection hidden="1"/>
    </xf>
    <xf numFmtId="0" fontId="62" fillId="3" borderId="11" xfId="0" applyFont="1" applyFill="1" applyBorder="1" applyAlignment="1" applyProtection="1">
      <alignment horizontal="left" vertical="top" wrapText="1"/>
      <protection locked="0"/>
    </xf>
    <xf numFmtId="0" fontId="0" fillId="0" borderId="11" xfId="56" applyFont="1" applyBorder="1" applyAlignment="1" applyProtection="1">
      <alignment horizontal="justify" vertical="center" wrapText="1"/>
      <protection hidden="1"/>
    </xf>
    <xf numFmtId="4" fontId="15" fillId="10" borderId="12" xfId="56" applyNumberFormat="1" applyFont="1" applyFill="1" applyBorder="1" applyAlignment="1" applyProtection="1">
      <alignment vertical="center"/>
      <protection hidden="1"/>
    </xf>
    <xf numFmtId="166" fontId="6" fillId="0" borderId="0" xfId="49" applyNumberFormat="1" applyFont="1" applyAlignment="1" applyProtection="1">
      <alignment horizontal="center" vertical="top"/>
      <protection hidden="1"/>
    </xf>
    <xf numFmtId="0" fontId="15" fillId="0" borderId="0" xfId="49" applyFont="1" applyAlignment="1" applyProtection="1">
      <alignment vertical="top"/>
      <protection hidden="1"/>
    </xf>
    <xf numFmtId="0" fontId="15" fillId="0" borderId="0" xfId="55" applyFont="1" applyAlignment="1" applyProtection="1">
      <alignment vertical="top"/>
      <protection hidden="1"/>
    </xf>
    <xf numFmtId="164" fontId="0" fillId="0" borderId="11" xfId="7" applyFont="1" applyFill="1" applyBorder="1" applyAlignment="1" applyProtection="1">
      <alignment horizontal="right" vertical="top"/>
      <protection hidden="1"/>
    </xf>
    <xf numFmtId="2" fontId="15" fillId="0" borderId="12" xfId="56" applyNumberFormat="1" applyFont="1" applyBorder="1" applyAlignment="1" applyProtection="1">
      <alignment horizontal="right" vertical="center"/>
      <protection hidden="1"/>
    </xf>
    <xf numFmtId="0" fontId="16" fillId="0" borderId="11" xfId="56" applyFont="1" applyBorder="1" applyAlignment="1" applyProtection="1">
      <alignment horizontal="center" vertical="center"/>
      <protection hidden="1"/>
    </xf>
    <xf numFmtId="0" fontId="15" fillId="0" borderId="8" xfId="53" applyNumberFormat="1" applyFont="1" applyFill="1" applyBorder="1" applyAlignment="1" applyProtection="1">
      <alignment vertical="center" wrapText="1"/>
      <protection hidden="1"/>
    </xf>
    <xf numFmtId="0" fontId="0" fillId="0" borderId="8" xfId="0" applyBorder="1" applyAlignment="1">
      <alignment vertical="center" wrapText="1"/>
    </xf>
    <xf numFmtId="0" fontId="15" fillId="0" borderId="33" xfId="56" applyFont="1" applyBorder="1" applyAlignment="1" applyProtection="1">
      <alignment horizontal="left" vertical="center" wrapText="1"/>
      <protection hidden="1"/>
    </xf>
    <xf numFmtId="0" fontId="15" fillId="0" borderId="34" xfId="56" applyFont="1" applyBorder="1" applyAlignment="1" applyProtection="1">
      <alignment horizontal="center" vertical="center" wrapText="1"/>
      <protection hidden="1"/>
    </xf>
    <xf numFmtId="4" fontId="15" fillId="0" borderId="11" xfId="56" applyNumberFormat="1" applyFont="1" applyBorder="1" applyAlignment="1" applyProtection="1">
      <alignment vertical="center" wrapText="1"/>
      <protection hidden="1"/>
    </xf>
    <xf numFmtId="2" fontId="15" fillId="0" borderId="9" xfId="56" applyNumberFormat="1" applyFont="1" applyBorder="1" applyAlignment="1" applyProtection="1">
      <alignment horizontal="right" vertical="center"/>
      <protection hidden="1"/>
    </xf>
    <xf numFmtId="164" fontId="15" fillId="0" borderId="9" xfId="7" applyFont="1" applyFill="1" applyBorder="1" applyAlignment="1" applyProtection="1">
      <alignment horizontal="right" vertical="center"/>
      <protection hidden="1"/>
    </xf>
    <xf numFmtId="164" fontId="15" fillId="0" borderId="12" xfId="7" applyFont="1" applyFill="1" applyBorder="1" applyAlignment="1" applyProtection="1">
      <alignment horizontal="right" vertical="center"/>
      <protection hidden="1"/>
    </xf>
    <xf numFmtId="0" fontId="5" fillId="0" borderId="0" xfId="43" applyFont="1" applyAlignment="1" applyProtection="1">
      <alignment horizontal="justify" vertical="top"/>
      <protection hidden="1"/>
    </xf>
    <xf numFmtId="0" fontId="5" fillId="0" borderId="0" xfId="46" applyFont="1" applyAlignment="1" applyProtection="1">
      <alignment horizontal="justify" vertical="top"/>
      <protection hidden="1"/>
    </xf>
    <xf numFmtId="0" fontId="72" fillId="0" borderId="11" xfId="0" applyFont="1" applyBorder="1" applyAlignment="1">
      <alignment horizontal="center" vertical="top"/>
    </xf>
    <xf numFmtId="0" fontId="73" fillId="0" borderId="11" xfId="0" applyFont="1" applyBorder="1" applyAlignment="1">
      <alignment horizontal="center" vertical="top"/>
    </xf>
    <xf numFmtId="0" fontId="63" fillId="0" borderId="0" xfId="0" applyFont="1" applyAlignment="1" applyProtection="1">
      <alignment vertical="top"/>
      <protection hidden="1"/>
    </xf>
    <xf numFmtId="0" fontId="57" fillId="0" borderId="4" xfId="0" applyFont="1" applyBorder="1" applyAlignment="1" applyProtection="1">
      <alignment horizontal="left" vertical="top"/>
      <protection hidden="1"/>
    </xf>
    <xf numFmtId="0" fontId="57" fillId="0" borderId="4" xfId="0" applyFont="1" applyBorder="1" applyAlignment="1" applyProtection="1">
      <alignment horizontal="justify" vertical="top"/>
      <protection hidden="1"/>
    </xf>
    <xf numFmtId="0" fontId="57" fillId="0" borderId="4" xfId="0" applyFont="1" applyBorder="1" applyAlignment="1" applyProtection="1">
      <alignment vertical="top"/>
      <protection hidden="1"/>
    </xf>
    <xf numFmtId="0" fontId="57" fillId="0" borderId="4" xfId="0" applyFont="1" applyBorder="1" applyAlignment="1" applyProtection="1">
      <alignment horizontal="right" vertical="top"/>
      <protection hidden="1"/>
    </xf>
    <xf numFmtId="0" fontId="64" fillId="0" borderId="0" xfId="0" applyFont="1" applyAlignment="1" applyProtection="1">
      <alignment vertical="top"/>
      <protection hidden="1"/>
    </xf>
    <xf numFmtId="0" fontId="63" fillId="0" borderId="0" xfId="0" applyFont="1" applyAlignment="1" applyProtection="1">
      <alignment horizontal="left" vertical="top"/>
      <protection hidden="1"/>
    </xf>
    <xf numFmtId="0" fontId="63" fillId="0" borderId="0" xfId="0" applyFont="1" applyAlignment="1" applyProtection="1">
      <alignment horizontal="justify" vertical="top"/>
      <protection hidden="1"/>
    </xf>
    <xf numFmtId="0" fontId="64" fillId="0" borderId="0" xfId="0" applyFont="1" applyAlignment="1" applyProtection="1">
      <alignment horizontal="left" vertical="top"/>
      <protection hidden="1"/>
    </xf>
    <xf numFmtId="10" fontId="64" fillId="0" borderId="0" xfId="0" applyNumberFormat="1" applyFont="1" applyAlignment="1" applyProtection="1">
      <alignment horizontal="center" vertical="top"/>
      <protection hidden="1"/>
    </xf>
    <xf numFmtId="0" fontId="63" fillId="0" borderId="0" xfId="52" applyNumberFormat="1" applyFont="1" applyFill="1" applyBorder="1" applyProtection="1">
      <alignment vertical="top"/>
      <protection hidden="1"/>
    </xf>
    <xf numFmtId="0" fontId="63" fillId="0" borderId="0" xfId="52" applyNumberFormat="1" applyFont="1" applyFill="1" applyBorder="1" applyAlignment="1" applyProtection="1">
      <alignment vertical="top" wrapText="1"/>
      <protection hidden="1"/>
    </xf>
    <xf numFmtId="0" fontId="57" fillId="0" borderId="0" xfId="57" applyFont="1" applyAlignment="1" applyProtection="1">
      <alignment vertical="top"/>
      <protection hidden="1"/>
    </xf>
    <xf numFmtId="0" fontId="63" fillId="0" borderId="0" xfId="57" applyFont="1" applyAlignment="1" applyProtection="1">
      <alignment vertical="top"/>
      <protection hidden="1"/>
    </xf>
    <xf numFmtId="0" fontId="57" fillId="0" borderId="0" xfId="52" applyNumberFormat="1" applyFont="1" applyFill="1" applyBorder="1" applyAlignment="1" applyProtection="1">
      <alignment horizontal="left" vertical="top"/>
      <protection hidden="1"/>
    </xf>
    <xf numFmtId="0" fontId="63" fillId="0" borderId="0" xfId="59" applyFont="1" applyAlignment="1" applyProtection="1">
      <alignment horizontal="left" vertical="top"/>
      <protection hidden="1"/>
    </xf>
    <xf numFmtId="0" fontId="63" fillId="0" borderId="0" xfId="52" applyNumberFormat="1" applyFont="1" applyFill="1" applyBorder="1" applyAlignment="1" applyProtection="1">
      <alignment horizontal="left" vertical="top" wrapText="1"/>
      <protection hidden="1"/>
    </xf>
    <xf numFmtId="0" fontId="57" fillId="0" borderId="11" xfId="0" applyFont="1" applyBorder="1" applyAlignment="1" applyProtection="1">
      <alignment horizontal="center" vertical="top" wrapText="1"/>
      <protection hidden="1"/>
    </xf>
    <xf numFmtId="0" fontId="57" fillId="0" borderId="11" xfId="0" applyFont="1" applyBorder="1" applyAlignment="1" applyProtection="1">
      <alignment horizontal="center" vertical="top"/>
      <protection hidden="1"/>
    </xf>
    <xf numFmtId="0" fontId="57" fillId="0" borderId="11" xfId="43" applyFont="1" applyBorder="1" applyAlignment="1">
      <alignment horizontal="center" vertical="top" wrapText="1"/>
    </xf>
    <xf numFmtId="0" fontId="31" fillId="0" borderId="0" xfId="52" applyNumberFormat="1" applyFont="1" applyFill="1" applyBorder="1" applyAlignment="1" applyProtection="1">
      <alignment horizontal="center" vertical="top" wrapText="1"/>
      <protection hidden="1"/>
    </xf>
    <xf numFmtId="0" fontId="31" fillId="0" borderId="0" xfId="0" applyFont="1" applyAlignment="1" applyProtection="1">
      <alignment horizontal="center" vertical="top"/>
      <protection hidden="1"/>
    </xf>
    <xf numFmtId="0" fontId="63" fillId="0" borderId="11" xfId="0" applyFont="1" applyBorder="1" applyAlignment="1" applyProtection="1">
      <alignment horizontal="center" vertical="top" wrapText="1"/>
      <protection hidden="1"/>
    </xf>
    <xf numFmtId="0" fontId="63" fillId="0" borderId="11" xfId="54" applyNumberFormat="1" applyFont="1" applyFill="1" applyBorder="1" applyAlignment="1" applyProtection="1">
      <alignment vertical="top"/>
      <protection hidden="1"/>
    </xf>
    <xf numFmtId="4" fontId="64" fillId="0" borderId="0" xfId="52" applyNumberFormat="1" applyFont="1" applyFill="1" applyBorder="1" applyProtection="1">
      <alignment vertical="top"/>
      <protection hidden="1"/>
    </xf>
    <xf numFmtId="2" fontId="31" fillId="0" borderId="0" xfId="52" applyNumberFormat="1" applyFont="1" applyFill="1" applyBorder="1" applyAlignment="1" applyProtection="1">
      <alignment horizontal="right" vertical="top"/>
      <protection hidden="1"/>
    </xf>
    <xf numFmtId="0" fontId="63" fillId="0" borderId="0" xfId="54" applyNumberFormat="1" applyFont="1" applyFill="1" applyBorder="1" applyAlignment="1" applyProtection="1">
      <alignment vertical="top"/>
      <protection hidden="1"/>
    </xf>
    <xf numFmtId="164" fontId="57" fillId="0" borderId="0" xfId="16" applyFont="1" applyFill="1" applyBorder="1" applyAlignment="1" applyProtection="1">
      <alignment horizontal="right" vertical="top"/>
      <protection hidden="1"/>
    </xf>
    <xf numFmtId="0" fontId="57" fillId="0" borderId="0" xfId="61" applyFont="1" applyFill="1" applyBorder="1" applyAlignment="1" applyProtection="1">
      <alignment horizontal="center" vertical="top" wrapText="1"/>
      <protection hidden="1"/>
    </xf>
    <xf numFmtId="0" fontId="57" fillId="0" borderId="0" xfId="0" applyFont="1" applyAlignment="1" applyProtection="1">
      <alignment horizontal="justify" vertical="top"/>
      <protection hidden="1"/>
    </xf>
    <xf numFmtId="177" fontId="57" fillId="0" borderId="0" xfId="0" applyNumberFormat="1" applyFont="1" applyAlignment="1" applyProtection="1">
      <alignment horizontal="left" vertical="top"/>
      <protection hidden="1"/>
    </xf>
    <xf numFmtId="0" fontId="57" fillId="0" borderId="0" xfId="0" applyFont="1" applyAlignment="1" applyProtection="1">
      <alignment horizontal="right" vertical="top"/>
      <protection hidden="1"/>
    </xf>
    <xf numFmtId="0" fontId="57" fillId="0" borderId="0" xfId="0" applyFont="1" applyAlignment="1" applyProtection="1">
      <alignment horizontal="left" vertical="top"/>
      <protection hidden="1"/>
    </xf>
    <xf numFmtId="0" fontId="63" fillId="0" borderId="0" xfId="0" applyFont="1" applyAlignment="1" applyProtection="1">
      <alignment horizontal="center" vertical="top"/>
      <protection hidden="1"/>
    </xf>
    <xf numFmtId="0" fontId="63" fillId="0" borderId="0" xfId="0" applyFont="1" applyAlignment="1" applyProtection="1">
      <alignment horizontal="right" vertical="top"/>
      <protection hidden="1"/>
    </xf>
    <xf numFmtId="0" fontId="57" fillId="0" borderId="4" xfId="0" applyFont="1" applyBorder="1" applyAlignment="1" applyProtection="1">
      <alignment horizontal="center" vertical="top"/>
      <protection hidden="1"/>
    </xf>
    <xf numFmtId="0" fontId="63" fillId="0" borderId="0" xfId="52" applyNumberFormat="1" applyFont="1" applyFill="1" applyBorder="1" applyAlignment="1" applyProtection="1">
      <alignment horizontal="center" vertical="top"/>
      <protection hidden="1"/>
    </xf>
    <xf numFmtId="0" fontId="57" fillId="0" borderId="0" xfId="57" applyFont="1" applyAlignment="1" applyProtection="1">
      <alignment horizontal="center" vertical="top"/>
      <protection hidden="1"/>
    </xf>
    <xf numFmtId="0" fontId="57" fillId="0" borderId="0" xfId="52" applyNumberFormat="1" applyFont="1" applyFill="1" applyBorder="1" applyAlignment="1" applyProtection="1">
      <alignment horizontal="center" vertical="top"/>
      <protection hidden="1"/>
    </xf>
    <xf numFmtId="0" fontId="63" fillId="0" borderId="0" xfId="57" applyFont="1" applyAlignment="1" applyProtection="1">
      <alignment horizontal="center" vertical="top"/>
      <protection hidden="1"/>
    </xf>
    <xf numFmtId="0" fontId="63" fillId="0" borderId="0" xfId="52" applyNumberFormat="1" applyFont="1" applyFill="1" applyBorder="1" applyAlignment="1" applyProtection="1">
      <alignment horizontal="center" vertical="top" wrapText="1"/>
      <protection hidden="1"/>
    </xf>
    <xf numFmtId="0" fontId="63" fillId="0" borderId="0" xfId="54" applyNumberFormat="1" applyFont="1" applyFill="1" applyBorder="1" applyAlignment="1" applyProtection="1">
      <alignment horizontal="center" vertical="top"/>
      <protection hidden="1"/>
    </xf>
    <xf numFmtId="0" fontId="57" fillId="0" borderId="0" xfId="52" applyNumberFormat="1" applyFont="1" applyFill="1" applyBorder="1" applyProtection="1">
      <alignment vertical="top"/>
      <protection hidden="1"/>
    </xf>
    <xf numFmtId="0" fontId="57" fillId="0" borderId="0" xfId="52" applyNumberFormat="1" applyFont="1" applyFill="1" applyBorder="1" applyAlignment="1" applyProtection="1">
      <alignment horizontal="left" vertical="top" wrapText="1"/>
      <protection hidden="1"/>
    </xf>
    <xf numFmtId="0" fontId="57" fillId="0" borderId="0" xfId="54" applyNumberFormat="1" applyFont="1" applyFill="1" applyBorder="1" applyAlignment="1" applyProtection="1">
      <alignment vertical="top"/>
      <protection hidden="1"/>
    </xf>
    <xf numFmtId="0" fontId="15" fillId="0" borderId="11" xfId="57" applyFont="1" applyBorder="1" applyAlignment="1" applyProtection="1">
      <alignment horizontal="left" vertical="top"/>
      <protection hidden="1"/>
    </xf>
    <xf numFmtId="0" fontId="63" fillId="3" borderId="11" xfId="0" applyFont="1" applyFill="1" applyBorder="1" applyAlignment="1" applyProtection="1">
      <alignment horizontal="center" vertical="center" wrapText="1"/>
      <protection locked="0"/>
    </xf>
    <xf numFmtId="0" fontId="62" fillId="11" borderId="0" xfId="59" applyFont="1" applyFill="1" applyAlignment="1" applyProtection="1">
      <alignment horizontal="left" vertical="top"/>
      <protection hidden="1"/>
    </xf>
    <xf numFmtId="0" fontId="16" fillId="0" borderId="33" xfId="0" applyFont="1" applyBorder="1" applyAlignment="1" applyProtection="1">
      <alignment vertical="center" wrapText="1"/>
      <protection hidden="1"/>
    </xf>
    <xf numFmtId="0" fontId="16" fillId="0" borderId="34" xfId="0" applyFont="1" applyBorder="1" applyAlignment="1" applyProtection="1">
      <alignment vertical="center" wrapText="1"/>
      <protection hidden="1"/>
    </xf>
    <xf numFmtId="0" fontId="16" fillId="0" borderId="3" xfId="0" applyFont="1" applyBorder="1" applyAlignment="1" applyProtection="1">
      <alignment vertical="center" wrapText="1"/>
      <protection hidden="1"/>
    </xf>
    <xf numFmtId="0" fontId="16" fillId="3" borderId="16" xfId="0" applyFont="1" applyFill="1" applyBorder="1" applyAlignment="1" applyProtection="1">
      <alignment horizontal="left" vertical="center" wrapText="1"/>
      <protection locked="0"/>
    </xf>
    <xf numFmtId="0" fontId="16" fillId="0" borderId="38" xfId="0" applyFont="1" applyBorder="1" applyAlignment="1" applyProtection="1">
      <alignment vertical="center"/>
      <protection hidden="1"/>
    </xf>
    <xf numFmtId="0" fontId="16" fillId="0" borderId="39" xfId="0" applyFont="1" applyBorder="1" applyAlignment="1" applyProtection="1">
      <alignment vertical="center"/>
      <protection hidden="1"/>
    </xf>
    <xf numFmtId="0" fontId="16" fillId="0" borderId="17" xfId="0" applyFont="1" applyBorder="1" applyAlignment="1" applyProtection="1">
      <alignment vertical="center"/>
      <protection hidden="1"/>
    </xf>
    <xf numFmtId="0" fontId="16" fillId="0" borderId="18" xfId="0" applyFont="1" applyBorder="1" applyAlignment="1" applyProtection="1">
      <alignment vertical="center"/>
      <protection hidden="1"/>
    </xf>
    <xf numFmtId="0" fontId="16" fillId="0" borderId="40" xfId="0" applyFont="1" applyBorder="1" applyAlignment="1" applyProtection="1">
      <alignment vertical="center"/>
      <protection hidden="1"/>
    </xf>
    <xf numFmtId="0" fontId="16" fillId="0" borderId="41" xfId="0" applyFont="1" applyBorder="1" applyAlignment="1" applyProtection="1">
      <alignment vertical="center"/>
      <protection hidden="1"/>
    </xf>
    <xf numFmtId="0" fontId="16" fillId="0" borderId="37" xfId="0" applyFont="1" applyBorder="1" applyAlignment="1" applyProtection="1">
      <alignment vertical="center"/>
      <protection hidden="1"/>
    </xf>
    <xf numFmtId="0" fontId="16" fillId="0" borderId="7" xfId="0" applyFont="1" applyBorder="1" applyAlignment="1" applyProtection="1">
      <alignment vertical="center"/>
      <protection hidden="1"/>
    </xf>
    <xf numFmtId="0" fontId="16" fillId="0" borderId="33" xfId="0" applyFont="1" applyBorder="1" applyAlignment="1" applyProtection="1">
      <alignment horizontal="left" vertical="center"/>
      <protection hidden="1"/>
    </xf>
    <xf numFmtId="0" fontId="16" fillId="0" borderId="34" xfId="0" applyFont="1" applyBorder="1" applyAlignment="1" applyProtection="1">
      <alignment horizontal="left" vertical="center"/>
      <protection hidden="1"/>
    </xf>
    <xf numFmtId="0" fontId="16" fillId="3" borderId="11" xfId="0" applyFont="1" applyFill="1" applyBorder="1" applyAlignment="1" applyProtection="1">
      <alignment horizontal="left" vertical="center" wrapText="1"/>
      <protection locked="0"/>
    </xf>
    <xf numFmtId="14" fontId="16" fillId="3" borderId="11" xfId="0" applyNumberFormat="1" applyFont="1" applyFill="1" applyBorder="1" applyAlignment="1" applyProtection="1">
      <alignment horizontal="left" vertical="center" wrapText="1"/>
      <protection locked="0"/>
    </xf>
    <xf numFmtId="2" fontId="75" fillId="0" borderId="11" xfId="0" applyNumberFormat="1" applyFont="1" applyBorder="1" applyAlignment="1">
      <alignment horizontal="center" vertical="center" wrapText="1"/>
    </xf>
    <xf numFmtId="0" fontId="75" fillId="0" borderId="11" xfId="0" applyFont="1" applyBorder="1" applyAlignment="1">
      <alignment horizontal="center" vertical="center" wrapText="1"/>
    </xf>
    <xf numFmtId="0" fontId="65" fillId="0" borderId="4" xfId="0" applyFont="1" applyBorder="1" applyAlignment="1" applyProtection="1">
      <alignment horizontal="left" vertical="top"/>
      <protection hidden="1"/>
    </xf>
    <xf numFmtId="0" fontId="65" fillId="0" borderId="4" xfId="0" applyFont="1" applyBorder="1" applyAlignment="1" applyProtection="1">
      <alignment horizontal="center" vertical="top"/>
      <protection hidden="1"/>
    </xf>
    <xf numFmtId="0" fontId="65" fillId="0" borderId="4" xfId="0" applyFont="1" applyBorder="1" applyAlignment="1" applyProtection="1">
      <alignment horizontal="left" vertical="top" wrapText="1"/>
      <protection hidden="1"/>
    </xf>
    <xf numFmtId="0" fontId="66" fillId="0" borderId="4" xfId="0" applyFont="1" applyBorder="1" applyAlignment="1" applyProtection="1">
      <alignment horizontal="center" vertical="top"/>
      <protection hidden="1"/>
    </xf>
    <xf numFmtId="0" fontId="66" fillId="0" borderId="4" xfId="0" applyFont="1" applyBorder="1" applyAlignment="1" applyProtection="1">
      <alignment horizontal="left" vertical="top"/>
      <protection hidden="1"/>
    </xf>
    <xf numFmtId="0" fontId="65" fillId="0" borderId="4" xfId="0" applyFont="1" applyBorder="1" applyAlignment="1" applyProtection="1">
      <alignment vertical="top"/>
      <protection hidden="1"/>
    </xf>
    <xf numFmtId="0" fontId="65" fillId="0" borderId="4" xfId="0" applyFont="1" applyBorder="1" applyAlignment="1" applyProtection="1">
      <alignment horizontal="right" vertical="top"/>
      <protection hidden="1"/>
    </xf>
    <xf numFmtId="0" fontId="66" fillId="0" borderId="0" xfId="0" applyFont="1" applyAlignment="1" applyProtection="1">
      <alignment vertical="top"/>
      <protection hidden="1"/>
    </xf>
    <xf numFmtId="0" fontId="66" fillId="0" borderId="0" xfId="0" applyFont="1" applyAlignment="1" applyProtection="1">
      <alignment horizontal="left" vertical="top"/>
      <protection hidden="1"/>
    </xf>
    <xf numFmtId="0" fontId="66" fillId="0" borderId="0" xfId="0" applyFont="1" applyAlignment="1" applyProtection="1">
      <alignment horizontal="center" vertical="top"/>
      <protection hidden="1"/>
    </xf>
    <xf numFmtId="0" fontId="66" fillId="0" borderId="0" xfId="0" applyFont="1" applyAlignment="1" applyProtection="1">
      <alignment horizontal="left" vertical="top" wrapText="1"/>
      <protection hidden="1"/>
    </xf>
    <xf numFmtId="0" fontId="65" fillId="0" borderId="0" xfId="0" applyFont="1" applyAlignment="1" applyProtection="1">
      <alignment horizontal="center" vertical="top"/>
      <protection hidden="1"/>
    </xf>
    <xf numFmtId="0" fontId="66" fillId="0" borderId="0" xfId="0" applyFont="1" applyAlignment="1" applyProtection="1">
      <alignment horizontal="center" vertical="top" wrapText="1"/>
      <protection hidden="1"/>
    </xf>
    <xf numFmtId="0" fontId="65" fillId="0" borderId="0" xfId="57" applyFont="1" applyAlignment="1" applyProtection="1">
      <alignment vertical="top"/>
      <protection hidden="1"/>
    </xf>
    <xf numFmtId="0" fontId="65" fillId="0" borderId="0" xfId="57" applyFont="1" applyAlignment="1" applyProtection="1">
      <alignment horizontal="center" vertical="top"/>
      <protection hidden="1"/>
    </xf>
    <xf numFmtId="0" fontId="65" fillId="0" borderId="0" xfId="57" applyFont="1" applyAlignment="1" applyProtection="1">
      <alignment vertical="top" wrapText="1"/>
      <protection hidden="1"/>
    </xf>
    <xf numFmtId="0" fontId="66" fillId="0" borderId="0" xfId="57" applyFont="1" applyAlignment="1" applyProtection="1">
      <alignment horizontal="center" vertical="top"/>
      <protection hidden="1"/>
    </xf>
    <xf numFmtId="0" fontId="66" fillId="0" borderId="0" xfId="57" applyFont="1" applyAlignment="1" applyProtection="1">
      <alignment vertical="top"/>
      <protection hidden="1"/>
    </xf>
    <xf numFmtId="0" fontId="66" fillId="0" borderId="0" xfId="59" applyFont="1" applyAlignment="1" applyProtection="1">
      <alignment horizontal="left" vertical="top"/>
      <protection hidden="1"/>
    </xf>
    <xf numFmtId="0" fontId="66" fillId="0" borderId="0" xfId="57" applyFont="1" applyAlignment="1" applyProtection="1">
      <alignment vertical="top" wrapText="1"/>
      <protection hidden="1"/>
    </xf>
    <xf numFmtId="0" fontId="66" fillId="0" borderId="0" xfId="57" applyFont="1" applyAlignment="1" applyProtection="1">
      <alignment horizontal="left" vertical="top"/>
      <protection hidden="1"/>
    </xf>
    <xf numFmtId="0" fontId="65" fillId="0" borderId="0" xfId="0" applyFont="1" applyAlignment="1" applyProtection="1">
      <alignment vertical="top"/>
      <protection hidden="1"/>
    </xf>
    <xf numFmtId="0" fontId="65" fillId="0" borderId="0" xfId="0" applyFont="1" applyAlignment="1" applyProtection="1">
      <alignment horizontal="right" vertical="top"/>
      <protection hidden="1"/>
    </xf>
    <xf numFmtId="0" fontId="65" fillId="0" borderId="11" xfId="0" applyFont="1" applyBorder="1" applyAlignment="1" applyProtection="1">
      <alignment horizontal="center" vertical="top" wrapText="1"/>
      <protection hidden="1"/>
    </xf>
    <xf numFmtId="0" fontId="65" fillId="0" borderId="11" xfId="0" applyFont="1" applyBorder="1" applyAlignment="1" applyProtection="1">
      <alignment horizontal="center" vertical="top"/>
      <protection hidden="1"/>
    </xf>
    <xf numFmtId="0" fontId="65" fillId="0" borderId="11" xfId="43" applyFont="1" applyBorder="1" applyAlignment="1">
      <alignment horizontal="center" vertical="top" wrapText="1"/>
    </xf>
    <xf numFmtId="0" fontId="65" fillId="0" borderId="11" xfId="0" applyFont="1" applyBorder="1" applyAlignment="1" applyProtection="1">
      <alignment horizontal="left" vertical="top"/>
      <protection hidden="1"/>
    </xf>
    <xf numFmtId="0" fontId="65" fillId="0" borderId="11" xfId="0" applyFont="1" applyBorder="1" applyAlignment="1" applyProtection="1">
      <alignment horizontal="left" vertical="top" wrapText="1"/>
      <protection hidden="1"/>
    </xf>
    <xf numFmtId="0" fontId="65" fillId="0" borderId="11" xfId="0" applyFont="1" applyBorder="1" applyAlignment="1">
      <alignment horizontal="center" vertical="top"/>
    </xf>
    <xf numFmtId="180" fontId="66" fillId="3" borderId="34" xfId="0" applyNumberFormat="1" applyFont="1" applyFill="1" applyBorder="1" applyAlignment="1" applyProtection="1">
      <alignment horizontal="center" vertical="top"/>
      <protection locked="0"/>
    </xf>
    <xf numFmtId="0" fontId="65" fillId="0" borderId="11" xfId="0" applyFont="1" applyBorder="1" applyAlignment="1">
      <alignment horizontal="center"/>
    </xf>
    <xf numFmtId="0" fontId="76" fillId="0" borderId="11" xfId="29" applyFont="1" applyBorder="1" applyAlignment="1">
      <alignment horizontal="center" vertical="center"/>
    </xf>
    <xf numFmtId="0" fontId="77" fillId="0" borderId="11" xfId="0" applyFont="1" applyBorder="1" applyAlignment="1">
      <alignment horizontal="center" vertical="center"/>
    </xf>
    <xf numFmtId="180" fontId="66" fillId="3" borderId="11" xfId="0" applyNumberFormat="1" applyFont="1" applyFill="1" applyBorder="1" applyAlignment="1" applyProtection="1">
      <alignment horizontal="center" vertical="top"/>
      <protection locked="0"/>
    </xf>
    <xf numFmtId="0" fontId="66" fillId="0" borderId="11" xfId="0" applyFont="1" applyBorder="1" applyAlignment="1">
      <alignment horizontal="center" vertical="center"/>
    </xf>
    <xf numFmtId="0" fontId="66" fillId="3" borderId="11" xfId="0" applyFont="1" applyFill="1" applyBorder="1" applyAlignment="1" applyProtection="1">
      <alignment horizontal="center" vertical="center" wrapText="1"/>
      <protection locked="0"/>
    </xf>
    <xf numFmtId="2" fontId="77" fillId="0" borderId="11" xfId="7" applyNumberFormat="1" applyFont="1" applyBorder="1" applyAlignment="1">
      <alignment horizontal="center" vertical="center" wrapText="1"/>
    </xf>
    <xf numFmtId="180" fontId="66" fillId="3" borderId="11" xfId="0" applyNumberFormat="1" applyFont="1" applyFill="1" applyBorder="1" applyAlignment="1" applyProtection="1">
      <alignment horizontal="center" vertical="center"/>
      <protection locked="0"/>
    </xf>
    <xf numFmtId="0" fontId="77" fillId="0" borderId="11" xfId="0" applyFont="1" applyBorder="1" applyAlignment="1">
      <alignment horizontal="center" vertical="top"/>
    </xf>
    <xf numFmtId="2" fontId="65" fillId="0" borderId="11" xfId="0" applyNumberFormat="1" applyFont="1" applyBorder="1" applyAlignment="1" applyProtection="1">
      <alignment horizontal="center" vertical="top"/>
      <protection hidden="1"/>
    </xf>
    <xf numFmtId="164" fontId="65" fillId="0" borderId="11" xfId="7" applyFont="1" applyFill="1" applyBorder="1" applyAlignment="1" applyProtection="1">
      <alignment horizontal="right" vertical="top"/>
      <protection hidden="1"/>
    </xf>
    <xf numFmtId="0" fontId="76" fillId="0" borderId="11" xfId="0" quotePrefix="1" applyFont="1" applyBorder="1" applyAlignment="1">
      <alignment horizontal="center" vertical="center"/>
    </xf>
    <xf numFmtId="0" fontId="77" fillId="0" borderId="11" xfId="0" applyFont="1" applyBorder="1" applyAlignment="1">
      <alignment horizontal="left" vertical="center" wrapText="1"/>
    </xf>
    <xf numFmtId="0" fontId="77" fillId="0" borderId="11" xfId="0" applyFont="1" applyBorder="1" applyAlignment="1">
      <alignment horizontal="left" vertical="top" wrapText="1"/>
    </xf>
    <xf numFmtId="0" fontId="66" fillId="0" borderId="11" xfId="0" applyFont="1" applyBorder="1" applyAlignment="1" applyProtection="1">
      <alignment horizontal="center" vertical="top"/>
      <protection hidden="1"/>
    </xf>
    <xf numFmtId="0" fontId="65" fillId="0" borderId="11" xfId="43" applyFont="1" applyBorder="1" applyAlignment="1" applyProtection="1">
      <alignment horizontal="right" vertical="top" wrapText="1"/>
      <protection hidden="1"/>
    </xf>
    <xf numFmtId="0" fontId="65" fillId="0" borderId="11" xfId="0" applyFont="1" applyBorder="1" applyAlignment="1">
      <alignment horizontal="left" vertical="top" wrapText="1"/>
    </xf>
    <xf numFmtId="0" fontId="76" fillId="0" borderId="11" xfId="0" applyFont="1" applyBorder="1" applyAlignment="1">
      <alignment horizontal="center" vertical="top" wrapText="1"/>
    </xf>
    <xf numFmtId="0" fontId="66" fillId="3" borderId="11" xfId="0" applyFont="1" applyFill="1" applyBorder="1" applyAlignment="1" applyProtection="1">
      <alignment horizontal="center" vertical="top" wrapText="1"/>
      <protection locked="0"/>
    </xf>
    <xf numFmtId="0" fontId="77" fillId="0" borderId="11" xfId="0" applyFont="1" applyBorder="1" applyAlignment="1">
      <alignment horizontal="center" vertical="top" wrapText="1"/>
    </xf>
    <xf numFmtId="0" fontId="76" fillId="0" borderId="11" xfId="0" quotePrefix="1" applyFont="1" applyBorder="1" applyAlignment="1">
      <alignment horizontal="center" vertical="top"/>
    </xf>
    <xf numFmtId="0" fontId="76" fillId="0" borderId="11" xfId="0" applyFont="1" applyBorder="1" applyAlignment="1">
      <alignment horizontal="center" vertical="top"/>
    </xf>
    <xf numFmtId="0" fontId="76" fillId="0" borderId="11" xfId="0" applyFont="1" applyBorder="1" applyAlignment="1">
      <alignment horizontal="left" vertical="top" wrapText="1"/>
    </xf>
    <xf numFmtId="0" fontId="66" fillId="0" borderId="11" xfId="61" applyFont="1" applyFill="1" applyBorder="1" applyAlignment="1" applyProtection="1">
      <alignment horizontal="center" vertical="top" wrapText="1"/>
      <protection hidden="1"/>
    </xf>
    <xf numFmtId="0" fontId="66" fillId="0" borderId="33" xfId="61" applyFont="1" applyFill="1" applyBorder="1" applyAlignment="1" applyProtection="1">
      <alignment horizontal="center" vertical="top" wrapText="1"/>
      <protection hidden="1"/>
    </xf>
    <xf numFmtId="0" fontId="66" fillId="0" borderId="11" xfId="0" applyFont="1" applyBorder="1" applyAlignment="1" applyProtection="1">
      <alignment vertical="top"/>
      <protection hidden="1"/>
    </xf>
    <xf numFmtId="0" fontId="66" fillId="0" borderId="8" xfId="61" applyNumberFormat="1" applyFont="1" applyFill="1" applyBorder="1" applyAlignment="1" applyProtection="1">
      <alignment horizontal="center" vertical="top"/>
      <protection hidden="1"/>
    </xf>
    <xf numFmtId="0" fontId="66" fillId="0" borderId="8" xfId="61" applyNumberFormat="1" applyFont="1" applyFill="1" applyBorder="1" applyAlignment="1" applyProtection="1">
      <alignment horizontal="center" vertical="top" wrapText="1"/>
      <protection hidden="1"/>
    </xf>
    <xf numFmtId="0" fontId="65" fillId="0" borderId="8" xfId="61" applyNumberFormat="1" applyFont="1" applyFill="1" applyBorder="1" applyAlignment="1" applyProtection="1">
      <alignment horizontal="center" vertical="top"/>
      <protection hidden="1"/>
    </xf>
    <xf numFmtId="0" fontId="65" fillId="0" borderId="8" xfId="61" applyNumberFormat="1" applyFont="1" applyFill="1" applyBorder="1" applyAlignment="1" applyProtection="1">
      <alignment horizontal="center" vertical="top" wrapText="1"/>
      <protection hidden="1"/>
    </xf>
    <xf numFmtId="0" fontId="65" fillId="0" borderId="8" xfId="61" applyNumberFormat="1" applyFont="1" applyFill="1" applyBorder="1" applyAlignment="1" applyProtection="1">
      <alignment horizontal="left" vertical="top" wrapText="1"/>
      <protection hidden="1"/>
    </xf>
    <xf numFmtId="0" fontId="66" fillId="0" borderId="8" xfId="0" applyFont="1" applyBorder="1" applyAlignment="1" applyProtection="1">
      <alignment horizontal="center" vertical="top"/>
      <protection hidden="1"/>
    </xf>
    <xf numFmtId="1" fontId="66" fillId="0" borderId="8" xfId="0" applyNumberFormat="1" applyFont="1" applyBorder="1" applyAlignment="1" applyProtection="1">
      <alignment vertical="top"/>
      <protection hidden="1"/>
    </xf>
    <xf numFmtId="0" fontId="66" fillId="0" borderId="8" xfId="0" applyFont="1" applyBorder="1" applyAlignment="1" applyProtection="1">
      <alignment vertical="top"/>
      <protection hidden="1"/>
    </xf>
    <xf numFmtId="164" fontId="66" fillId="0" borderId="0" xfId="0" applyNumberFormat="1" applyFont="1" applyAlignment="1" applyProtection="1">
      <alignment vertical="top"/>
      <protection hidden="1"/>
    </xf>
    <xf numFmtId="0" fontId="65" fillId="0" borderId="0" xfId="0" applyFont="1" applyAlignment="1" applyProtection="1">
      <alignment horizontal="left" vertical="top" wrapText="1"/>
      <protection hidden="1"/>
    </xf>
    <xf numFmtId="0" fontId="65" fillId="0" borderId="0" xfId="0" applyFont="1" applyAlignment="1" applyProtection="1">
      <alignment horizontal="center" vertical="top" wrapText="1"/>
      <protection hidden="1"/>
    </xf>
    <xf numFmtId="0" fontId="65" fillId="0" borderId="0" xfId="0" applyFont="1" applyAlignment="1" applyProtection="1">
      <alignment vertical="top" wrapText="1"/>
      <protection hidden="1"/>
    </xf>
    <xf numFmtId="0" fontId="78" fillId="0" borderId="0" xfId="0" applyFont="1" applyAlignment="1" applyProtection="1">
      <alignment vertical="top"/>
      <protection hidden="1"/>
    </xf>
    <xf numFmtId="0" fontId="66" fillId="0" borderId="0" xfId="0" applyFont="1" applyAlignment="1" applyProtection="1">
      <alignment horizontal="justify" vertical="top" wrapText="1"/>
      <protection hidden="1"/>
    </xf>
    <xf numFmtId="0" fontId="65" fillId="0" borderId="0" xfId="0" applyFont="1" applyAlignment="1" applyProtection="1">
      <alignment horizontal="justify" vertical="top"/>
      <protection hidden="1"/>
    </xf>
    <xf numFmtId="177" fontId="65" fillId="0" borderId="0" xfId="0" applyNumberFormat="1" applyFont="1" applyAlignment="1" applyProtection="1">
      <alignment horizontal="center" vertical="top"/>
      <protection hidden="1"/>
    </xf>
    <xf numFmtId="177" fontId="65" fillId="0" borderId="0" xfId="0" applyNumberFormat="1" applyFont="1" applyAlignment="1" applyProtection="1">
      <alignment horizontal="left" vertical="top"/>
      <protection hidden="1"/>
    </xf>
    <xf numFmtId="0" fontId="65" fillId="0" borderId="0" xfId="0" applyFont="1" applyAlignment="1" applyProtection="1">
      <alignment horizontal="justify" vertical="top" wrapText="1"/>
      <protection hidden="1"/>
    </xf>
    <xf numFmtId="177" fontId="65" fillId="0" borderId="0" xfId="0" applyNumberFormat="1" applyFont="1" applyAlignment="1" applyProtection="1">
      <alignment horizontal="justify" vertical="top"/>
      <protection hidden="1"/>
    </xf>
    <xf numFmtId="0" fontId="77" fillId="0" borderId="0" xfId="0" applyFont="1" applyAlignment="1" applyProtection="1">
      <alignment horizontal="right" vertical="top"/>
      <protection hidden="1"/>
    </xf>
    <xf numFmtId="177" fontId="77" fillId="0" borderId="0" xfId="0" applyNumberFormat="1" applyFont="1" applyAlignment="1" applyProtection="1">
      <alignment horizontal="justify" vertical="top"/>
      <protection hidden="1"/>
    </xf>
    <xf numFmtId="0" fontId="77" fillId="0" borderId="0" xfId="0" applyFont="1" applyAlignment="1" applyProtection="1">
      <alignment horizontal="left" vertical="top"/>
      <protection hidden="1"/>
    </xf>
    <xf numFmtId="0" fontId="66" fillId="0" borderId="0" xfId="0" applyFont="1" applyAlignment="1" applyProtection="1">
      <alignment horizontal="justify" vertical="top"/>
      <protection hidden="1"/>
    </xf>
    <xf numFmtId="164" fontId="79" fillId="0" borderId="0" xfId="7" applyFont="1" applyFill="1" applyBorder="1" applyAlignment="1" applyProtection="1">
      <alignment horizontal="right" vertical="top"/>
    </xf>
    <xf numFmtId="0" fontId="76" fillId="0" borderId="0" xfId="0" applyFont="1" applyAlignment="1" applyProtection="1">
      <alignment vertical="top"/>
      <protection hidden="1"/>
    </xf>
    <xf numFmtId="0" fontId="69" fillId="0" borderId="11" xfId="53" applyNumberFormat="1" applyFont="1" applyFill="1" applyBorder="1" applyAlignment="1" applyProtection="1">
      <alignment horizontal="right" vertical="center" wrapText="1"/>
      <protection hidden="1"/>
    </xf>
    <xf numFmtId="0" fontId="5" fillId="0" borderId="11" xfId="57" applyFont="1" applyBorder="1" applyAlignment="1" applyProtection="1">
      <alignment horizontal="center" vertical="center"/>
      <protection hidden="1"/>
    </xf>
    <xf numFmtId="0" fontId="57" fillId="0" borderId="0" xfId="0" applyFont="1" applyAlignment="1" applyProtection="1">
      <alignment horizontal="center" vertical="top"/>
      <protection hidden="1"/>
    </xf>
    <xf numFmtId="0" fontId="57" fillId="0" borderId="0" xfId="57" applyFont="1" applyAlignment="1" applyProtection="1">
      <alignment horizontal="left" vertical="top" wrapText="1"/>
      <protection hidden="1"/>
    </xf>
    <xf numFmtId="0" fontId="15" fillId="0" borderId="0" xfId="0" applyFont="1" applyAlignment="1" applyProtection="1">
      <alignment horizontal="center" vertical="center"/>
      <protection hidden="1"/>
    </xf>
    <xf numFmtId="0" fontId="65" fillId="0" borderId="11" xfId="0" applyFont="1" applyBorder="1" applyAlignment="1">
      <alignment horizontal="center" vertical="center"/>
    </xf>
    <xf numFmtId="0" fontId="6" fillId="0" borderId="11" xfId="57" applyFont="1" applyBorder="1" applyAlignment="1" applyProtection="1">
      <alignment horizontal="center" vertical="center"/>
      <protection hidden="1"/>
    </xf>
    <xf numFmtId="0" fontId="57" fillId="0" borderId="11" xfId="57" applyFont="1" applyBorder="1" applyAlignment="1" applyProtection="1">
      <alignment horizontal="center" vertical="center"/>
      <protection hidden="1"/>
    </xf>
    <xf numFmtId="0" fontId="57" fillId="0" borderId="11" xfId="0" applyFont="1" applyBorder="1" applyAlignment="1">
      <alignment horizontal="center" vertical="center"/>
    </xf>
    <xf numFmtId="2" fontId="74" fillId="0" borderId="11" xfId="0" applyNumberFormat="1" applyFont="1" applyBorder="1" applyAlignment="1">
      <alignment horizontal="center" vertical="center" wrapText="1"/>
    </xf>
    <xf numFmtId="0" fontId="0" fillId="0" borderId="0" xfId="0" applyFont="1" applyAlignment="1" applyProtection="1">
      <alignment vertical="center"/>
      <protection hidden="1"/>
    </xf>
    <xf numFmtId="0" fontId="0" fillId="0" borderId="0" xfId="0" applyFont="1" applyProtection="1">
      <protection hidden="1"/>
    </xf>
    <xf numFmtId="2" fontId="73" fillId="0" borderId="11" xfId="0" applyNumberFormat="1" applyFont="1" applyBorder="1" applyAlignment="1">
      <alignment horizontal="center" vertical="center" wrapText="1"/>
    </xf>
    <xf numFmtId="164" fontId="66" fillId="0" borderId="11" xfId="7" applyFont="1" applyBorder="1" applyAlignment="1" applyProtection="1">
      <alignment horizontal="center" vertical="center"/>
      <protection hidden="1"/>
    </xf>
    <xf numFmtId="164" fontId="65" fillId="0" borderId="11" xfId="7" applyFont="1" applyBorder="1" applyAlignment="1" applyProtection="1">
      <alignment horizontal="center" vertical="center" wrapText="1"/>
      <protection hidden="1"/>
    </xf>
    <xf numFmtId="164" fontId="65" fillId="0" borderId="11" xfId="7" applyFont="1" applyBorder="1" applyAlignment="1" applyProtection="1">
      <alignment horizontal="center" vertical="top"/>
      <protection hidden="1"/>
    </xf>
    <xf numFmtId="164" fontId="81" fillId="0" borderId="11" xfId="7" applyFont="1" applyBorder="1" applyAlignment="1" applyProtection="1">
      <alignment horizontal="center" vertical="top"/>
      <protection hidden="1"/>
    </xf>
    <xf numFmtId="164" fontId="81" fillId="0" borderId="11" xfId="7" applyFont="1" applyFill="1" applyBorder="1" applyAlignment="1" applyProtection="1">
      <alignment horizontal="right" vertical="top"/>
      <protection hidden="1"/>
    </xf>
    <xf numFmtId="164" fontId="63" fillId="3" borderId="11" xfId="7" applyFont="1" applyFill="1" applyBorder="1" applyAlignment="1" applyProtection="1">
      <alignment horizontal="right" vertical="top"/>
      <protection locked="0" hidden="1"/>
    </xf>
    <xf numFmtId="164" fontId="63" fillId="0" borderId="11" xfId="7" applyFont="1" applyFill="1" applyBorder="1" applyAlignment="1" applyProtection="1">
      <alignment horizontal="center" vertical="center"/>
      <protection hidden="1"/>
    </xf>
    <xf numFmtId="164" fontId="69" fillId="0" borderId="11" xfId="7" applyFont="1" applyFill="1" applyBorder="1" applyAlignment="1" applyProtection="1">
      <alignment horizontal="right" vertical="center"/>
      <protection hidden="1"/>
    </xf>
    <xf numFmtId="164" fontId="63" fillId="3" borderId="34" xfId="7" applyFont="1" applyFill="1" applyBorder="1" applyAlignment="1" applyProtection="1">
      <alignment vertical="center"/>
      <protection locked="0"/>
    </xf>
    <xf numFmtId="164" fontId="63" fillId="0" borderId="11" xfId="7" applyFont="1" applyBorder="1" applyAlignment="1" applyProtection="1">
      <alignment horizontal="center" vertical="center"/>
      <protection hidden="1"/>
    </xf>
    <xf numFmtId="164" fontId="57" fillId="0" borderId="11" xfId="7" applyFont="1" applyBorder="1" applyAlignment="1" applyProtection="1">
      <alignment horizontal="right" vertical="center" wrapText="1"/>
      <protection hidden="1"/>
    </xf>
    <xf numFmtId="0" fontId="73" fillId="10" borderId="11" xfId="39" applyFont="1" applyFill="1" applyBorder="1" applyAlignment="1">
      <alignment vertical="center" wrapText="1"/>
    </xf>
    <xf numFmtId="0" fontId="74" fillId="10" borderId="11" xfId="39" applyFont="1" applyFill="1" applyBorder="1" applyAlignment="1">
      <alignment vertical="center" wrapText="1"/>
    </xf>
    <xf numFmtId="0" fontId="85" fillId="10" borderId="11" xfId="39" applyFont="1" applyFill="1" applyBorder="1" applyAlignment="1">
      <alignment vertical="center" wrapText="1"/>
    </xf>
    <xf numFmtId="0" fontId="86" fillId="10" borderId="11" xfId="39" applyFont="1" applyFill="1" applyBorder="1" applyAlignment="1">
      <alignment vertical="center" wrapText="1"/>
    </xf>
    <xf numFmtId="0" fontId="86" fillId="0" borderId="11" xfId="39" applyFont="1" applyBorder="1" applyAlignment="1">
      <alignment vertical="center" wrapText="1"/>
    </xf>
    <xf numFmtId="0" fontId="87" fillId="0" borderId="11" xfId="0" applyFont="1" applyBorder="1" applyAlignment="1">
      <alignment vertical="center" wrapText="1"/>
    </xf>
    <xf numFmtId="181" fontId="88" fillId="0" borderId="11" xfId="0" applyNumberFormat="1" applyFont="1" applyBorder="1" applyAlignment="1">
      <alignment vertical="center" wrapText="1"/>
    </xf>
    <xf numFmtId="0" fontId="77" fillId="10" borderId="11" xfId="39" applyFont="1" applyFill="1" applyBorder="1" applyAlignment="1">
      <alignment vertical="center" wrapText="1"/>
    </xf>
    <xf numFmtId="0" fontId="76" fillId="10" borderId="11" xfId="39" applyFont="1" applyFill="1" applyBorder="1" applyAlignment="1">
      <alignment vertical="top" wrapText="1"/>
    </xf>
    <xf numFmtId="0" fontId="77" fillId="10" borderId="11" xfId="39" applyFont="1" applyFill="1" applyBorder="1" applyAlignment="1">
      <alignment vertical="top" wrapText="1"/>
    </xf>
    <xf numFmtId="0" fontId="76" fillId="0" borderId="11" xfId="39" applyFont="1" applyBorder="1" applyAlignment="1">
      <alignment vertical="top" wrapText="1"/>
    </xf>
    <xf numFmtId="181" fontId="89" fillId="0" borderId="11" xfId="0" applyNumberFormat="1" applyFont="1" applyBorder="1" applyAlignment="1">
      <alignment vertical="center" wrapText="1"/>
    </xf>
    <xf numFmtId="181" fontId="74" fillId="0" borderId="11" xfId="0" applyNumberFormat="1" applyFont="1" applyBorder="1" applyAlignment="1">
      <alignment horizontal="left" vertical="center" wrapText="1"/>
    </xf>
    <xf numFmtId="181" fontId="84" fillId="0" borderId="11" xfId="0" applyNumberFormat="1" applyFont="1" applyBorder="1" applyAlignment="1">
      <alignment horizontal="left" vertical="center" wrapText="1"/>
    </xf>
    <xf numFmtId="0" fontId="74" fillId="0" borderId="11" xfId="0" applyFont="1" applyBorder="1" applyAlignment="1">
      <alignment vertical="center" wrapText="1"/>
    </xf>
    <xf numFmtId="0" fontId="31" fillId="7" borderId="0" xfId="0" applyFont="1" applyFill="1" applyAlignment="1" applyProtection="1">
      <alignment horizontal="center" vertical="center"/>
      <protection hidden="1"/>
    </xf>
    <xf numFmtId="0" fontId="6" fillId="0" borderId="43" xfId="56" applyFont="1" applyBorder="1" applyAlignment="1" applyProtection="1">
      <alignment horizontal="justify" vertical="top" wrapText="1"/>
      <protection locked="0"/>
    </xf>
    <xf numFmtId="0" fontId="6" fillId="0" borderId="14" xfId="56" applyFont="1" applyBorder="1" applyAlignment="1" applyProtection="1">
      <alignment horizontal="justify" vertical="top" wrapText="1"/>
      <protection locked="0"/>
    </xf>
    <xf numFmtId="0" fontId="6" fillId="0" borderId="44" xfId="56" applyFont="1" applyBorder="1" applyAlignment="1" applyProtection="1">
      <alignment horizontal="justify" vertical="top" wrapText="1"/>
      <protection locked="0"/>
    </xf>
    <xf numFmtId="0" fontId="15" fillId="4" borderId="0" xfId="0" applyFont="1" applyFill="1" applyAlignment="1" applyProtection="1">
      <alignment horizontal="center" vertical="center"/>
      <protection hidden="1"/>
    </xf>
    <xf numFmtId="0" fontId="15" fillId="4" borderId="33" xfId="0" applyFont="1" applyFill="1" applyBorder="1" applyAlignment="1" applyProtection="1">
      <alignment horizontal="center" vertical="center"/>
      <protection hidden="1"/>
    </xf>
    <xf numFmtId="0" fontId="15" fillId="4" borderId="42" xfId="0" applyFont="1" applyFill="1" applyBorder="1" applyAlignment="1" applyProtection="1">
      <alignment horizontal="center" vertical="center"/>
      <protection hidden="1"/>
    </xf>
    <xf numFmtId="0" fontId="0" fillId="0" borderId="43" xfId="0"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44" xfId="0" applyFont="1" applyBorder="1" applyAlignment="1" applyProtection="1">
      <alignment horizontal="left" vertical="center"/>
      <protection locked="0"/>
    </xf>
    <xf numFmtId="0" fontId="47" fillId="0" borderId="43" xfId="0" applyFont="1" applyBorder="1" applyAlignment="1" applyProtection="1">
      <alignment horizontal="left" vertical="center"/>
      <protection locked="0"/>
    </xf>
    <xf numFmtId="0" fontId="15" fillId="0" borderId="43"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44" xfId="0" applyFont="1" applyBorder="1" applyAlignment="1" applyProtection="1">
      <alignment horizontal="left" vertical="center"/>
      <protection locked="0"/>
    </xf>
    <xf numFmtId="0" fontId="1" fillId="0" borderId="5" xfId="56" applyBorder="1"/>
    <xf numFmtId="0" fontId="1" fillId="0" borderId="0" xfId="56"/>
    <xf numFmtId="0" fontId="1" fillId="0" borderId="6" xfId="56" applyBorder="1"/>
    <xf numFmtId="0" fontId="43" fillId="0" borderId="14" xfId="56" applyFont="1" applyBorder="1" applyAlignment="1" applyProtection="1">
      <alignment horizontal="justify" vertical="center"/>
      <protection hidden="1"/>
    </xf>
    <xf numFmtId="0" fontId="43" fillId="0" borderId="18" xfId="56" applyFont="1" applyBorder="1" applyAlignment="1" applyProtection="1">
      <alignment horizontal="justify" vertical="center"/>
      <protection hidden="1"/>
    </xf>
    <xf numFmtId="0" fontId="25" fillId="0" borderId="5" xfId="56" applyFont="1" applyBorder="1" applyAlignment="1" applyProtection="1">
      <alignment horizontal="right" vertical="center"/>
      <protection hidden="1"/>
    </xf>
    <xf numFmtId="0" fontId="25" fillId="0" borderId="0" xfId="56" applyFont="1" applyAlignment="1" applyProtection="1">
      <alignment horizontal="right" vertical="center"/>
      <protection hidden="1"/>
    </xf>
    <xf numFmtId="0" fontId="23" fillId="0" borderId="5" xfId="56" applyFont="1" applyBorder="1" applyAlignment="1" applyProtection="1">
      <alignment horizontal="right" vertical="center"/>
      <protection hidden="1"/>
    </xf>
    <xf numFmtId="0" fontId="23" fillId="0" borderId="0" xfId="56" applyFont="1" applyAlignment="1" applyProtection="1">
      <alignment horizontal="right" vertical="center"/>
      <protection hidden="1"/>
    </xf>
    <xf numFmtId="0" fontId="25" fillId="0" borderId="37" xfId="56" applyFont="1" applyBorder="1" applyAlignment="1" applyProtection="1">
      <alignment horizontal="right" vertical="center"/>
      <protection hidden="1"/>
    </xf>
    <xf numFmtId="0" fontId="25" fillId="0" borderId="4" xfId="56" applyFont="1" applyBorder="1" applyAlignment="1" applyProtection="1">
      <alignment horizontal="right" vertical="center"/>
      <protection hidden="1"/>
    </xf>
    <xf numFmtId="0" fontId="6" fillId="8" borderId="33" xfId="56" applyFont="1" applyFill="1" applyBorder="1" applyAlignment="1" applyProtection="1">
      <alignment horizontal="center" vertical="center"/>
      <protection hidden="1"/>
    </xf>
    <xf numFmtId="0" fontId="6" fillId="8" borderId="3" xfId="56" applyFont="1" applyFill="1" applyBorder="1" applyAlignment="1" applyProtection="1">
      <alignment horizontal="center" vertical="center"/>
      <protection hidden="1"/>
    </xf>
    <xf numFmtId="0" fontId="6" fillId="8" borderId="34" xfId="56" applyFont="1" applyFill="1" applyBorder="1" applyAlignment="1" applyProtection="1">
      <alignment horizontal="center" vertical="center"/>
      <protection hidden="1"/>
    </xf>
    <xf numFmtId="0" fontId="21" fillId="0" borderId="5" xfId="56" applyFont="1" applyBorder="1" applyAlignment="1" applyProtection="1">
      <alignment horizontal="center" vertical="center" wrapText="1"/>
      <protection hidden="1"/>
    </xf>
    <xf numFmtId="0" fontId="21" fillId="0" borderId="0" xfId="56" applyFont="1" applyAlignment="1" applyProtection="1">
      <alignment horizontal="center" vertical="center" wrapText="1"/>
      <protection hidden="1"/>
    </xf>
    <xf numFmtId="0" fontId="21" fillId="0" borderId="6" xfId="56" applyFont="1" applyBorder="1" applyAlignment="1" applyProtection="1">
      <alignment horizontal="center" vertical="center" wrapText="1"/>
      <protection hidden="1"/>
    </xf>
    <xf numFmtId="0" fontId="22" fillId="0" borderId="5" xfId="56" applyFont="1" applyBorder="1" applyAlignment="1" applyProtection="1">
      <alignment horizontal="center" vertical="center"/>
      <protection hidden="1"/>
    </xf>
    <xf numFmtId="0" fontId="22" fillId="0" borderId="0" xfId="56" applyFont="1" applyAlignment="1" applyProtection="1">
      <alignment horizontal="center" vertical="center"/>
      <protection hidden="1"/>
    </xf>
    <xf numFmtId="0" fontId="22" fillId="0" borderId="6" xfId="56" applyFont="1" applyBorder="1" applyAlignment="1" applyProtection="1">
      <alignment horizontal="center" vertical="center"/>
      <protection hidden="1"/>
    </xf>
    <xf numFmtId="0" fontId="57" fillId="0" borderId="45" xfId="0" applyFont="1" applyBorder="1" applyAlignment="1" applyProtection="1">
      <alignment horizontal="center" vertical="top"/>
      <protection hidden="1"/>
    </xf>
    <xf numFmtId="0" fontId="21" fillId="0" borderId="14" xfId="0" applyFont="1" applyBorder="1" applyAlignment="1" applyProtection="1">
      <alignment horizontal="center" vertical="center"/>
      <protection hidden="1"/>
    </xf>
    <xf numFmtId="0" fontId="21" fillId="0" borderId="0" xfId="0" applyFont="1" applyAlignment="1" applyProtection="1">
      <alignment horizontal="left" vertical="top"/>
      <protection hidden="1"/>
    </xf>
    <xf numFmtId="0" fontId="57" fillId="0" borderId="0" xfId="0" applyFont="1" applyAlignment="1" applyProtection="1">
      <alignment horizontal="center" vertical="top"/>
      <protection hidden="1"/>
    </xf>
    <xf numFmtId="0" fontId="31" fillId="7" borderId="0" xfId="0" applyFont="1" applyFill="1" applyAlignment="1" applyProtection="1">
      <alignment horizontal="center" vertical="top" wrapText="1"/>
      <protection hidden="1"/>
    </xf>
    <xf numFmtId="0" fontId="41" fillId="0" borderId="4"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protection hidden="1"/>
    </xf>
    <xf numFmtId="0" fontId="27" fillId="7" borderId="0" xfId="0" applyFont="1" applyFill="1" applyAlignment="1" applyProtection="1">
      <alignment horizontal="center" vertical="center"/>
      <protection hidden="1"/>
    </xf>
    <xf numFmtId="0" fontId="83" fillId="13" borderId="33" xfId="0" applyFont="1" applyFill="1" applyBorder="1" applyAlignment="1">
      <alignment horizontal="center" vertical="top" wrapText="1"/>
    </xf>
    <xf numFmtId="0" fontId="83" fillId="13" borderId="3" xfId="0" applyFont="1" applyFill="1" applyBorder="1" applyAlignment="1">
      <alignment horizontal="center" vertical="top" wrapText="1"/>
    </xf>
    <xf numFmtId="0" fontId="83" fillId="13" borderId="34" xfId="0" applyFont="1" applyFill="1" applyBorder="1" applyAlignment="1">
      <alignment horizontal="center" vertical="top" wrapText="1"/>
    </xf>
    <xf numFmtId="0" fontId="82" fillId="12" borderId="33" xfId="61" applyFont="1" applyFill="1" applyBorder="1" applyAlignment="1" applyProtection="1">
      <alignment horizontal="center" vertical="center" wrapText="1"/>
      <protection hidden="1"/>
    </xf>
    <xf numFmtId="0" fontId="82" fillId="12" borderId="3" xfId="61" applyFont="1" applyFill="1" applyBorder="1" applyAlignment="1" applyProtection="1">
      <alignment horizontal="center" vertical="center" wrapText="1"/>
      <protection hidden="1"/>
    </xf>
    <xf numFmtId="0" fontId="82" fillId="12" borderId="34" xfId="61" applyFont="1" applyFill="1" applyBorder="1" applyAlignment="1" applyProtection="1">
      <alignment horizontal="center" vertical="center" wrapText="1"/>
      <protection hidden="1"/>
    </xf>
    <xf numFmtId="0" fontId="68" fillId="0" borderId="0" xfId="0" applyFont="1" applyAlignment="1" applyProtection="1">
      <alignment horizontal="justify" vertical="top" wrapText="1"/>
      <protection hidden="1"/>
    </xf>
    <xf numFmtId="0" fontId="77" fillId="0" borderId="0" xfId="0" applyFont="1" applyAlignment="1" applyProtection="1">
      <alignment horizontal="left" vertical="top"/>
      <protection hidden="1"/>
    </xf>
    <xf numFmtId="0" fontId="65" fillId="0" borderId="0" xfId="0" applyFont="1" applyAlignment="1" applyProtection="1">
      <alignment horizontal="left" vertical="top" wrapText="1"/>
      <protection hidden="1"/>
    </xf>
    <xf numFmtId="0" fontId="65" fillId="12" borderId="33" xfId="61" applyFont="1" applyFill="1" applyBorder="1" applyAlignment="1" applyProtection="1">
      <alignment horizontal="center" vertical="top" wrapText="1"/>
      <protection hidden="1"/>
    </xf>
    <xf numFmtId="0" fontId="65" fillId="12" borderId="3" xfId="61" applyFont="1" applyFill="1" applyBorder="1" applyAlignment="1" applyProtection="1">
      <alignment horizontal="center" vertical="top" wrapText="1"/>
      <protection hidden="1"/>
    </xf>
    <xf numFmtId="0" fontId="65" fillId="12" borderId="34" xfId="61" applyFont="1" applyFill="1" applyBorder="1" applyAlignment="1" applyProtection="1">
      <alignment horizontal="center" vertical="top" wrapText="1"/>
      <protection hidden="1"/>
    </xf>
    <xf numFmtId="0" fontId="65" fillId="0" borderId="0" xfId="57" applyFont="1" applyAlignment="1" applyProtection="1">
      <alignment horizontal="left" vertical="top" wrapText="1"/>
      <protection hidden="1"/>
    </xf>
    <xf numFmtId="0" fontId="65" fillId="0" borderId="0" xfId="0" applyFont="1" applyAlignment="1" applyProtection="1">
      <alignment horizontal="center" vertical="top" wrapText="1"/>
      <protection hidden="1"/>
    </xf>
    <xf numFmtId="0" fontId="67" fillId="7" borderId="0" xfId="0" applyFont="1" applyFill="1" applyAlignment="1" applyProtection="1">
      <alignment horizontal="center" vertical="top"/>
      <protection hidden="1"/>
    </xf>
    <xf numFmtId="0" fontId="16" fillId="0" borderId="0" xfId="0"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0" borderId="0" xfId="0" applyFont="1" applyAlignment="1" applyProtection="1">
      <alignment horizontal="justify" vertical="center" wrapText="1"/>
      <protection hidden="1"/>
    </xf>
    <xf numFmtId="0" fontId="15" fillId="0" borderId="11" xfId="61" applyFont="1" applyFill="1" applyBorder="1" applyAlignment="1" applyProtection="1">
      <alignment horizontal="left" vertical="center" wrapText="1"/>
      <protection hidden="1"/>
    </xf>
    <xf numFmtId="0" fontId="15" fillId="0" borderId="11" xfId="61" applyNumberFormat="1" applyFont="1" applyFill="1" applyBorder="1" applyAlignment="1" applyProtection="1">
      <alignment horizontal="left" vertical="center"/>
      <protection hidden="1"/>
    </xf>
    <xf numFmtId="0" fontId="15" fillId="0" borderId="11" xfId="61" applyNumberFormat="1" applyFont="1" applyFill="1" applyBorder="1" applyAlignment="1" applyProtection="1">
      <alignment horizontal="left" vertical="center" wrapText="1"/>
      <protection hidden="1"/>
    </xf>
    <xf numFmtId="0" fontId="29" fillId="0" borderId="0" xfId="0" applyFont="1" applyAlignment="1" applyProtection="1">
      <alignment horizontal="justify" vertical="center" wrapText="1"/>
      <protection hidden="1"/>
    </xf>
    <xf numFmtId="0" fontId="15" fillId="0" borderId="0" xfId="57" applyFont="1" applyAlignment="1" applyProtection="1">
      <alignment horizontal="left" vertical="center"/>
      <protection hidden="1"/>
    </xf>
    <xf numFmtId="0" fontId="15" fillId="0" borderId="0" xfId="0" applyFont="1" applyAlignment="1" applyProtection="1">
      <alignment horizontal="center" vertical="center" wrapText="1"/>
      <protection hidden="1"/>
    </xf>
    <xf numFmtId="0" fontId="15" fillId="0" borderId="0" xfId="57" applyFont="1" applyAlignment="1" applyProtection="1">
      <alignment horizontal="left" vertical="center" wrapText="1"/>
      <protection hidden="1"/>
    </xf>
    <xf numFmtId="0" fontId="73" fillId="13" borderId="33" xfId="0" applyFont="1" applyFill="1" applyBorder="1" applyAlignment="1">
      <alignment horizontal="center" vertical="center" wrapText="1"/>
    </xf>
    <xf numFmtId="0" fontId="73" fillId="13" borderId="3" xfId="0" applyFont="1" applyFill="1" applyBorder="1" applyAlignment="1">
      <alignment horizontal="center" vertical="center" wrapText="1"/>
    </xf>
    <xf numFmtId="0" fontId="73" fillId="13" borderId="34" xfId="0" applyFont="1" applyFill="1" applyBorder="1" applyAlignment="1">
      <alignment horizontal="center" vertical="center" wrapText="1"/>
    </xf>
    <xf numFmtId="0" fontId="16" fillId="0" borderId="0" xfId="0" applyFont="1" applyAlignment="1" applyProtection="1">
      <alignment horizontal="left" vertical="center" wrapText="1"/>
      <protection hidden="1"/>
    </xf>
    <xf numFmtId="0" fontId="16" fillId="0" borderId="0" xfId="0" applyFont="1" applyAlignment="1" applyProtection="1">
      <alignment vertical="center"/>
      <protection hidden="1"/>
    </xf>
    <xf numFmtId="0" fontId="80" fillId="0" borderId="0" xfId="0" applyFont="1" applyAlignment="1" applyProtection="1">
      <alignment horizontal="left" vertical="top" wrapText="1"/>
      <protection hidden="1"/>
    </xf>
    <xf numFmtId="0" fontId="57" fillId="0" borderId="0" xfId="57" applyFont="1" applyAlignment="1" applyProtection="1">
      <alignment horizontal="left" vertical="top" wrapText="1"/>
      <protection hidden="1"/>
    </xf>
    <xf numFmtId="0" fontId="57" fillId="0" borderId="0" xfId="0" applyFont="1" applyAlignment="1" applyProtection="1">
      <alignment horizontal="center" vertical="top" wrapText="1"/>
      <protection hidden="1"/>
    </xf>
    <xf numFmtId="0" fontId="31" fillId="7" borderId="0" xfId="0" applyFont="1" applyFill="1" applyAlignment="1" applyProtection="1">
      <alignment horizontal="center" vertical="top"/>
      <protection hidden="1"/>
    </xf>
    <xf numFmtId="0" fontId="57" fillId="12" borderId="33" xfId="61" applyFont="1" applyFill="1" applyBorder="1" applyAlignment="1" applyProtection="1">
      <alignment horizontal="center" vertical="top" wrapText="1"/>
      <protection hidden="1"/>
    </xf>
    <xf numFmtId="0" fontId="57" fillId="12" borderId="3" xfId="61" applyFont="1" applyFill="1" applyBorder="1" applyAlignment="1" applyProtection="1">
      <alignment horizontal="center" vertical="top" wrapText="1"/>
      <protection hidden="1"/>
    </xf>
    <xf numFmtId="0" fontId="57" fillId="12" borderId="34" xfId="61" applyFont="1" applyFill="1" applyBorder="1" applyAlignment="1" applyProtection="1">
      <alignment horizontal="center" vertical="top" wrapText="1"/>
      <protection hidden="1"/>
    </xf>
    <xf numFmtId="0" fontId="73" fillId="13" borderId="33" xfId="0" applyFont="1" applyFill="1" applyBorder="1" applyAlignment="1">
      <alignment horizontal="center" vertical="top" wrapText="1"/>
    </xf>
    <xf numFmtId="0" fontId="73" fillId="13" borderId="3" xfId="0" applyFont="1" applyFill="1" applyBorder="1" applyAlignment="1">
      <alignment horizontal="center" vertical="top" wrapText="1"/>
    </xf>
    <xf numFmtId="0" fontId="73" fillId="13" borderId="34" xfId="0" applyFont="1" applyFill="1" applyBorder="1" applyAlignment="1">
      <alignment horizontal="center" vertical="top" wrapText="1"/>
    </xf>
    <xf numFmtId="0" fontId="77" fillId="13" borderId="33" xfId="0" applyFont="1" applyFill="1" applyBorder="1" applyAlignment="1">
      <alignment horizontal="center" vertical="top" wrapText="1"/>
    </xf>
    <xf numFmtId="0" fontId="77" fillId="13" borderId="3" xfId="0" applyFont="1" applyFill="1" applyBorder="1" applyAlignment="1">
      <alignment horizontal="center" vertical="top" wrapText="1"/>
    </xf>
    <xf numFmtId="0" fontId="77" fillId="13" borderId="34" xfId="0" applyFont="1" applyFill="1" applyBorder="1" applyAlignment="1">
      <alignment horizontal="center" vertical="top" wrapText="1"/>
    </xf>
    <xf numFmtId="2" fontId="15" fillId="2" borderId="11" xfId="56" applyNumberFormat="1" applyFont="1" applyFill="1" applyBorder="1" applyAlignment="1" applyProtection="1">
      <alignment horizontal="center" vertical="center" wrapText="1"/>
      <protection hidden="1"/>
    </xf>
    <xf numFmtId="0" fontId="15" fillId="3" borderId="35" xfId="56" applyFont="1" applyFill="1" applyBorder="1" applyAlignment="1" applyProtection="1">
      <alignment horizontal="center" vertical="center" wrapText="1"/>
      <protection locked="0" hidden="1"/>
    </xf>
    <xf numFmtId="0" fontId="15" fillId="3" borderId="36" xfId="56" applyFont="1" applyFill="1" applyBorder="1" applyAlignment="1" applyProtection="1">
      <alignment horizontal="center" vertical="center" wrapText="1"/>
      <protection locked="0" hidden="1"/>
    </xf>
    <xf numFmtId="0" fontId="15" fillId="3" borderId="5" xfId="56" applyFont="1" applyFill="1" applyBorder="1" applyAlignment="1" applyProtection="1">
      <alignment horizontal="center" vertical="center" wrapText="1"/>
      <protection locked="0" hidden="1"/>
    </xf>
    <xf numFmtId="0" fontId="15" fillId="3" borderId="6" xfId="56" applyFont="1" applyFill="1" applyBorder="1" applyAlignment="1" applyProtection="1">
      <alignment horizontal="center" vertical="center" wrapText="1"/>
      <protection locked="0" hidden="1"/>
    </xf>
    <xf numFmtId="0" fontId="15" fillId="3" borderId="37" xfId="56" applyFont="1" applyFill="1" applyBorder="1" applyAlignment="1" applyProtection="1">
      <alignment horizontal="center" vertical="center" wrapText="1"/>
      <protection locked="0" hidden="1"/>
    </xf>
    <xf numFmtId="0" fontId="15" fillId="3" borderId="7" xfId="56" applyFont="1" applyFill="1" applyBorder="1" applyAlignment="1" applyProtection="1">
      <alignment horizontal="center" vertical="center" wrapText="1"/>
      <protection locked="0" hidden="1"/>
    </xf>
    <xf numFmtId="0" fontId="16" fillId="0" borderId="11" xfId="56" applyFont="1" applyBorder="1" applyAlignment="1" applyProtection="1">
      <alignment horizontal="justify" vertical="center" wrapText="1"/>
      <protection hidden="1"/>
    </xf>
    <xf numFmtId="0" fontId="0" fillId="0" borderId="11" xfId="56" applyFont="1" applyBorder="1" applyAlignment="1" applyProtection="1">
      <alignment horizontal="justify" vertical="center" wrapText="1"/>
      <protection hidden="1"/>
    </xf>
    <xf numFmtId="0" fontId="15" fillId="2" borderId="33" xfId="56" applyFont="1" applyFill="1" applyBorder="1" applyAlignment="1" applyProtection="1">
      <alignment horizontal="left" vertical="center" wrapText="1"/>
      <protection hidden="1"/>
    </xf>
    <xf numFmtId="0" fontId="15" fillId="2" borderId="3" xfId="56" applyFont="1" applyFill="1" applyBorder="1" applyAlignment="1" applyProtection="1">
      <alignment horizontal="left" vertical="center" wrapText="1"/>
      <protection hidden="1"/>
    </xf>
    <xf numFmtId="164" fontId="15" fillId="0" borderId="11" xfId="7" applyFont="1" applyFill="1" applyBorder="1" applyAlignment="1" applyProtection="1">
      <alignment horizontal="center" vertical="center" wrapText="1"/>
      <protection hidden="1"/>
    </xf>
    <xf numFmtId="164" fontId="15" fillId="0" borderId="33" xfId="7" applyFont="1" applyFill="1" applyBorder="1" applyAlignment="1" applyProtection="1">
      <alignment horizontal="center" vertical="center" wrapText="1"/>
      <protection hidden="1"/>
    </xf>
    <xf numFmtId="164" fontId="15" fillId="0" borderId="34" xfId="7" applyFont="1" applyFill="1" applyBorder="1" applyAlignment="1" applyProtection="1">
      <alignment horizontal="center" vertical="center" wrapText="1"/>
      <protection hidden="1"/>
    </xf>
    <xf numFmtId="0" fontId="0" fillId="0" borderId="0" xfId="56" applyFont="1" applyAlignment="1" applyProtection="1">
      <alignment horizontal="justify" vertical="center" wrapText="1"/>
      <protection hidden="1"/>
    </xf>
    <xf numFmtId="0" fontId="16" fillId="0" borderId="0" xfId="56" applyFont="1" applyAlignment="1" applyProtection="1">
      <alignment horizontal="justify" vertical="center" wrapText="1"/>
      <protection hidden="1"/>
    </xf>
    <xf numFmtId="164" fontId="15" fillId="11" borderId="11" xfId="7" applyFont="1" applyFill="1" applyBorder="1" applyAlignment="1" applyProtection="1">
      <alignment horizontal="center" vertical="center"/>
      <protection hidden="1"/>
    </xf>
    <xf numFmtId="0" fontId="15" fillId="3" borderId="11" xfId="56" applyFont="1" applyFill="1" applyBorder="1" applyAlignment="1" applyProtection="1">
      <alignment horizontal="center" vertical="center" wrapText="1"/>
      <protection locked="0" hidden="1"/>
    </xf>
    <xf numFmtId="0" fontId="16" fillId="0" borderId="33" xfId="56" applyFont="1" applyBorder="1" applyAlignment="1" applyProtection="1">
      <alignment horizontal="justify" vertical="center" wrapText="1"/>
      <protection hidden="1"/>
    </xf>
    <xf numFmtId="0" fontId="16" fillId="0" borderId="34" xfId="56" applyFont="1" applyBorder="1" applyAlignment="1" applyProtection="1">
      <alignment horizontal="justify" vertical="center" wrapText="1"/>
      <protection hidden="1"/>
    </xf>
    <xf numFmtId="0" fontId="15" fillId="0" borderId="0" xfId="56" applyFont="1" applyAlignment="1" applyProtection="1">
      <alignment horizontal="center" vertical="center" wrapText="1"/>
      <protection hidden="1"/>
    </xf>
    <xf numFmtId="0" fontId="15" fillId="0" borderId="33" xfId="56" applyFont="1" applyBorder="1" applyAlignment="1" applyProtection="1">
      <alignment horizontal="center" vertical="center" wrapText="1"/>
      <protection hidden="1"/>
    </xf>
    <xf numFmtId="0" fontId="15" fillId="0" borderId="34" xfId="56" applyFont="1" applyBorder="1" applyAlignment="1" applyProtection="1">
      <alignment horizontal="center" vertical="center" wrapText="1"/>
      <protection hidden="1"/>
    </xf>
    <xf numFmtId="0" fontId="15" fillId="0" borderId="33" xfId="56" applyFont="1" applyBorder="1" applyAlignment="1" applyProtection="1">
      <alignment horizontal="left" vertical="center" wrapText="1"/>
      <protection hidden="1"/>
    </xf>
    <xf numFmtId="0" fontId="15" fillId="0" borderId="34" xfId="56" applyFont="1" applyBorder="1" applyAlignment="1" applyProtection="1">
      <alignment horizontal="left" vertical="center" wrapText="1"/>
      <protection hidden="1"/>
    </xf>
    <xf numFmtId="0" fontId="15" fillId="0" borderId="0" xfId="56" applyFont="1" applyAlignment="1" applyProtection="1">
      <alignment horizontal="left" vertical="top" wrapText="1"/>
      <protection hidden="1"/>
    </xf>
    <xf numFmtId="0" fontId="27" fillId="7" borderId="0" xfId="56" applyFont="1" applyFill="1" applyAlignment="1" applyProtection="1">
      <alignment horizontal="center" vertical="center"/>
      <protection hidden="1"/>
    </xf>
    <xf numFmtId="2" fontId="15" fillId="0" borderId="33" xfId="56" applyNumberFormat="1" applyFont="1" applyBorder="1" applyAlignment="1" applyProtection="1">
      <alignment horizontal="center" vertical="center" wrapText="1"/>
      <protection hidden="1"/>
    </xf>
    <xf numFmtId="2" fontId="15" fillId="0" borderId="34" xfId="56" applyNumberFormat="1" applyFont="1" applyBorder="1" applyAlignment="1" applyProtection="1">
      <alignment horizontal="center" vertical="center" wrapText="1"/>
      <protection hidden="1"/>
    </xf>
    <xf numFmtId="0" fontId="16" fillId="0" borderId="11" xfId="56" applyFont="1" applyBorder="1" applyAlignment="1" applyProtection="1">
      <alignment horizontal="center" vertical="center"/>
      <protection hidden="1"/>
    </xf>
    <xf numFmtId="0" fontId="15" fillId="0" borderId="11" xfId="56" applyFont="1" applyBorder="1" applyAlignment="1" applyProtection="1">
      <alignment horizontal="left" vertical="center" wrapText="1"/>
      <protection hidden="1"/>
    </xf>
    <xf numFmtId="0" fontId="15" fillId="0" borderId="11" xfId="56" applyFont="1" applyBorder="1" applyAlignment="1" applyProtection="1">
      <alignment horizontal="center" vertical="center" wrapText="1"/>
      <protection hidden="1"/>
    </xf>
    <xf numFmtId="2" fontId="15" fillId="0" borderId="11" xfId="56" applyNumberFormat="1" applyFont="1" applyBorder="1" applyAlignment="1" applyProtection="1">
      <alignment horizontal="center" vertical="center"/>
      <protection hidden="1"/>
    </xf>
    <xf numFmtId="3" fontId="15" fillId="3" borderId="33" xfId="56" applyNumberFormat="1" applyFont="1" applyFill="1" applyBorder="1" applyAlignment="1" applyProtection="1">
      <alignment horizontal="right" vertical="center"/>
      <protection locked="0" hidden="1"/>
    </xf>
    <xf numFmtId="3" fontId="15" fillId="3" borderId="34" xfId="56" applyNumberFormat="1" applyFont="1" applyFill="1" applyBorder="1" applyAlignment="1" applyProtection="1">
      <alignment horizontal="right" vertical="center"/>
      <protection locked="0" hidden="1"/>
    </xf>
    <xf numFmtId="2" fontId="15" fillId="0" borderId="11" xfId="56" applyNumberFormat="1" applyFont="1" applyBorder="1" applyAlignment="1" applyProtection="1">
      <alignment horizontal="center" vertical="center" wrapText="1"/>
      <protection hidden="1"/>
    </xf>
    <xf numFmtId="0" fontId="15" fillId="0" borderId="0" xfId="56" applyFont="1" applyAlignment="1" applyProtection="1">
      <alignment horizontal="left" vertical="top"/>
      <protection hidden="1"/>
    </xf>
    <xf numFmtId="9" fontId="15" fillId="3" borderId="11" xfId="56" applyNumberFormat="1" applyFont="1" applyFill="1" applyBorder="1" applyAlignment="1" applyProtection="1">
      <alignment horizontal="center" vertical="center" wrapText="1"/>
      <protection locked="0" hidden="1"/>
    </xf>
    <xf numFmtId="0" fontId="15" fillId="2" borderId="11" xfId="56" applyFont="1" applyFill="1" applyBorder="1" applyAlignment="1" applyProtection="1">
      <alignment horizontal="left" vertical="center" wrapText="1"/>
      <protection hidden="1"/>
    </xf>
    <xf numFmtId="0" fontId="0" fillId="0" borderId="33" xfId="56" applyFont="1" applyBorder="1" applyAlignment="1" applyProtection="1">
      <alignment horizontal="justify" vertical="center" wrapText="1"/>
      <protection hidden="1"/>
    </xf>
    <xf numFmtId="0" fontId="16" fillId="0" borderId="3" xfId="56" applyFont="1" applyBorder="1" applyAlignment="1" applyProtection="1">
      <alignment horizontal="justify" vertical="center" wrapText="1"/>
      <protection hidden="1"/>
    </xf>
    <xf numFmtId="0" fontId="0" fillId="0" borderId="33" xfId="56" applyFont="1" applyBorder="1" applyAlignment="1" applyProtection="1">
      <alignment horizontal="justify" vertical="center"/>
      <protection hidden="1"/>
    </xf>
    <xf numFmtId="0" fontId="16" fillId="0" borderId="3" xfId="56" applyFont="1" applyBorder="1" applyAlignment="1" applyProtection="1">
      <alignment horizontal="justify" vertical="center"/>
      <protection hidden="1"/>
    </xf>
    <xf numFmtId="0" fontId="0" fillId="0" borderId="35" xfId="56" applyFont="1" applyBorder="1" applyAlignment="1" applyProtection="1">
      <alignment horizontal="justify" vertical="center"/>
      <protection hidden="1"/>
    </xf>
    <xf numFmtId="0" fontId="16" fillId="0" borderId="8" xfId="56" applyFont="1" applyBorder="1" applyAlignment="1" applyProtection="1">
      <alignment horizontal="justify" vertical="center"/>
      <protection hidden="1"/>
    </xf>
    <xf numFmtId="0" fontId="16" fillId="0" borderId="33" xfId="56" applyFont="1" applyBorder="1" applyAlignment="1" applyProtection="1">
      <alignment horizontal="justify" vertical="center"/>
      <protection hidden="1"/>
    </xf>
    <xf numFmtId="0" fontId="16" fillId="0" borderId="34" xfId="56" applyFont="1" applyBorder="1" applyAlignment="1" applyProtection="1">
      <alignment horizontal="justify" vertical="center"/>
      <protection hidden="1"/>
    </xf>
    <xf numFmtId="0" fontId="0" fillId="0" borderId="35" xfId="56" applyFont="1" applyBorder="1" applyAlignment="1" applyProtection="1">
      <alignment horizontal="justify" vertical="center" wrapText="1"/>
      <protection hidden="1"/>
    </xf>
    <xf numFmtId="0" fontId="16" fillId="0" borderId="36" xfId="56" applyFont="1" applyBorder="1" applyAlignment="1" applyProtection="1">
      <alignment horizontal="justify" vertical="center" wrapText="1"/>
      <protection hidden="1"/>
    </xf>
    <xf numFmtId="2" fontId="32" fillId="0" borderId="0" xfId="57" applyNumberFormat="1" applyFont="1" applyAlignment="1" applyProtection="1">
      <alignment horizontal="right" vertical="center"/>
      <protection hidden="1"/>
    </xf>
    <xf numFmtId="0" fontId="15" fillId="2" borderId="11" xfId="0" applyFont="1" applyFill="1" applyBorder="1" applyAlignment="1" applyProtection="1">
      <alignment horizontal="left" vertical="center" wrapText="1"/>
      <protection hidden="1"/>
    </xf>
    <xf numFmtId="0" fontId="0" fillId="0" borderId="11" xfId="0" applyBorder="1" applyProtection="1">
      <protection hidden="1"/>
    </xf>
    <xf numFmtId="0" fontId="16" fillId="0" borderId="0" xfId="57" applyAlignment="1" applyProtection="1">
      <alignment horizontal="justify" vertical="top"/>
      <protection hidden="1"/>
    </xf>
    <xf numFmtId="0" fontId="15" fillId="3" borderId="0" xfId="57" applyFont="1" applyFill="1" applyAlignment="1" applyProtection="1">
      <alignment horizontal="justify" vertical="top"/>
      <protection locked="0"/>
    </xf>
    <xf numFmtId="2" fontId="32" fillId="0" borderId="0" xfId="57" applyNumberFormat="1" applyFont="1" applyAlignment="1" applyProtection="1">
      <alignment vertical="center"/>
      <protection hidden="1"/>
    </xf>
    <xf numFmtId="168" fontId="27" fillId="0" borderId="0" xfId="0" applyNumberFormat="1" applyFont="1" applyAlignment="1" applyProtection="1">
      <alignment horizontal="center" vertical="center" wrapText="1"/>
      <protection hidden="1"/>
    </xf>
    <xf numFmtId="0" fontId="27" fillId="0" borderId="0" xfId="57" applyFont="1" applyAlignment="1" applyProtection="1">
      <alignment horizontal="center" vertical="center"/>
      <protection hidden="1"/>
    </xf>
    <xf numFmtId="0" fontId="32" fillId="0" borderId="0" xfId="57" applyFont="1" applyAlignment="1" applyProtection="1">
      <alignment horizontal="center" vertical="center"/>
      <protection hidden="1"/>
    </xf>
    <xf numFmtId="0" fontId="15" fillId="0" borderId="0" xfId="57" applyFont="1" applyAlignment="1" applyProtection="1">
      <alignment horizontal="center" vertical="center" wrapText="1"/>
      <protection hidden="1"/>
    </xf>
    <xf numFmtId="0" fontId="15" fillId="0" borderId="33" xfId="55" applyFont="1" applyBorder="1" applyAlignment="1" applyProtection="1">
      <alignment horizontal="justify" vertical="top"/>
      <protection hidden="1"/>
    </xf>
    <xf numFmtId="0" fontId="16" fillId="0" borderId="3" xfId="55" applyFont="1" applyBorder="1" applyAlignment="1" applyProtection="1">
      <alignment horizontal="justify" vertical="top"/>
      <protection hidden="1"/>
    </xf>
    <xf numFmtId="0" fontId="16" fillId="0" borderId="34" xfId="55" applyFont="1" applyBorder="1" applyAlignment="1" applyProtection="1">
      <alignment horizontal="justify" vertical="top"/>
      <protection hidden="1"/>
    </xf>
    <xf numFmtId="0" fontId="15" fillId="0" borderId="46" xfId="55" applyFont="1" applyBorder="1" applyAlignment="1" applyProtection="1">
      <alignment horizontal="justify" vertical="top"/>
      <protection hidden="1"/>
    </xf>
    <xf numFmtId="0" fontId="16" fillId="0" borderId="47" xfId="55" applyFont="1" applyBorder="1" applyAlignment="1" applyProtection="1">
      <alignment horizontal="justify" vertical="top"/>
      <protection hidden="1"/>
    </xf>
    <xf numFmtId="0" fontId="16" fillId="0" borderId="48" xfId="55" applyFont="1" applyBorder="1" applyAlignment="1" applyProtection="1">
      <alignment horizontal="justify" vertical="top"/>
      <protection hidden="1"/>
    </xf>
    <xf numFmtId="0" fontId="15" fillId="0" borderId="46" xfId="55" applyFont="1" applyBorder="1" applyAlignment="1" applyProtection="1">
      <alignment horizontal="justify" vertical="center"/>
      <protection hidden="1"/>
    </xf>
    <xf numFmtId="0" fontId="16" fillId="0" borderId="47" xfId="55" applyFont="1" applyBorder="1" applyAlignment="1" applyProtection="1">
      <alignment horizontal="justify" vertical="center"/>
      <protection hidden="1"/>
    </xf>
    <xf numFmtId="0" fontId="16" fillId="0" borderId="48" xfId="55" applyFont="1" applyBorder="1" applyAlignment="1" applyProtection="1">
      <alignment horizontal="justify" vertical="center"/>
      <protection hidden="1"/>
    </xf>
    <xf numFmtId="0" fontId="0" fillId="0" borderId="8" xfId="55" applyFont="1" applyBorder="1" applyAlignment="1" applyProtection="1">
      <alignment horizontal="left" vertical="center" wrapText="1"/>
      <protection hidden="1"/>
    </xf>
    <xf numFmtId="0" fontId="16" fillId="0" borderId="8" xfId="55" applyFont="1" applyBorder="1" applyAlignment="1" applyProtection="1">
      <alignment horizontal="left" vertical="center" wrapText="1"/>
      <protection hidden="1"/>
    </xf>
    <xf numFmtId="0" fontId="15" fillId="0" borderId="0" xfId="49" applyFont="1" applyAlignment="1" applyProtection="1">
      <alignment horizontal="left" vertical="center" indent="2"/>
      <protection hidden="1"/>
    </xf>
    <xf numFmtId="0" fontId="0" fillId="0" borderId="11" xfId="55" applyFont="1" applyBorder="1" applyAlignment="1" applyProtection="1">
      <alignment horizontal="left" vertical="top" wrapText="1"/>
      <protection hidden="1"/>
    </xf>
    <xf numFmtId="0" fontId="16" fillId="0" borderId="11" xfId="55" applyFont="1" applyBorder="1" applyAlignment="1" applyProtection="1">
      <alignment horizontal="left" vertical="top" wrapText="1"/>
      <protection hidden="1"/>
    </xf>
    <xf numFmtId="0" fontId="0" fillId="0" borderId="33" xfId="55" applyFont="1" applyBorder="1" applyAlignment="1" applyProtection="1">
      <alignment horizontal="left" vertical="top" wrapText="1"/>
      <protection hidden="1"/>
    </xf>
    <xf numFmtId="0" fontId="16" fillId="0" borderId="3" xfId="55" applyFont="1" applyBorder="1" applyAlignment="1" applyProtection="1">
      <alignment horizontal="left" vertical="top" wrapText="1"/>
      <protection hidden="1"/>
    </xf>
    <xf numFmtId="0" fontId="16" fillId="0" borderId="34" xfId="55" applyFont="1" applyBorder="1" applyAlignment="1" applyProtection="1">
      <alignment horizontal="left" vertical="top" wrapText="1"/>
      <protection hidden="1"/>
    </xf>
    <xf numFmtId="10" fontId="16" fillId="3" borderId="33" xfId="55" applyNumberFormat="1" applyFont="1" applyFill="1" applyBorder="1" applyAlignment="1" applyProtection="1">
      <alignment horizontal="center" vertical="center"/>
      <protection locked="0"/>
    </xf>
    <xf numFmtId="10" fontId="16" fillId="3" borderId="3" xfId="55" applyNumberFormat="1" applyFont="1" applyFill="1" applyBorder="1" applyAlignment="1" applyProtection="1">
      <alignment horizontal="center" vertical="center"/>
      <protection locked="0"/>
    </xf>
    <xf numFmtId="10" fontId="16" fillId="3" borderId="34" xfId="55" applyNumberFormat="1" applyFont="1" applyFill="1" applyBorder="1" applyAlignment="1" applyProtection="1">
      <alignment horizontal="center" vertical="center"/>
      <protection locked="0"/>
    </xf>
    <xf numFmtId="0" fontId="15" fillId="9" borderId="0" xfId="55" applyNumberFormat="1" applyFont="1" applyFill="1" applyBorder="1" applyAlignment="1" applyProtection="1">
      <alignment horizontal="center" vertical="center" wrapText="1"/>
      <protection hidden="1"/>
    </xf>
    <xf numFmtId="0" fontId="15" fillId="0" borderId="0" xfId="0" applyFont="1" applyAlignment="1" applyProtection="1">
      <alignment horizontal="justify" vertical="top" wrapText="1"/>
      <protection hidden="1"/>
    </xf>
    <xf numFmtId="0" fontId="39" fillId="0" borderId="0" xfId="55" applyFont="1" applyAlignment="1" applyProtection="1">
      <alignment horizontal="justify" vertical="center"/>
      <protection hidden="1"/>
    </xf>
    <xf numFmtId="0" fontId="15" fillId="0" borderId="0" xfId="0" applyFont="1" applyAlignment="1" applyProtection="1">
      <alignment horizontal="center" vertical="center"/>
      <protection hidden="1"/>
    </xf>
    <xf numFmtId="0" fontId="55" fillId="0" borderId="0" xfId="55" applyNumberFormat="1" applyFont="1" applyFill="1" applyBorder="1" applyAlignment="1" applyProtection="1">
      <alignment horizontal="center" vertical="top" wrapText="1"/>
      <protection hidden="1"/>
    </xf>
    <xf numFmtId="0" fontId="31" fillId="7" borderId="0" xfId="0" applyFont="1" applyFill="1" applyAlignment="1" applyProtection="1">
      <alignment horizontal="center" vertical="center" wrapText="1"/>
      <protection hidden="1"/>
    </xf>
    <xf numFmtId="0" fontId="31" fillId="7" borderId="6" xfId="0" applyFont="1" applyFill="1" applyBorder="1" applyAlignment="1" applyProtection="1">
      <alignment horizontal="center" vertical="center" wrapText="1"/>
      <protection hidden="1"/>
    </xf>
    <xf numFmtId="0" fontId="6" fillId="0" borderId="0" xfId="49" applyFont="1" applyAlignment="1" applyProtection="1">
      <alignment horizontal="justify" vertical="center"/>
      <protection hidden="1"/>
    </xf>
    <xf numFmtId="0" fontId="5" fillId="0" borderId="0" xfId="49" applyFont="1" applyAlignment="1" applyProtection="1">
      <alignment horizontal="justify" vertical="top"/>
      <protection hidden="1"/>
    </xf>
    <xf numFmtId="0" fontId="0" fillId="0" borderId="0" xfId="49" applyFont="1" applyAlignment="1" applyProtection="1">
      <alignment horizontal="justify" vertical="top"/>
      <protection hidden="1"/>
    </xf>
    <xf numFmtId="0" fontId="16" fillId="0" borderId="0" xfId="49" applyFont="1" applyAlignment="1" applyProtection="1">
      <alignment horizontal="justify" vertical="top"/>
      <protection hidden="1"/>
    </xf>
    <xf numFmtId="0" fontId="16" fillId="0" borderId="45" xfId="0" applyFont="1" applyBorder="1" applyAlignment="1" applyProtection="1">
      <alignment horizontal="left" vertical="center" indent="2"/>
      <protection hidden="1"/>
    </xf>
    <xf numFmtId="0" fontId="16" fillId="0" borderId="13" xfId="0" applyFont="1" applyBorder="1" applyAlignment="1" applyProtection="1">
      <alignment horizontal="left" vertical="center" indent="2"/>
      <protection hidden="1"/>
    </xf>
    <xf numFmtId="0" fontId="16" fillId="3" borderId="14" xfId="0" applyFont="1" applyFill="1" applyBorder="1" applyAlignment="1" applyProtection="1">
      <alignment horizontal="left" vertical="center"/>
      <protection locked="0"/>
    </xf>
    <xf numFmtId="0" fontId="16" fillId="0" borderId="0" xfId="0" applyFont="1" applyAlignment="1" applyProtection="1">
      <alignment horizontal="left" vertical="center" indent="2"/>
      <protection hidden="1"/>
    </xf>
    <xf numFmtId="177" fontId="15" fillId="0" borderId="0" xfId="49" applyNumberFormat="1" applyFont="1" applyAlignment="1" applyProtection="1">
      <alignment horizontal="left" vertical="center" indent="1"/>
      <protection hidden="1"/>
    </xf>
    <xf numFmtId="0" fontId="15" fillId="0" borderId="0" xfId="49" applyFont="1" applyAlignment="1" applyProtection="1">
      <alignment horizontal="center" vertical="center"/>
      <protection hidden="1"/>
    </xf>
    <xf numFmtId="0" fontId="0" fillId="3" borderId="0" xfId="49" applyFont="1" applyFill="1" applyAlignment="1" applyProtection="1">
      <alignment horizontal="left" vertical="center"/>
      <protection locked="0"/>
    </xf>
    <xf numFmtId="0" fontId="16" fillId="3" borderId="0" xfId="49" applyFont="1" applyFill="1" applyAlignment="1" applyProtection="1">
      <alignment horizontal="left" vertical="center"/>
      <protection locked="0"/>
    </xf>
    <xf numFmtId="177" fontId="16" fillId="0" borderId="0" xfId="49" applyNumberFormat="1" applyFont="1" applyAlignment="1" applyProtection="1">
      <alignment horizontal="left" vertical="center"/>
      <protection hidden="1"/>
    </xf>
    <xf numFmtId="0" fontId="6" fillId="0" borderId="0" xfId="49" applyFont="1" applyAlignment="1" applyProtection="1">
      <alignment horizontal="justify" vertical="top"/>
      <protection hidden="1"/>
    </xf>
    <xf numFmtId="0" fontId="5" fillId="0" borderId="0" xfId="49" applyFont="1" applyAlignment="1" applyProtection="1">
      <alignment horizontal="justify" vertical="center"/>
      <protection hidden="1"/>
    </xf>
    <xf numFmtId="0" fontId="16" fillId="0" borderId="14" xfId="0" applyFont="1" applyBorder="1" applyAlignment="1" applyProtection="1">
      <alignment horizontal="left" vertical="center" indent="2"/>
      <protection hidden="1"/>
    </xf>
    <xf numFmtId="0" fontId="0" fillId="0" borderId="0" xfId="49" applyFont="1" applyAlignment="1" applyProtection="1">
      <alignment vertical="top" wrapText="1"/>
      <protection hidden="1"/>
    </xf>
    <xf numFmtId="0" fontId="0" fillId="0" borderId="0" xfId="0" applyAlignment="1">
      <alignment vertical="top" wrapText="1"/>
    </xf>
    <xf numFmtId="0" fontId="16" fillId="0" borderId="0" xfId="60" applyFont="1" applyAlignment="1" applyProtection="1">
      <alignment horizontal="justify" vertical="center" wrapText="1"/>
      <protection hidden="1"/>
    </xf>
    <xf numFmtId="1" fontId="24" fillId="0" borderId="11" xfId="60" applyNumberFormat="1" applyFont="1" applyBorder="1" applyAlignment="1" applyProtection="1">
      <alignment horizontal="justify" vertical="center" wrapText="1"/>
      <protection hidden="1"/>
    </xf>
    <xf numFmtId="4" fontId="15" fillId="0" borderId="33" xfId="60" applyNumberFormat="1" applyFont="1" applyBorder="1" applyAlignment="1" applyProtection="1">
      <alignment horizontal="center" vertical="center" wrapText="1"/>
      <protection hidden="1"/>
    </xf>
    <xf numFmtId="4" fontId="15" fillId="0" borderId="3" xfId="60" applyNumberFormat="1" applyFont="1" applyBorder="1" applyAlignment="1" applyProtection="1">
      <alignment horizontal="center" vertical="center" wrapText="1"/>
      <protection hidden="1"/>
    </xf>
    <xf numFmtId="0" fontId="16" fillId="0" borderId="0" xfId="60" applyFont="1" applyAlignment="1" applyProtection="1">
      <alignment horizontal="left" vertical="center" wrapText="1"/>
      <protection hidden="1"/>
    </xf>
    <xf numFmtId="0" fontId="0" fillId="0" borderId="0" xfId="0" applyAlignment="1">
      <alignment horizontal="left"/>
    </xf>
    <xf numFmtId="0" fontId="0" fillId="0" borderId="6" xfId="0" applyBorder="1" applyAlignment="1">
      <alignment horizontal="left"/>
    </xf>
    <xf numFmtId="1" fontId="16" fillId="0" borderId="0" xfId="60" applyNumberFormat="1" applyFont="1" applyAlignment="1" applyProtection="1">
      <alignment horizontal="justify" vertical="top" wrapText="1"/>
      <protection hidden="1"/>
    </xf>
    <xf numFmtId="0" fontId="16" fillId="0" borderId="0" xfId="60" applyFont="1" applyAlignment="1" applyProtection="1">
      <alignment horizontal="justify" vertical="top" wrapText="1"/>
      <protection hidden="1"/>
    </xf>
    <xf numFmtId="0" fontId="16" fillId="0" borderId="6" xfId="60" applyFont="1" applyBorder="1" applyAlignment="1" applyProtection="1">
      <alignment horizontal="justify" vertical="top" wrapText="1"/>
      <protection hidden="1"/>
    </xf>
    <xf numFmtId="1" fontId="15" fillId="0" borderId="0" xfId="60" applyNumberFormat="1" applyFont="1" applyAlignment="1" applyProtection="1">
      <alignment horizontal="center" vertical="center" wrapText="1"/>
      <protection hidden="1"/>
    </xf>
    <xf numFmtId="0" fontId="15" fillId="0" borderId="0" xfId="60" applyFont="1" applyAlignment="1" applyProtection="1">
      <alignment horizontal="center" vertical="center" wrapText="1"/>
      <protection hidden="1"/>
    </xf>
    <xf numFmtId="4" fontId="15" fillId="0" borderId="0" xfId="60" applyNumberFormat="1" applyFont="1" applyAlignment="1" applyProtection="1">
      <alignment horizontal="right" vertical="center" wrapText="1"/>
      <protection hidden="1"/>
    </xf>
    <xf numFmtId="1" fontId="15" fillId="0" borderId="11" xfId="60" applyNumberFormat="1" applyFont="1" applyBorder="1" applyAlignment="1" applyProtection="1">
      <alignment horizontal="center" vertical="center" wrapText="1"/>
      <protection hidden="1"/>
    </xf>
    <xf numFmtId="4" fontId="15" fillId="0" borderId="11" xfId="60" applyNumberFormat="1" applyFont="1" applyBorder="1" applyAlignment="1" applyProtection="1">
      <alignment horizontal="center" vertical="center" wrapText="1"/>
      <protection hidden="1"/>
    </xf>
    <xf numFmtId="0" fontId="19" fillId="0" borderId="0" xfId="60" applyFont="1" applyAlignment="1" applyProtection="1">
      <alignment horizontal="left"/>
      <protection hidden="1"/>
    </xf>
    <xf numFmtId="0" fontId="19" fillId="0" borderId="6" xfId="60" applyFont="1" applyBorder="1" applyAlignment="1" applyProtection="1">
      <alignment horizontal="left"/>
      <protection hidden="1"/>
    </xf>
    <xf numFmtId="1" fontId="15" fillId="0" borderId="33" xfId="60" applyNumberFormat="1" applyFont="1" applyBorder="1" applyAlignment="1" applyProtection="1">
      <alignment horizontal="center" vertical="center" wrapText="1"/>
      <protection hidden="1"/>
    </xf>
    <xf numFmtId="1" fontId="15" fillId="0" borderId="34" xfId="60" applyNumberFormat="1" applyFont="1" applyBorder="1" applyAlignment="1" applyProtection="1">
      <alignment horizontal="center" vertical="center" wrapText="1"/>
      <protection hidden="1"/>
    </xf>
    <xf numFmtId="4" fontId="15" fillId="0" borderId="33" xfId="60" applyNumberFormat="1" applyFont="1" applyBorder="1" applyAlignment="1" applyProtection="1">
      <alignment horizontal="right" vertical="center" wrapText="1"/>
      <protection hidden="1"/>
    </xf>
    <xf numFmtId="4" fontId="16" fillId="0" borderId="34" xfId="60" applyNumberFormat="1" applyFont="1" applyBorder="1" applyAlignment="1" applyProtection="1">
      <alignment horizontal="right" vertical="center" wrapText="1"/>
      <protection hidden="1"/>
    </xf>
    <xf numFmtId="0" fontId="16" fillId="0" borderId="6" xfId="60" applyFont="1" applyBorder="1" applyAlignment="1" applyProtection="1">
      <alignment horizontal="justify" vertical="center" wrapText="1"/>
      <protection hidden="1"/>
    </xf>
    <xf numFmtId="2" fontId="35" fillId="0" borderId="0" xfId="51" applyNumberFormat="1" applyFont="1" applyAlignment="1" applyProtection="1">
      <alignment horizontal="left" vertical="center"/>
      <protection hidden="1"/>
    </xf>
  </cellXfs>
  <cellStyles count="66">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Comma 3" xfId="18" xr:uid="{00000000-0005-0000-0000-000011000000}"/>
    <cellStyle name="Comma 4" xfId="19" xr:uid="{00000000-0005-0000-0000-000012000000}"/>
    <cellStyle name="Currency 2" xfId="20" xr:uid="{00000000-0005-0000-0000-000013000000}"/>
    <cellStyle name="Formula" xfId="21" xr:uid="{00000000-0005-0000-0000-000014000000}"/>
    <cellStyle name="Header1" xfId="22" xr:uid="{00000000-0005-0000-0000-000015000000}"/>
    <cellStyle name="Header2" xfId="23" xr:uid="{00000000-0005-0000-0000-000016000000}"/>
    <cellStyle name="Hyperlink" xfId="24" builtinId="8"/>
    <cellStyle name="Hyperlink 2" xfId="25" xr:uid="{00000000-0005-0000-0000-000018000000}"/>
    <cellStyle name="Hypertextový odkaz" xfId="26" xr:uid="{00000000-0005-0000-0000-000019000000}"/>
    <cellStyle name="no dec" xfId="27" xr:uid="{00000000-0005-0000-0000-00001A000000}"/>
    <cellStyle name="Normal" xfId="0" builtinId="0"/>
    <cellStyle name="Normal - Style1" xfId="28" xr:uid="{00000000-0005-0000-0000-00001C000000}"/>
    <cellStyle name="Normal 10" xfId="29" xr:uid="{00000000-0005-0000-0000-00001D000000}"/>
    <cellStyle name="Normal 11" xfId="30" xr:uid="{00000000-0005-0000-0000-00001E000000}"/>
    <cellStyle name="Normal 12" xfId="31" xr:uid="{00000000-0005-0000-0000-00001F000000}"/>
    <cellStyle name="Normal 13" xfId="32" xr:uid="{00000000-0005-0000-0000-000020000000}"/>
    <cellStyle name="Normal 14" xfId="33" xr:uid="{00000000-0005-0000-0000-000021000000}"/>
    <cellStyle name="Normal 15" xfId="34" xr:uid="{00000000-0005-0000-0000-000022000000}"/>
    <cellStyle name="Normal 16" xfId="35" xr:uid="{00000000-0005-0000-0000-000023000000}"/>
    <cellStyle name="Normal 17" xfId="36" xr:uid="{00000000-0005-0000-0000-000024000000}"/>
    <cellStyle name="Normal 18" xfId="37" xr:uid="{00000000-0005-0000-0000-000025000000}"/>
    <cellStyle name="Normal 19" xfId="38" xr:uid="{00000000-0005-0000-0000-000026000000}"/>
    <cellStyle name="Normal 2" xfId="39" xr:uid="{00000000-0005-0000-0000-000027000000}"/>
    <cellStyle name="Normal 3" xfId="40" xr:uid="{00000000-0005-0000-0000-000028000000}"/>
    <cellStyle name="Normal 3 2"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74" xfId="46" xr:uid="{00000000-0005-0000-0000-00002E000000}"/>
    <cellStyle name="Normal 8" xfId="47" xr:uid="{00000000-0005-0000-0000-00002F000000}"/>
    <cellStyle name="Normal 9" xfId="48" xr:uid="{00000000-0005-0000-0000-000030000000}"/>
    <cellStyle name="Normal_Annexures TW 04" xfId="49" xr:uid="{00000000-0005-0000-0000-000031000000}"/>
    <cellStyle name="Normal_Attach 3(JV)" xfId="50" xr:uid="{00000000-0005-0000-0000-000032000000}"/>
    <cellStyle name="Normal_Entertainment Form" xfId="51" xr:uid="{00000000-0005-0000-0000-000033000000}"/>
    <cellStyle name="Normal_pgcil-tivim-pricesched" xfId="52" xr:uid="{00000000-0005-0000-0000-000034000000}"/>
    <cellStyle name="Normal_pgcil-tivim-pricesched_Sch-1" xfId="53" xr:uid="{00000000-0005-0000-0000-000035000000}"/>
    <cellStyle name="Normal_pgcil-tivim-pricesched_Sch-3 " xfId="54" xr:uid="{00000000-0005-0000-0000-000036000000}"/>
    <cellStyle name="Normal_PRICE SCHEDULE-4 to 6-A4" xfId="55" xr:uid="{00000000-0005-0000-0000-000037000000}"/>
    <cellStyle name="Normal_Price_Schedules for Insulator Package Rev-01" xfId="56" xr:uid="{00000000-0005-0000-0000-000038000000}"/>
    <cellStyle name="Normal_PRICE-SCHE Bihar-Rev-2-corrections" xfId="57" xr:uid="{00000000-0005-0000-0000-000039000000}"/>
    <cellStyle name="Normal_PRICE-SCHE Bihar-Rev-2-corrections_Annexures TW 04" xfId="58" xr:uid="{00000000-0005-0000-0000-00003A000000}"/>
    <cellStyle name="Normal_PRICE-SCHE Bihar-Rev-2-corrections_Price_Schedules for Insulator Package Rev-01" xfId="59" xr:uid="{00000000-0005-0000-0000-00003B000000}"/>
    <cellStyle name="Normal_QUOTED CORRECTED 2" xfId="60" xr:uid="{00000000-0005-0000-0000-00003C000000}"/>
    <cellStyle name="Normal_Sch-1" xfId="61" xr:uid="{00000000-0005-0000-0000-00003D000000}"/>
    <cellStyle name="Normal_Sheet1" xfId="62" xr:uid="{00000000-0005-0000-0000-00003E000000}"/>
    <cellStyle name="Popis" xfId="63" xr:uid="{00000000-0005-0000-0000-00003F000000}"/>
    <cellStyle name="Sledovaný hypertextový odkaz" xfId="64" xr:uid="{00000000-0005-0000-0000-000040000000}"/>
    <cellStyle name="Standard_BS14" xfId="65" xr:uid="{00000000-0005-0000-0000-000041000000}"/>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structions!A1"/></Relationships>
</file>

<file path=xl/drawings/_rels/drawing10.xml.rels><?xml version="1.0" encoding="UTF-8" standalone="yes"?>
<Relationships xmlns="http://schemas.openxmlformats.org/package/2006/relationships"><Relationship Id="rId1" Type="http://schemas.openxmlformats.org/officeDocument/2006/relationships/hyperlink" Target="#Discount!A1"/></Relationships>
</file>

<file path=xl/drawings/_rels/drawing11.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2.xml.rels><?xml version="1.0" encoding="UTF-8" standalone="yes"?>
<Relationships xmlns="http://schemas.openxmlformats.org/package/2006/relationships"><Relationship Id="rId1" Type="http://schemas.openxmlformats.org/officeDocument/2006/relationships/hyperlink" Target="#'Sch-4'!A1"/></Relationships>
</file>

<file path=xl/drawings/_rels/drawing13.xml.rels><?xml version="1.0" encoding="UTF-8" standalone="yes"?>
<Relationships xmlns="http://schemas.openxmlformats.org/package/2006/relationships"><Relationship Id="rId1" Type="http://schemas.openxmlformats.org/officeDocument/2006/relationships/hyperlink" Target="#'Sch-4'!A1"/></Relationships>
</file>

<file path=xl/drawings/_rels/drawing14.xml.rels><?xml version="1.0" encoding="UTF-8" standalone="yes"?>
<Relationships xmlns="http://schemas.openxmlformats.org/package/2006/relationships"><Relationship Id="rId1" Type="http://schemas.openxmlformats.org/officeDocument/2006/relationships/hyperlink" Target="#'Sch-4'!A1"/></Relationships>
</file>

<file path=xl/drawings/_rels/drawing15.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mes of Bidder'!A1"/></Relationships>
</file>

<file path=xl/drawings/_rels/drawing3.xml.rels><?xml version="1.0" encoding="UTF-8" standalone="yes"?>
<Relationships xmlns="http://schemas.openxmlformats.org/package/2006/relationships"><Relationship Id="rId1" Type="http://schemas.openxmlformats.org/officeDocument/2006/relationships/hyperlink" Target="#'Sch-2'!A1"/></Relationships>
</file>

<file path=xl/drawings/_rels/drawing4.xml.rels><?xml version="1.0" encoding="UTF-8" standalone="yes"?>
<Relationships xmlns="http://schemas.openxmlformats.org/package/2006/relationships"><Relationship Id="rId1" Type="http://schemas.openxmlformats.org/officeDocument/2006/relationships/hyperlink" Target="#'Sch-3 '!A1"/></Relationships>
</file>

<file path=xl/drawings/_rels/drawing5.xml.rels><?xml version="1.0" encoding="UTF-8" standalone="yes"?>
<Relationships xmlns="http://schemas.openxmlformats.org/package/2006/relationships"><Relationship Id="rId1" Type="http://schemas.openxmlformats.org/officeDocument/2006/relationships/hyperlink" Target="#'Sch-4'!A1"/></Relationships>
</file>

<file path=xl/drawings/_rels/drawing6.xml.rels><?xml version="1.0" encoding="UTF-8" standalone="yes"?>
<Relationships xmlns="http://schemas.openxmlformats.org/package/2006/relationships"><Relationship Id="rId1" Type="http://schemas.openxmlformats.org/officeDocument/2006/relationships/hyperlink" Target="#'Sch-5'!A1"/></Relationships>
</file>

<file path=xl/drawings/_rels/drawing7.xml.rels><?xml version="1.0" encoding="UTF-8" standalone="yes"?>
<Relationships xmlns="http://schemas.openxmlformats.org/package/2006/relationships"><Relationship Id="rId1" Type="http://schemas.openxmlformats.org/officeDocument/2006/relationships/hyperlink" Target="#'Sch-5'!A1"/></Relationships>
</file>

<file path=xl/drawings/_rels/drawing8.xml.rels><?xml version="1.0" encoding="UTF-8" standalone="yes"?>
<Relationships xmlns="http://schemas.openxmlformats.org/package/2006/relationships"><Relationship Id="rId1" Type="http://schemas.openxmlformats.org/officeDocument/2006/relationships/hyperlink" Target="#'Sch-6'!A1"/></Relationships>
</file>

<file path=xl/drawings/_rels/drawing9.xml.rels><?xml version="1.0" encoding="UTF-8" standalone="yes"?>
<Relationships xmlns="http://schemas.openxmlformats.org/package/2006/relationships"><Relationship Id="rId1" Type="http://schemas.openxmlformats.org/officeDocument/2006/relationships/hyperlink" Target="#'Sch-6'!A1"/></Relationships>
</file>

<file path=xl/drawings/drawing1.xml><?xml version="1.0" encoding="utf-8"?>
<xdr:wsDr xmlns:xdr="http://schemas.openxmlformats.org/drawingml/2006/spreadsheetDrawing" xmlns:a="http://schemas.openxmlformats.org/drawingml/2006/main">
  <xdr:twoCellAnchor>
    <xdr:from>
      <xdr:col>1</xdr:col>
      <xdr:colOff>1904</xdr:colOff>
      <xdr:row>7</xdr:row>
      <xdr:rowOff>50006</xdr:rowOff>
    </xdr:from>
    <xdr:to>
      <xdr:col>4</xdr:col>
      <xdr:colOff>1127847</xdr:colOff>
      <xdr:row>8</xdr:row>
      <xdr:rowOff>195262</xdr:rowOff>
    </xdr:to>
    <xdr:sp macro="" textlink="">
      <xdr:nvSpPr>
        <xdr:cNvPr id="1026" name="Text Box 2">
          <a:hlinkClick xmlns:r="http://schemas.openxmlformats.org/officeDocument/2006/relationships" r:id="rId1" tooltip="Click to Proceed"/>
          <a:extLst>
            <a:ext uri="{FF2B5EF4-FFF2-40B4-BE49-F238E27FC236}">
              <a16:creationId xmlns:a16="http://schemas.microsoft.com/office/drawing/2014/main" id="{5C080034-1270-4354-2870-2D2187811D2F}"/>
            </a:ext>
          </a:extLst>
        </xdr:cNvPr>
        <xdr:cNvSpPr txBox="1">
          <a:spLocks noChangeArrowheads="1"/>
        </xdr:cNvSpPr>
      </xdr:nvSpPr>
      <xdr:spPr bwMode="auto">
        <a:xfrm>
          <a:off x="657224" y="2507456"/>
          <a:ext cx="7858125" cy="297656"/>
        </a:xfrm>
        <a:prstGeom prst="rect">
          <a:avLst/>
        </a:prstGeom>
        <a:solidFill>
          <a:srgbClr val="FFFF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editAs="oneCell">
    <xdr:from>
      <xdr:col>3</xdr:col>
      <xdr:colOff>1752600</xdr:colOff>
      <xdr:row>10</xdr:row>
      <xdr:rowOff>171450</xdr:rowOff>
    </xdr:from>
    <xdr:to>
      <xdr:col>4</xdr:col>
      <xdr:colOff>819150</xdr:colOff>
      <xdr:row>13</xdr:row>
      <xdr:rowOff>0</xdr:rowOff>
    </xdr:to>
    <xdr:pic>
      <xdr:nvPicPr>
        <xdr:cNvPr id="146445" name="Picture 3">
          <a:extLst>
            <a:ext uri="{FF2B5EF4-FFF2-40B4-BE49-F238E27FC236}">
              <a16:creationId xmlns:a16="http://schemas.microsoft.com/office/drawing/2014/main" id="{B3A82315-ECE6-AF07-76BC-140EC8CFD6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0775" y="3038475"/>
          <a:ext cx="2009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10</xdr:row>
      <xdr:rowOff>57150</xdr:rowOff>
    </xdr:from>
    <xdr:to>
      <xdr:col>3</xdr:col>
      <xdr:colOff>1323975</xdr:colOff>
      <xdr:row>13</xdr:row>
      <xdr:rowOff>85725</xdr:rowOff>
    </xdr:to>
    <xdr:pic>
      <xdr:nvPicPr>
        <xdr:cNvPr id="146446" name="Picture 4">
          <a:extLst>
            <a:ext uri="{FF2B5EF4-FFF2-40B4-BE49-F238E27FC236}">
              <a16:creationId xmlns:a16="http://schemas.microsoft.com/office/drawing/2014/main" id="{474A1324-9A88-D8A6-085F-4C8CD4ED77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981" t="27950" r="31090" b="55093"/>
        <a:stretch>
          <a:fillRect/>
        </a:stretch>
      </xdr:blipFill>
      <xdr:spPr bwMode="auto">
        <a:xfrm>
          <a:off x="1038225" y="2924175"/>
          <a:ext cx="47339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238125</xdr:colOff>
      <xdr:row>0</xdr:row>
      <xdr:rowOff>19050</xdr:rowOff>
    </xdr:from>
    <xdr:to>
      <xdr:col>7</xdr:col>
      <xdr:colOff>0</xdr:colOff>
      <xdr:row>2</xdr:row>
      <xdr:rowOff>257175</xdr:rowOff>
    </xdr:to>
    <xdr:grpSp>
      <xdr:nvGrpSpPr>
        <xdr:cNvPr id="155660" name="Group 5">
          <a:hlinkClick xmlns:r="http://schemas.openxmlformats.org/officeDocument/2006/relationships" r:id="rId1" tooltip="Click for Discount Letter"/>
          <a:extLst>
            <a:ext uri="{FF2B5EF4-FFF2-40B4-BE49-F238E27FC236}">
              <a16:creationId xmlns:a16="http://schemas.microsoft.com/office/drawing/2014/main" id="{22869FE7-D73A-61DE-65ED-3F9C2D6B7BEB}"/>
            </a:ext>
          </a:extLst>
        </xdr:cNvPr>
        <xdr:cNvGrpSpPr>
          <a:grpSpLocks/>
        </xdr:cNvGrpSpPr>
      </xdr:nvGrpSpPr>
      <xdr:grpSpPr bwMode="auto">
        <a:xfrm>
          <a:off x="7629525" y="19050"/>
          <a:ext cx="1104900" cy="695325"/>
          <a:chOff x="762" y="2"/>
          <a:chExt cx="116" cy="73"/>
        </a:xfrm>
      </xdr:grpSpPr>
      <xdr:sp macro="" textlink="">
        <xdr:nvSpPr>
          <xdr:cNvPr id="155661" name="AutoShape 2">
            <a:extLst>
              <a:ext uri="{FF2B5EF4-FFF2-40B4-BE49-F238E27FC236}">
                <a16:creationId xmlns:a16="http://schemas.microsoft.com/office/drawing/2014/main" id="{D71E3D2E-79AF-D106-1B5F-AD0F16190185}"/>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524710E7-8339-49CF-CB59-D7A063DB4146}"/>
              </a:ext>
            </a:extLst>
          </xdr:cNvPr>
          <xdr:cNvSpPr txBox="1">
            <a:spLocks noChangeArrowheads="1"/>
          </xdr:cNvSpPr>
        </xdr:nvSpPr>
        <xdr:spPr bwMode="auto">
          <a:xfrm>
            <a:off x="779" y="18"/>
            <a:ext cx="99" cy="39"/>
          </a:xfrm>
          <a:prstGeom prst="rect">
            <a:avLst/>
          </a:prstGeom>
          <a:noFill/>
          <a:ln w="9525">
            <a:noFill/>
            <a:miter lim="800000"/>
            <a:headEnd/>
            <a:tailEnd/>
          </a:ln>
        </xdr:spPr>
        <xdr:txBody>
          <a:bodyPr vertOverflow="clip" wrap="square" lIns="27432" tIns="32004" rIns="0" bIns="32004" anchor="ctr" upright="1"/>
          <a:lstStyle/>
          <a:p>
            <a:pPr algn="l" rtl="1">
              <a:defRPr sz="1000"/>
            </a:pPr>
            <a:r>
              <a:rPr lang="en-US" sz="900" b="1" i="0" strike="noStrike">
                <a:solidFill>
                  <a:srgbClr val="000000"/>
                </a:solidFill>
                <a:latin typeface="Book Antiqua"/>
              </a:rPr>
              <a:t>Click for Discount Letter</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238125</xdr:colOff>
      <xdr:row>0</xdr:row>
      <xdr:rowOff>19050</xdr:rowOff>
    </xdr:from>
    <xdr:to>
      <xdr:col>16</xdr:col>
      <xdr:colOff>752475</xdr:colOff>
      <xdr:row>3</xdr:row>
      <xdr:rowOff>0</xdr:rowOff>
    </xdr:to>
    <xdr:grpSp>
      <xdr:nvGrpSpPr>
        <xdr:cNvPr id="156684" name="Group 4">
          <a:hlinkClick xmlns:r="http://schemas.openxmlformats.org/officeDocument/2006/relationships" r:id="rId1" tooltip="Click for Bid Form"/>
          <a:extLst>
            <a:ext uri="{FF2B5EF4-FFF2-40B4-BE49-F238E27FC236}">
              <a16:creationId xmlns:a16="http://schemas.microsoft.com/office/drawing/2014/main" id="{9FE6B19C-3399-B4D6-0BDA-75718777396E}"/>
            </a:ext>
          </a:extLst>
        </xdr:cNvPr>
        <xdr:cNvGrpSpPr>
          <a:grpSpLocks/>
        </xdr:cNvGrpSpPr>
      </xdr:nvGrpSpPr>
      <xdr:grpSpPr bwMode="auto">
        <a:xfrm>
          <a:off x="7469605" y="19050"/>
          <a:ext cx="752475" cy="943476"/>
          <a:chOff x="784" y="2"/>
          <a:chExt cx="116" cy="73"/>
        </a:xfrm>
      </xdr:grpSpPr>
      <xdr:sp macro="" textlink="">
        <xdr:nvSpPr>
          <xdr:cNvPr id="156685" name="AutoShape 2">
            <a:extLst>
              <a:ext uri="{FF2B5EF4-FFF2-40B4-BE49-F238E27FC236}">
                <a16:creationId xmlns:a16="http://schemas.microsoft.com/office/drawing/2014/main" id="{8615603D-E329-710C-BE3F-E44208A09187}"/>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5363" name="Text Box 3">
            <a:extLst>
              <a:ext uri="{FF2B5EF4-FFF2-40B4-BE49-F238E27FC236}">
                <a16:creationId xmlns:a16="http://schemas.microsoft.com/office/drawing/2014/main" id="{13FB5476-5BE5-C95B-0686-05042DBD391A}"/>
              </a:ext>
            </a:extLst>
          </xdr:cNvPr>
          <xdr:cNvSpPr txBox="1">
            <a:spLocks noChangeArrowheads="1"/>
          </xdr:cNvSpPr>
        </xdr:nvSpPr>
        <xdr:spPr bwMode="auto">
          <a:xfrm>
            <a:off x="796" y="18"/>
            <a:ext cx="85"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1567A223-A2E6-0816-5EDD-BFD663218AE5}"/>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393276</xdr:colOff>
      <xdr:row>1</xdr:row>
      <xdr:rowOff>105833</xdr:rowOff>
    </xdr:from>
    <xdr:to>
      <xdr:col>7</xdr:col>
      <xdr:colOff>209076</xdr:colOff>
      <xdr:row>2</xdr:row>
      <xdr:rowOff>87481</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B9D26180-E6B0-8B18-8CEE-98E47CAA99E1}"/>
            </a:ext>
          </a:extLst>
        </xdr:cNvPr>
        <xdr:cNvSpPr txBox="1">
          <a:spLocks noChangeArrowheads="1"/>
        </xdr:cNvSpPr>
      </xdr:nvSpPr>
      <xdr:spPr bwMode="auto">
        <a:xfrm>
          <a:off x="7281333" y="317500"/>
          <a:ext cx="1195917" cy="275166"/>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86360</xdr:colOff>
      <xdr:row>1</xdr:row>
      <xdr:rowOff>19050</xdr:rowOff>
    </xdr:from>
    <xdr:to>
      <xdr:col>7</xdr:col>
      <xdr:colOff>370334</xdr:colOff>
      <xdr:row>2</xdr:row>
      <xdr:rowOff>11430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7EC7AF31-F083-8249-0379-6E852A7A8D13}"/>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4</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342900</xdr:colOff>
      <xdr:row>0</xdr:row>
      <xdr:rowOff>47625</xdr:rowOff>
    </xdr:from>
    <xdr:to>
      <xdr:col>8</xdr:col>
      <xdr:colOff>228600</xdr:colOff>
      <xdr:row>3</xdr:row>
      <xdr:rowOff>133350</xdr:rowOff>
    </xdr:to>
    <xdr:grpSp>
      <xdr:nvGrpSpPr>
        <xdr:cNvPr id="160780" name="Group 5">
          <a:hlinkClick xmlns:r="http://schemas.openxmlformats.org/officeDocument/2006/relationships" r:id="rId1" tooltip="Back to Cover Page"/>
          <a:extLst>
            <a:ext uri="{FF2B5EF4-FFF2-40B4-BE49-F238E27FC236}">
              <a16:creationId xmlns:a16="http://schemas.microsoft.com/office/drawing/2014/main" id="{3B111A2C-FF71-47FF-EAC8-F310139100F1}"/>
            </a:ext>
          </a:extLst>
        </xdr:cNvPr>
        <xdr:cNvGrpSpPr>
          <a:grpSpLocks/>
        </xdr:cNvGrpSpPr>
      </xdr:nvGrpSpPr>
      <xdr:grpSpPr bwMode="auto">
        <a:xfrm>
          <a:off x="7258050" y="47625"/>
          <a:ext cx="1104900" cy="695325"/>
          <a:chOff x="762" y="5"/>
          <a:chExt cx="116" cy="73"/>
        </a:xfrm>
      </xdr:grpSpPr>
      <xdr:sp macro="" textlink="">
        <xdr:nvSpPr>
          <xdr:cNvPr id="160781" name="AutoShape 2">
            <a:extLst>
              <a:ext uri="{FF2B5EF4-FFF2-40B4-BE49-F238E27FC236}">
                <a16:creationId xmlns:a16="http://schemas.microsoft.com/office/drawing/2014/main" id="{CE62EC8E-F591-DE75-612C-BFF3DE19506A}"/>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C1258860-028A-D507-E799-726396A0DF77}"/>
              </a:ext>
            </a:extLst>
          </xdr:cNvPr>
          <xdr:cNvSpPr txBox="1">
            <a:spLocks noChangeArrowheads="1"/>
          </xdr:cNvSpPr>
        </xdr:nvSpPr>
        <xdr:spPr bwMode="auto">
          <a:xfrm>
            <a:off x="776" y="21"/>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147472" name="Group 1">
          <a:hlinkClick xmlns:r="http://schemas.openxmlformats.org/officeDocument/2006/relationships" r:id="rId1" tooltip="Click to Proceed"/>
          <a:extLst>
            <a:ext uri="{FF2B5EF4-FFF2-40B4-BE49-F238E27FC236}">
              <a16:creationId xmlns:a16="http://schemas.microsoft.com/office/drawing/2014/main" id="{1543C7AE-32D0-CFB0-81F0-887BD774E138}"/>
            </a:ext>
          </a:extLst>
        </xdr:cNvPr>
        <xdr:cNvGrpSpPr>
          <a:grpSpLocks/>
        </xdr:cNvGrpSpPr>
      </xdr:nvGrpSpPr>
      <xdr:grpSpPr bwMode="auto">
        <a:xfrm>
          <a:off x="7105650" y="57150"/>
          <a:ext cx="1209675" cy="1323975"/>
          <a:chOff x="804" y="5"/>
          <a:chExt cx="116" cy="73"/>
        </a:xfrm>
      </xdr:grpSpPr>
      <xdr:sp macro="" textlink="">
        <xdr:nvSpPr>
          <xdr:cNvPr id="147474" name="AutoShape 2">
            <a:extLst>
              <a:ext uri="{FF2B5EF4-FFF2-40B4-BE49-F238E27FC236}">
                <a16:creationId xmlns:a16="http://schemas.microsoft.com/office/drawing/2014/main" id="{E77DB616-A069-CCE2-6140-3B220BCE2311}"/>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591328F-C8C8-F542-4DA9-2C17E7C49AD8}"/>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lnSpc>
                <a:spcPts val="1100"/>
              </a:lnSpc>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49</xdr:row>
      <xdr:rowOff>0</xdr:rowOff>
    </xdr:from>
    <xdr:to>
      <xdr:col>2</xdr:col>
      <xdr:colOff>4981575</xdr:colOff>
      <xdr:row>49</xdr:row>
      <xdr:rowOff>0</xdr:rowOff>
    </xdr:to>
    <xdr:pic>
      <xdr:nvPicPr>
        <xdr:cNvPr id="147473" name="Picture 4">
          <a:extLst>
            <a:ext uri="{FF2B5EF4-FFF2-40B4-BE49-F238E27FC236}">
              <a16:creationId xmlns:a16="http://schemas.microsoft.com/office/drawing/2014/main" id="{D3A1D1C9-75F4-6ED7-2A91-0B4D992441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4963775"/>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247650</xdr:colOff>
      <xdr:row>0</xdr:row>
      <xdr:rowOff>28575</xdr:rowOff>
    </xdr:from>
    <xdr:to>
      <xdr:col>19</xdr:col>
      <xdr:colOff>85725</xdr:colOff>
      <xdr:row>2</xdr:row>
      <xdr:rowOff>266700</xdr:rowOff>
    </xdr:to>
    <xdr:grpSp>
      <xdr:nvGrpSpPr>
        <xdr:cNvPr id="148492" name="Group 38">
          <a:hlinkClick xmlns:r="http://schemas.openxmlformats.org/officeDocument/2006/relationships" r:id="rId1" tooltip="Click for Sch-2"/>
          <a:extLst>
            <a:ext uri="{FF2B5EF4-FFF2-40B4-BE49-F238E27FC236}">
              <a16:creationId xmlns:a16="http://schemas.microsoft.com/office/drawing/2014/main" id="{A06E01CE-1E2F-EC48-E3C0-EC1F018FC88E}"/>
            </a:ext>
          </a:extLst>
        </xdr:cNvPr>
        <xdr:cNvGrpSpPr>
          <a:grpSpLocks/>
        </xdr:cNvGrpSpPr>
      </xdr:nvGrpSpPr>
      <xdr:grpSpPr bwMode="auto">
        <a:xfrm>
          <a:off x="23377525" y="28575"/>
          <a:ext cx="2911475" cy="809625"/>
          <a:chOff x="804" y="5"/>
          <a:chExt cx="116" cy="73"/>
        </a:xfrm>
      </xdr:grpSpPr>
      <xdr:sp macro="" textlink="">
        <xdr:nvSpPr>
          <xdr:cNvPr id="148493" name="AutoShape 39">
            <a:extLst>
              <a:ext uri="{FF2B5EF4-FFF2-40B4-BE49-F238E27FC236}">
                <a16:creationId xmlns:a16="http://schemas.microsoft.com/office/drawing/2014/main" id="{99D87BE7-23B4-42EA-FA33-8269DCFDF001}"/>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3112" name="Text Box 40">
            <a:extLst>
              <a:ext uri="{FF2B5EF4-FFF2-40B4-BE49-F238E27FC236}">
                <a16:creationId xmlns:a16="http://schemas.microsoft.com/office/drawing/2014/main" id="{EE6D586F-74EC-AA39-FDE2-7321D0FEBA7B}"/>
              </a:ext>
            </a:extLst>
          </xdr:cNvPr>
          <xdr:cNvSpPr txBox="1">
            <a:spLocks noChangeArrowheads="1"/>
          </xdr:cNvSpPr>
        </xdr:nvSpPr>
        <xdr:spPr bwMode="auto">
          <a:xfrm>
            <a:off x="819" y="23"/>
            <a:ext cx="101" cy="39"/>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Sch-2</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266700</xdr:colOff>
      <xdr:row>0</xdr:row>
      <xdr:rowOff>19050</xdr:rowOff>
    </xdr:from>
    <xdr:to>
      <xdr:col>10</xdr:col>
      <xdr:colOff>628650</xdr:colOff>
      <xdr:row>2</xdr:row>
      <xdr:rowOff>257175</xdr:rowOff>
    </xdr:to>
    <xdr:grpSp>
      <xdr:nvGrpSpPr>
        <xdr:cNvPr id="149516" name="Group 1">
          <a:hlinkClick xmlns:r="http://schemas.openxmlformats.org/officeDocument/2006/relationships" r:id="rId1" tooltip="Click for Sch-3"/>
          <a:extLst>
            <a:ext uri="{FF2B5EF4-FFF2-40B4-BE49-F238E27FC236}">
              <a16:creationId xmlns:a16="http://schemas.microsoft.com/office/drawing/2014/main" id="{90771FE5-83DE-3F75-F3BF-EAE88E96F475}"/>
            </a:ext>
          </a:extLst>
        </xdr:cNvPr>
        <xdr:cNvGrpSpPr>
          <a:grpSpLocks/>
        </xdr:cNvGrpSpPr>
      </xdr:nvGrpSpPr>
      <xdr:grpSpPr bwMode="auto">
        <a:xfrm>
          <a:off x="12045950" y="19050"/>
          <a:ext cx="880533" cy="703792"/>
          <a:chOff x="804" y="5"/>
          <a:chExt cx="116" cy="73"/>
        </a:xfrm>
      </xdr:grpSpPr>
      <xdr:sp macro="" textlink="">
        <xdr:nvSpPr>
          <xdr:cNvPr id="149517" name="AutoShape 2">
            <a:extLst>
              <a:ext uri="{FF2B5EF4-FFF2-40B4-BE49-F238E27FC236}">
                <a16:creationId xmlns:a16="http://schemas.microsoft.com/office/drawing/2014/main" id="{94457DB9-F0C9-69FF-1D7F-F984123FDC43}"/>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0243" name="Text Box 3">
            <a:hlinkClick xmlns:r="http://schemas.openxmlformats.org/officeDocument/2006/relationships" r:id="rId1"/>
            <a:extLst>
              <a:ext uri="{FF2B5EF4-FFF2-40B4-BE49-F238E27FC236}">
                <a16:creationId xmlns:a16="http://schemas.microsoft.com/office/drawing/2014/main" id="{507EB7C8-FBCD-9198-4560-4070F92EFD3C}"/>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257175</xdr:colOff>
      <xdr:row>0</xdr:row>
      <xdr:rowOff>19050</xdr:rowOff>
    </xdr:from>
    <xdr:to>
      <xdr:col>13</xdr:col>
      <xdr:colOff>676275</xdr:colOff>
      <xdr:row>2</xdr:row>
      <xdr:rowOff>257175</xdr:rowOff>
    </xdr:to>
    <xdr:grpSp>
      <xdr:nvGrpSpPr>
        <xdr:cNvPr id="150541" name="Group 1">
          <a:hlinkClick xmlns:r="http://schemas.openxmlformats.org/officeDocument/2006/relationships" r:id="rId1" tooltip="Click for Sch-4"/>
          <a:extLst>
            <a:ext uri="{FF2B5EF4-FFF2-40B4-BE49-F238E27FC236}">
              <a16:creationId xmlns:a16="http://schemas.microsoft.com/office/drawing/2014/main" id="{789775E2-7E06-4D99-966B-C4BCA24F958B}"/>
            </a:ext>
          </a:extLst>
        </xdr:cNvPr>
        <xdr:cNvGrpSpPr>
          <a:grpSpLocks/>
        </xdr:cNvGrpSpPr>
      </xdr:nvGrpSpPr>
      <xdr:grpSpPr bwMode="auto">
        <a:xfrm>
          <a:off x="17539758" y="19050"/>
          <a:ext cx="1223434" cy="703792"/>
          <a:chOff x="804" y="5"/>
          <a:chExt cx="116" cy="73"/>
        </a:xfrm>
      </xdr:grpSpPr>
      <xdr:sp macro="" textlink="">
        <xdr:nvSpPr>
          <xdr:cNvPr id="150542" name="AutoShape 2">
            <a:extLst>
              <a:ext uri="{FF2B5EF4-FFF2-40B4-BE49-F238E27FC236}">
                <a16:creationId xmlns:a16="http://schemas.microsoft.com/office/drawing/2014/main" id="{B77B6516-EDC9-DF78-EA9B-DB466CD2A4A5}"/>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extLst>
              <a:ext uri="{FF2B5EF4-FFF2-40B4-BE49-F238E27FC236}">
                <a16:creationId xmlns:a16="http://schemas.microsoft.com/office/drawing/2014/main" id="{D955C802-194B-31AE-83F1-F3F3F8E4F0B9}"/>
              </a:ext>
            </a:extLst>
          </xdr:cNvPr>
          <xdr:cNvSpPr txBox="1">
            <a:spLocks noChangeArrowheads="1"/>
          </xdr:cNvSpPr>
        </xdr:nvSpPr>
        <xdr:spPr bwMode="auto">
          <a:xfrm>
            <a:off x="819" y="23"/>
            <a:ext cx="97"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Sch-4</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619125</xdr:colOff>
      <xdr:row>0</xdr:row>
      <xdr:rowOff>28575</xdr:rowOff>
    </xdr:from>
    <xdr:to>
      <xdr:col>8</xdr:col>
      <xdr:colOff>114300</xdr:colOff>
      <xdr:row>2</xdr:row>
      <xdr:rowOff>304800</xdr:rowOff>
    </xdr:to>
    <xdr:grpSp>
      <xdr:nvGrpSpPr>
        <xdr:cNvPr id="151564" name="Group 25">
          <a:hlinkClick xmlns:r="http://schemas.openxmlformats.org/officeDocument/2006/relationships" r:id="rId1" tooltip="Click for Sch-5"/>
          <a:extLst>
            <a:ext uri="{FF2B5EF4-FFF2-40B4-BE49-F238E27FC236}">
              <a16:creationId xmlns:a16="http://schemas.microsoft.com/office/drawing/2014/main" id="{B0D5315A-0E7D-0D11-4478-31A8543A1B7C}"/>
            </a:ext>
          </a:extLst>
        </xdr:cNvPr>
        <xdr:cNvGrpSpPr>
          <a:grpSpLocks/>
        </xdr:cNvGrpSpPr>
      </xdr:nvGrpSpPr>
      <xdr:grpSpPr bwMode="auto">
        <a:xfrm>
          <a:off x="9942419" y="28575"/>
          <a:ext cx="1019175" cy="690843"/>
          <a:chOff x="804" y="5"/>
          <a:chExt cx="116" cy="73"/>
        </a:xfrm>
      </xdr:grpSpPr>
      <xdr:sp macro="" textlink="">
        <xdr:nvSpPr>
          <xdr:cNvPr id="151565" name="AutoShape 26">
            <a:extLst>
              <a:ext uri="{FF2B5EF4-FFF2-40B4-BE49-F238E27FC236}">
                <a16:creationId xmlns:a16="http://schemas.microsoft.com/office/drawing/2014/main" id="{FA6A9E84-BA19-4FD5-EC2B-53462DA85021}"/>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3D9D5920-B1CF-E91A-A30E-3BA5DBEFE9E6}"/>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152588" name="Group 25">
          <a:hlinkClick xmlns:r="http://schemas.openxmlformats.org/officeDocument/2006/relationships" r:id="rId1" tooltip="Click for Sch-5"/>
          <a:extLst>
            <a:ext uri="{FF2B5EF4-FFF2-40B4-BE49-F238E27FC236}">
              <a16:creationId xmlns:a16="http://schemas.microsoft.com/office/drawing/2014/main" id="{4DFEBA30-4019-FD35-1498-D92EED29F7C5}"/>
            </a:ext>
          </a:extLst>
        </xdr:cNvPr>
        <xdr:cNvGrpSpPr>
          <a:grpSpLocks/>
        </xdr:cNvGrpSpPr>
      </xdr:nvGrpSpPr>
      <xdr:grpSpPr bwMode="auto">
        <a:xfrm>
          <a:off x="9535190" y="47625"/>
          <a:ext cx="1107115" cy="697097"/>
          <a:chOff x="804" y="5"/>
          <a:chExt cx="116" cy="73"/>
        </a:xfrm>
      </xdr:grpSpPr>
      <xdr:sp macro="" textlink="">
        <xdr:nvSpPr>
          <xdr:cNvPr id="152589" name="AutoShape 26">
            <a:extLst>
              <a:ext uri="{FF2B5EF4-FFF2-40B4-BE49-F238E27FC236}">
                <a16:creationId xmlns:a16="http://schemas.microsoft.com/office/drawing/2014/main" id="{9952435D-940B-BD95-D823-AB306574C6EA}"/>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5966EC80-25DB-6282-805A-1381B51F0557}"/>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Sch-5</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2867025</xdr:colOff>
      <xdr:row>0</xdr:row>
      <xdr:rowOff>19050</xdr:rowOff>
    </xdr:from>
    <xdr:to>
      <xdr:col>6</xdr:col>
      <xdr:colOff>581025</xdr:colOff>
      <xdr:row>2</xdr:row>
      <xdr:rowOff>257175</xdr:rowOff>
    </xdr:to>
    <xdr:grpSp>
      <xdr:nvGrpSpPr>
        <xdr:cNvPr id="153612" name="Group 1">
          <a:hlinkClick xmlns:r="http://schemas.openxmlformats.org/officeDocument/2006/relationships" r:id="rId1" tooltip="Click for Sch-6"/>
          <a:extLst>
            <a:ext uri="{FF2B5EF4-FFF2-40B4-BE49-F238E27FC236}">
              <a16:creationId xmlns:a16="http://schemas.microsoft.com/office/drawing/2014/main" id="{263A3484-1345-7BC2-9638-299A2FEC7380}"/>
            </a:ext>
          </a:extLst>
        </xdr:cNvPr>
        <xdr:cNvGrpSpPr>
          <a:grpSpLocks/>
        </xdr:cNvGrpSpPr>
      </xdr:nvGrpSpPr>
      <xdr:grpSpPr bwMode="auto">
        <a:xfrm>
          <a:off x="7048500" y="19050"/>
          <a:ext cx="1504950" cy="695325"/>
          <a:chOff x="804" y="5"/>
          <a:chExt cx="116" cy="73"/>
        </a:xfrm>
      </xdr:grpSpPr>
      <xdr:sp macro="" textlink="">
        <xdr:nvSpPr>
          <xdr:cNvPr id="153613" name="AutoShape 2">
            <a:extLst>
              <a:ext uri="{FF2B5EF4-FFF2-40B4-BE49-F238E27FC236}">
                <a16:creationId xmlns:a16="http://schemas.microsoft.com/office/drawing/2014/main" id="{BF5777B7-AC19-768F-DD84-CDB7EB44E385}"/>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945B5CA3-5AB3-1232-45C6-5BABA083BDA4}"/>
              </a:ext>
            </a:extLst>
          </xdr:cNvPr>
          <xdr:cNvSpPr txBox="1">
            <a:spLocks noChangeArrowheads="1"/>
          </xdr:cNvSpPr>
        </xdr:nvSpPr>
        <xdr:spPr bwMode="auto">
          <a:xfrm>
            <a:off x="820"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Next</a:t>
            </a:r>
            <a:r>
              <a:rPr lang="en-US" sz="1000" b="1" i="0" strike="noStrike" baseline="0">
                <a:solidFill>
                  <a:srgbClr val="000000"/>
                </a:solidFill>
                <a:latin typeface="Book Antiqua"/>
              </a:rPr>
              <a:t> attachment</a:t>
            </a:r>
            <a:endParaRPr lang="en-US" sz="1000" b="1" i="0" strike="noStrike">
              <a:solidFill>
                <a:srgbClr val="000000"/>
              </a:solidFill>
              <a:latin typeface="Book Antiqu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154636" name="Group 1">
          <a:hlinkClick xmlns:r="http://schemas.openxmlformats.org/officeDocument/2006/relationships" r:id="rId1" tooltip="Click for Sch-6"/>
          <a:extLst>
            <a:ext uri="{FF2B5EF4-FFF2-40B4-BE49-F238E27FC236}">
              <a16:creationId xmlns:a16="http://schemas.microsoft.com/office/drawing/2014/main" id="{8A7254CF-F7F1-CE61-E0B9-7EF5DAE673C3}"/>
            </a:ext>
          </a:extLst>
        </xdr:cNvPr>
        <xdr:cNvGrpSpPr>
          <a:grpSpLocks/>
        </xdr:cNvGrpSpPr>
      </xdr:nvGrpSpPr>
      <xdr:grpSpPr bwMode="auto">
        <a:xfrm>
          <a:off x="7400925" y="19050"/>
          <a:ext cx="1104900" cy="695325"/>
          <a:chOff x="804" y="5"/>
          <a:chExt cx="116" cy="73"/>
        </a:xfrm>
      </xdr:grpSpPr>
      <xdr:sp macro="" textlink="">
        <xdr:nvSpPr>
          <xdr:cNvPr id="154637" name="AutoShape 2">
            <a:extLst>
              <a:ext uri="{FF2B5EF4-FFF2-40B4-BE49-F238E27FC236}">
                <a16:creationId xmlns:a16="http://schemas.microsoft.com/office/drawing/2014/main" id="{6340ED0D-C23D-C99B-FA58-BFE84EDED5A1}"/>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F6A07221-9288-5A60-2E7C-90DE699E5228}"/>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Sch-6</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wergrid1989-my.sharepoint.com/14.11.2017/3%20NIT-2017-18/NIT-02%2017-18/2)%20Amendment%20to%20Bidding%20Documents/NIT-02/Amendment%20to%20PKG-C%20CB%20Retrofitting%20at%20Rourkela/13%20Price%20Schedule%20%20Vol.III%20-RE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ver"/>
      <sheetName val="Instructions"/>
      <sheetName val="Names of Bidder"/>
      <sheetName val="Sch-1"/>
      <sheetName val="Sch-1 Dis"/>
      <sheetName val="Sch-2"/>
      <sheetName val="Sch-2 Dis"/>
      <sheetName val="Sch-3 "/>
      <sheetName val="Sch-4"/>
      <sheetName val="Sch-4 Dis"/>
      <sheetName val="Sch-5"/>
      <sheetName val="Sch-5 After Discount"/>
      <sheetName val="Sch-6"/>
      <sheetName val="Sch-6 Dis"/>
      <sheetName val="Discount"/>
      <sheetName val="Octroi"/>
      <sheetName val="Entry Tax"/>
      <sheetName val="Other Taxes &amp; Duties"/>
      <sheetName val="Bid Form 2nd Envelope"/>
      <sheetName val="Q &amp; C"/>
      <sheetName val="T &amp; D"/>
      <sheetName val="N to 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5">
          <cell r="D25">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4">
          <cell r="A4" t="str">
            <v xml:space="preserve">Rs. Zero Only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8.bin"/><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11" Type="http://schemas.openxmlformats.org/officeDocument/2006/relationships/drawing" Target="../drawings/drawing6.xml"/><Relationship Id="rId5" Type="http://schemas.openxmlformats.org/officeDocument/2006/relationships/printerSettings" Target="../printerSettings/printerSettings75.bin"/><Relationship Id="rId10" Type="http://schemas.openxmlformats.org/officeDocument/2006/relationships/printerSettings" Target="../printerSettings/printerSettings80.bin"/><Relationship Id="rId4" Type="http://schemas.openxmlformats.org/officeDocument/2006/relationships/printerSettings" Target="../printerSettings/printerSettings74.bin"/><Relationship Id="rId9" Type="http://schemas.openxmlformats.org/officeDocument/2006/relationships/printerSettings" Target="../printerSettings/printerSettings7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8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10" Type="http://schemas.openxmlformats.org/officeDocument/2006/relationships/drawing" Target="../drawings/drawing7.xml"/><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97.bin"/><Relationship Id="rId3" Type="http://schemas.openxmlformats.org/officeDocument/2006/relationships/printerSettings" Target="../printerSettings/printerSettings92.bin"/><Relationship Id="rId7" Type="http://schemas.openxmlformats.org/officeDocument/2006/relationships/printerSettings" Target="../printerSettings/printerSettings96.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6" Type="http://schemas.openxmlformats.org/officeDocument/2006/relationships/printerSettings" Target="../printerSettings/printerSettings95.bin"/><Relationship Id="rId11" Type="http://schemas.openxmlformats.org/officeDocument/2006/relationships/drawing" Target="../drawings/drawing8.xml"/><Relationship Id="rId5" Type="http://schemas.openxmlformats.org/officeDocument/2006/relationships/printerSettings" Target="../printerSettings/printerSettings94.bin"/><Relationship Id="rId10" Type="http://schemas.openxmlformats.org/officeDocument/2006/relationships/printerSettings" Target="../printerSettings/printerSettings99.bin"/><Relationship Id="rId4" Type="http://schemas.openxmlformats.org/officeDocument/2006/relationships/printerSettings" Target="../printerSettings/printerSettings93.bin"/><Relationship Id="rId9" Type="http://schemas.openxmlformats.org/officeDocument/2006/relationships/printerSettings" Target="../printerSettings/printerSettings9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10" Type="http://schemas.openxmlformats.org/officeDocument/2006/relationships/drawing" Target="../drawings/drawing9.xml"/><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6.bin"/><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10" Type="http://schemas.openxmlformats.org/officeDocument/2006/relationships/drawing" Target="../drawings/drawing10.xml"/><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25.bin"/><Relationship Id="rId3" Type="http://schemas.openxmlformats.org/officeDocument/2006/relationships/printerSettings" Target="../printerSettings/printerSettings120.bin"/><Relationship Id="rId7" Type="http://schemas.openxmlformats.org/officeDocument/2006/relationships/printerSettings" Target="../printerSettings/printerSettings124.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5" Type="http://schemas.openxmlformats.org/officeDocument/2006/relationships/printerSettings" Target="../printerSettings/printerSettings122.bin"/><Relationship Id="rId10" Type="http://schemas.openxmlformats.org/officeDocument/2006/relationships/drawing" Target="../drawings/drawing11.xml"/><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34.bin"/><Relationship Id="rId3" Type="http://schemas.openxmlformats.org/officeDocument/2006/relationships/printerSettings" Target="../printerSettings/printerSettings129.bin"/><Relationship Id="rId7" Type="http://schemas.openxmlformats.org/officeDocument/2006/relationships/printerSettings" Target="../printerSettings/printerSettings133.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10" Type="http://schemas.openxmlformats.org/officeDocument/2006/relationships/drawing" Target="../drawings/drawing12.xml"/><Relationship Id="rId4" Type="http://schemas.openxmlformats.org/officeDocument/2006/relationships/printerSettings" Target="../printerSettings/printerSettings130.bin"/><Relationship Id="rId9" Type="http://schemas.openxmlformats.org/officeDocument/2006/relationships/printerSettings" Target="../printerSettings/printerSettings13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10" Type="http://schemas.openxmlformats.org/officeDocument/2006/relationships/drawing" Target="../drawings/drawing13.xml"/><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10" Type="http://schemas.openxmlformats.org/officeDocument/2006/relationships/drawing" Target="../drawings/drawing14.xml"/><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5" Type="http://schemas.openxmlformats.org/officeDocument/2006/relationships/printerSettings" Target="../printerSettings/printerSettings158.bin"/><Relationship Id="rId10" Type="http://schemas.openxmlformats.org/officeDocument/2006/relationships/drawing" Target="../drawings/drawing15.xml"/><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11" Type="http://schemas.openxmlformats.org/officeDocument/2006/relationships/drawing" Target="../drawings/drawing1.xml"/><Relationship Id="rId5" Type="http://schemas.openxmlformats.org/officeDocument/2006/relationships/printerSettings" Target="../printerSettings/printerSettings14.bin"/><Relationship Id="rId10" Type="http://schemas.openxmlformats.org/officeDocument/2006/relationships/printerSettings" Target="../printerSettings/printerSettings19.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 Id="rId6" Type="http://schemas.openxmlformats.org/officeDocument/2006/relationships/printerSettings" Target="../printerSettings/printerSettings174.bin"/><Relationship Id="rId5" Type="http://schemas.openxmlformats.org/officeDocument/2006/relationships/printerSettings" Target="../printerSettings/printerSettings173.bin"/><Relationship Id="rId4" Type="http://schemas.openxmlformats.org/officeDocument/2006/relationships/printerSettings" Target="../printerSettings/printerSettings172.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82.bin"/><Relationship Id="rId3" Type="http://schemas.openxmlformats.org/officeDocument/2006/relationships/printerSettings" Target="../printerSettings/printerSettings177.bin"/><Relationship Id="rId7" Type="http://schemas.openxmlformats.org/officeDocument/2006/relationships/printerSettings" Target="../printerSettings/printerSettings181.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 Id="rId6" Type="http://schemas.openxmlformats.org/officeDocument/2006/relationships/printerSettings" Target="../printerSettings/printerSettings180.bin"/><Relationship Id="rId5" Type="http://schemas.openxmlformats.org/officeDocument/2006/relationships/printerSettings" Target="../printerSettings/printerSettings179.bin"/><Relationship Id="rId4" Type="http://schemas.openxmlformats.org/officeDocument/2006/relationships/printerSettings" Target="../printerSettings/printerSettings178.bin"/><Relationship Id="rId9" Type="http://schemas.openxmlformats.org/officeDocument/2006/relationships/printerSettings" Target="../printerSettings/printerSettings18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drawing" Target="../drawings/drawing3.xml"/><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49.bin"/><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11" Type="http://schemas.openxmlformats.org/officeDocument/2006/relationships/drawing" Target="../drawings/drawing4.xml"/><Relationship Id="rId5" Type="http://schemas.openxmlformats.org/officeDocument/2006/relationships/printerSettings" Target="../printerSettings/printerSettings46.bin"/><Relationship Id="rId10" Type="http://schemas.openxmlformats.org/officeDocument/2006/relationships/printerSettings" Target="../printerSettings/printerSettings51.bin"/><Relationship Id="rId4" Type="http://schemas.openxmlformats.org/officeDocument/2006/relationships/printerSettings" Target="../printerSettings/printerSettings45.bin"/><Relationship Id="rId9" Type="http://schemas.openxmlformats.org/officeDocument/2006/relationships/printerSettings" Target="../printerSettings/printerSettings50.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59.bin"/><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 Id="rId9"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6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11" Type="http://schemas.openxmlformats.org/officeDocument/2006/relationships/drawing" Target="../drawings/drawing5.xml"/><Relationship Id="rId5" Type="http://schemas.openxmlformats.org/officeDocument/2006/relationships/printerSettings" Target="../printerSettings/printerSettings65.bin"/><Relationship Id="rId10" Type="http://schemas.openxmlformats.org/officeDocument/2006/relationships/printerSettings" Target="../printerSettings/printerSettings70.bin"/><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19"/>
  <sheetViews>
    <sheetView showGridLines="0" workbookViewId="0">
      <selection activeCell="D23" sqref="D23"/>
    </sheetView>
  </sheetViews>
  <sheetFormatPr defaultRowHeight="16.5"/>
  <cols>
    <col min="1" max="1" width="3.5" style="257" customWidth="1"/>
    <col min="2" max="2" width="18" style="265" customWidth="1"/>
    <col min="3" max="3" width="6.625" style="265" customWidth="1"/>
    <col min="4" max="4" width="43.75" style="265" customWidth="1"/>
    <col min="5" max="5" width="11" style="265" customWidth="1"/>
    <col min="6" max="6" width="9" style="265"/>
    <col min="7" max="16384" width="9" style="259"/>
  </cols>
  <sheetData>
    <row r="1" spans="1:6">
      <c r="B1" s="258"/>
      <c r="C1" s="258"/>
      <c r="D1" s="258"/>
      <c r="E1" s="258"/>
      <c r="F1" s="258"/>
    </row>
    <row r="2" spans="1:6" ht="18.75">
      <c r="A2" s="670" t="s">
        <v>150</v>
      </c>
      <c r="B2" s="670"/>
      <c r="C2" s="670"/>
      <c r="D2" s="670"/>
      <c r="E2" s="670"/>
      <c r="F2" s="670"/>
    </row>
    <row r="3" spans="1:6">
      <c r="A3" s="674" t="s">
        <v>162</v>
      </c>
      <c r="B3" s="674"/>
      <c r="C3" s="674"/>
      <c r="D3" s="674"/>
      <c r="E3" s="674"/>
      <c r="F3" s="674"/>
    </row>
    <row r="4" spans="1:6">
      <c r="B4" s="261"/>
      <c r="C4" s="261"/>
      <c r="D4" s="261"/>
      <c r="E4" s="261"/>
      <c r="F4" s="261"/>
    </row>
    <row r="5" spans="1:6" ht="78" customHeight="1">
      <c r="A5" s="262">
        <v>1</v>
      </c>
      <c r="B5" s="263" t="s">
        <v>149</v>
      </c>
      <c r="C5" s="671" t="s">
        <v>524</v>
      </c>
      <c r="D5" s="672"/>
      <c r="E5" s="672"/>
      <c r="F5" s="673"/>
    </row>
    <row r="6" spans="1:6">
      <c r="A6" s="260"/>
      <c r="B6" s="264"/>
    </row>
    <row r="7" spans="1:6" ht="24.95" customHeight="1">
      <c r="A7" s="260">
        <v>2</v>
      </c>
      <c r="B7" s="264" t="s">
        <v>152</v>
      </c>
      <c r="C7" s="681" t="s">
        <v>523</v>
      </c>
      <c r="D7" s="682"/>
      <c r="E7" s="682"/>
      <c r="F7" s="683"/>
    </row>
    <row r="8" spans="1:6">
      <c r="A8" s="260"/>
      <c r="B8" s="264"/>
    </row>
    <row r="9" spans="1:6" ht="24.95" hidden="1" customHeight="1">
      <c r="A9" s="260">
        <v>3</v>
      </c>
      <c r="B9" s="264" t="s">
        <v>151</v>
      </c>
      <c r="C9" s="677"/>
      <c r="D9" s="678"/>
      <c r="E9" s="678"/>
      <c r="F9" s="679"/>
    </row>
    <row r="10" spans="1:6" hidden="1">
      <c r="A10" s="260"/>
      <c r="B10" s="264"/>
    </row>
    <row r="11" spans="1:6" hidden="1">
      <c r="A11" s="260">
        <v>4</v>
      </c>
      <c r="B11" s="264" t="s">
        <v>153</v>
      </c>
      <c r="C11" s="677" t="s">
        <v>445</v>
      </c>
      <c r="D11" s="678"/>
      <c r="E11" s="678"/>
      <c r="F11" s="679"/>
    </row>
    <row r="12" spans="1:6" hidden="1">
      <c r="A12" s="260">
        <v>5</v>
      </c>
      <c r="B12" s="264" t="s">
        <v>156</v>
      </c>
      <c r="C12" s="680"/>
      <c r="D12" s="678"/>
      <c r="E12" s="678"/>
      <c r="F12" s="679"/>
    </row>
    <row r="13" spans="1:6" hidden="1">
      <c r="A13" s="260"/>
      <c r="B13" s="264"/>
    </row>
    <row r="14" spans="1:6" ht="24.95" hidden="1" customHeight="1">
      <c r="A14" s="260">
        <v>6</v>
      </c>
      <c r="B14" s="264" t="s">
        <v>154</v>
      </c>
      <c r="C14" s="675" t="s">
        <v>161</v>
      </c>
      <c r="D14" s="676"/>
      <c r="E14" s="266" t="s">
        <v>155</v>
      </c>
    </row>
    <row r="15" spans="1:6" ht="20.100000000000001" hidden="1" customHeight="1">
      <c r="C15" s="267" t="s">
        <v>157</v>
      </c>
      <c r="D15" s="268" t="s">
        <v>175</v>
      </c>
      <c r="E15" s="269">
        <v>1</v>
      </c>
    </row>
    <row r="16" spans="1:6" ht="20.100000000000001" hidden="1" customHeight="1">
      <c r="C16" s="270" t="s">
        <v>158</v>
      </c>
      <c r="D16" s="271" t="s">
        <v>176</v>
      </c>
      <c r="E16" s="272">
        <v>1</v>
      </c>
    </row>
    <row r="17" spans="3:5" ht="20.100000000000001" hidden="1" customHeight="1">
      <c r="C17" s="270" t="s">
        <v>160</v>
      </c>
      <c r="D17" s="271" t="s">
        <v>403</v>
      </c>
      <c r="E17" s="272">
        <v>1</v>
      </c>
    </row>
    <row r="18" spans="3:5" ht="20.100000000000001" hidden="1" customHeight="1">
      <c r="C18" s="273" t="s">
        <v>159</v>
      </c>
      <c r="D18" s="274" t="s">
        <v>404</v>
      </c>
      <c r="E18" s="275">
        <v>1</v>
      </c>
    </row>
    <row r="19" spans="3:5" hidden="1"/>
  </sheetData>
  <sheetProtection selectLockedCells="1" selectUnlockedCells="1"/>
  <customSheetViews>
    <customSheetView guid="{9CA44E70-650F-49CD-967F-298619682CA2}" showGridLines="0" hiddenRows="1" state="hidden" topLeftCell="A7">
      <selection activeCell="C9" sqref="C9:F9"/>
      <pageMargins left="0.5" right="0.5" top="1" bottom="1" header="0.5" footer="0.5"/>
      <pageSetup orientation="portrait" r:id="rId1"/>
      <headerFooter alignWithMargins="0"/>
    </customSheetView>
    <customSheetView guid="{C39F923C-6CD3-45D8-86F8-6C4D806DDD7E}" showGridLines="0" hiddenRows="1" state="hidden">
      <selection activeCell="D22" sqref="D22"/>
      <pageMargins left="0.5" right="0.5" top="1" bottom="1" header="0.5" footer="0.5"/>
      <pageSetup orientation="portrait" r:id="rId2"/>
      <headerFooter alignWithMargins="0"/>
    </customSheetView>
    <customSheetView guid="{B1277D53-29D6-4226-81E2-084FB62977B6}" showGridLines="0" hiddenRows="1" state="hidden">
      <selection activeCell="I14" sqref="I14"/>
      <pageMargins left="0.75" right="0.75" top="1" bottom="1" header="0.5" footer="0.5"/>
      <pageSetup orientation="portrait" r:id="rId3"/>
      <headerFooter alignWithMargins="0"/>
    </customSheetView>
    <customSheetView guid="{58D82F59-8CF6-455F-B9F4-081499FDF243}" showGridLines="0" hiddenRows="1" state="hidden">
      <selection activeCell="I14" sqref="I14"/>
      <pageMargins left="0.75" right="0.75" top="1" bottom="1" header="0.5" footer="0.5"/>
      <pageSetup orientation="portrait" r:id="rId4"/>
      <headerFooter alignWithMargins="0"/>
    </customSheetView>
    <customSheetView guid="{696D9240-6693-44E8-B9A4-2BFADD101EE2}" showGridLines="0" hiddenRows="1" state="hidden">
      <selection activeCell="C9" sqref="C9:F9"/>
      <pageMargins left="0.75" right="0.75" top="1" bottom="1" header="0.5" footer="0.5"/>
      <pageSetup orientation="portrait" r:id="rId5"/>
      <headerFooter alignWithMargins="0"/>
    </customSheetView>
    <customSheetView guid="{B0EE7D76-5806-4718-BDAD-3A3EA691E5E4}" showGridLines="0" hiddenRows="1" state="hidden">
      <selection activeCell="I14" sqref="I14"/>
      <pageMargins left="0.75" right="0.75" top="1" bottom="1" header="0.5" footer="0.5"/>
      <pageSetup orientation="portrait" r:id="rId6"/>
      <headerFooter alignWithMargins="0"/>
    </customSheetView>
    <customSheetView guid="{E95B21C1-D936-4435-AF6F-90CF0B6A7506}" showGridLines="0" hiddenRows="1" state="hidden">
      <selection activeCell="C7" sqref="C7:F7"/>
      <pageMargins left="0.75" right="0.75" top="1" bottom="1" header="0.5" footer="0.5"/>
      <pageSetup orientation="portrait" r:id="rId7"/>
      <headerFooter alignWithMargins="0"/>
    </customSheetView>
    <customSheetView guid="{08A645C4-A23F-4400-B0CE-1685BC312A6F}" showGridLines="0" hiddenRows="1" state="hidden">
      <selection activeCell="C9" sqref="C9:F9"/>
      <pageMargins left="0.5" right="0.5" top="1" bottom="1" header="0.5" footer="0.5"/>
      <pageSetup orientation="portrait" r:id="rId8"/>
      <headerFooter alignWithMargins="0"/>
    </customSheetView>
  </customSheetViews>
  <mergeCells count="8">
    <mergeCell ref="A2:F2"/>
    <mergeCell ref="C5:F5"/>
    <mergeCell ref="A3:F3"/>
    <mergeCell ref="C14:D14"/>
    <mergeCell ref="C11:F11"/>
    <mergeCell ref="C12:F12"/>
    <mergeCell ref="C9:F9"/>
    <mergeCell ref="C7:F7"/>
  </mergeCells>
  <phoneticPr fontId="30" type="noConversion"/>
  <pageMargins left="0.5" right="0.5" top="1" bottom="1" header="0.5" footer="0.5"/>
  <pageSetup orientation="portrait"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3"/>
  </sheetPr>
  <dimension ref="A1:Q70"/>
  <sheetViews>
    <sheetView topLeftCell="A8" zoomScale="85" zoomScaleNormal="85" zoomScaleSheetLayoutView="100" workbookViewId="0">
      <selection activeCell="D34" sqref="D34:E34"/>
    </sheetView>
  </sheetViews>
  <sheetFormatPr defaultColWidth="10" defaultRowHeight="16.5"/>
  <cols>
    <col min="1" max="1" width="10.375" style="35" customWidth="1"/>
    <col min="2" max="2" width="50.125" style="35" customWidth="1"/>
    <col min="3" max="3" width="21.375" style="35" customWidth="1"/>
    <col min="4" max="4" width="20.5" style="35" customWidth="1"/>
    <col min="5" max="5" width="20" style="35" customWidth="1"/>
    <col min="6" max="6" width="10" style="32" customWidth="1"/>
    <col min="7" max="7" width="18.75" style="32" hidden="1" customWidth="1"/>
    <col min="8" max="8" width="10" style="32" customWidth="1"/>
    <col min="9" max="9" width="10" style="188" customWidth="1"/>
    <col min="10" max="10" width="12.625" style="188" customWidth="1"/>
    <col min="11" max="11" width="15" style="188" customWidth="1"/>
    <col min="12" max="17" width="10" style="188" customWidth="1"/>
    <col min="18" max="16384" width="10" style="32"/>
  </cols>
  <sheetData>
    <row r="1" spans="1:11" ht="18" customHeight="1">
      <c r="A1" s="56" t="str">
        <f>Cover!B3</f>
        <v>Specification No.: ODP/BB/C&amp;M-4155/OT-02/RFx No. 5002004411/25-26</v>
      </c>
      <c r="B1" s="57"/>
      <c r="C1" s="58"/>
      <c r="D1" s="58"/>
      <c r="E1" s="5" t="s">
        <v>173</v>
      </c>
    </row>
    <row r="2" spans="1:11" ht="15" customHeight="1">
      <c r="A2" s="2"/>
      <c r="B2" s="7"/>
      <c r="C2" s="3"/>
      <c r="D2" s="3"/>
      <c r="E2" s="1"/>
      <c r="F2" s="1"/>
    </row>
    <row r="3" spans="1:11" ht="74.25" customHeight="1">
      <c r="A3" s="775" t="str">
        <f>Cover!$B$2</f>
        <v xml:space="preserve">Diversion of 220kV Budhipadar-Korba S/C line #3 &amp; 765kV Angul-Sundargarh S/C line # 1 due to NH 49 Jharsuguda bypass Road diversion work (Deposit work On Behalf of NHAI).
</v>
      </c>
      <c r="B3" s="775"/>
      <c r="C3" s="775"/>
      <c r="D3" s="775"/>
      <c r="E3" s="775"/>
    </row>
    <row r="4" spans="1:11" ht="21.95" customHeight="1">
      <c r="A4" s="781" t="s">
        <v>236</v>
      </c>
      <c r="B4" s="781"/>
      <c r="C4" s="781"/>
      <c r="D4" s="781"/>
      <c r="E4" s="781"/>
    </row>
    <row r="5" spans="1:11" ht="12" customHeight="1">
      <c r="A5" s="38"/>
      <c r="B5" s="33"/>
      <c r="C5" s="33"/>
      <c r="D5" s="33"/>
      <c r="E5" s="33"/>
    </row>
    <row r="6" spans="1:11" ht="18" customHeight="1">
      <c r="A6" s="25" t="str">
        <f>'Sch-1'!A6</f>
        <v>Bidder’s Name and Address</v>
      </c>
      <c r="D6" s="35" t="s">
        <v>216</v>
      </c>
    </row>
    <row r="7" spans="1:11" ht="18" customHeight="1">
      <c r="A7" s="171" t="str">
        <f>'Sch-1'!A7</f>
        <v xml:space="preserve">Bidder as </v>
      </c>
      <c r="D7" s="461" t="s">
        <v>515</v>
      </c>
      <c r="E7" s="460"/>
      <c r="F7" s="462"/>
    </row>
    <row r="8" spans="1:11">
      <c r="A8" s="36" t="s">
        <v>234</v>
      </c>
      <c r="B8" s="780" t="str">
        <f>IF('Sch-1'!C8=0, "", 'Sch-1'!C8)</f>
        <v/>
      </c>
      <c r="C8" s="780"/>
      <c r="D8" s="461" t="s">
        <v>407</v>
      </c>
      <c r="E8" s="460"/>
      <c r="F8" s="462"/>
    </row>
    <row r="9" spans="1:11">
      <c r="A9" s="36" t="s">
        <v>235</v>
      </c>
      <c r="B9" s="780" t="str">
        <f>IF('Sch-1'!C9=0, "", 'Sch-1'!C9)</f>
        <v/>
      </c>
      <c r="C9" s="780"/>
      <c r="D9" s="461" t="s">
        <v>451</v>
      </c>
      <c r="E9" s="460"/>
      <c r="F9" s="462"/>
    </row>
    <row r="10" spans="1:11">
      <c r="A10" s="37"/>
      <c r="B10" s="780" t="str">
        <f>IF('Sch-1'!C10=0, "", 'Sch-1'!C10)</f>
        <v/>
      </c>
      <c r="C10" s="780"/>
      <c r="D10" s="461" t="s">
        <v>452</v>
      </c>
      <c r="E10" s="460"/>
      <c r="F10" s="462"/>
    </row>
    <row r="11" spans="1:11">
      <c r="A11" s="37"/>
      <c r="B11" s="780" t="str">
        <f>IF('Sch-1'!C11=0, "", 'Sch-1'!C11)</f>
        <v/>
      </c>
      <c r="C11" s="780"/>
      <c r="D11" s="461" t="s">
        <v>453</v>
      </c>
      <c r="E11" s="460"/>
      <c r="F11" s="462"/>
    </row>
    <row r="12" spans="1:11" ht="15" customHeight="1"/>
    <row r="13" spans="1:11" ht="21.95" customHeight="1">
      <c r="A13" s="71" t="s">
        <v>200</v>
      </c>
      <c r="B13" s="778" t="s">
        <v>201</v>
      </c>
      <c r="C13" s="779"/>
      <c r="D13" s="776" t="s">
        <v>202</v>
      </c>
      <c r="E13" s="777"/>
      <c r="K13" s="188" t="s">
        <v>131</v>
      </c>
    </row>
    <row r="14" spans="1:11" ht="18" customHeight="1">
      <c r="A14" s="39" t="s">
        <v>203</v>
      </c>
      <c r="B14" s="764" t="s">
        <v>468</v>
      </c>
      <c r="C14" s="765"/>
      <c r="D14" s="764"/>
      <c r="E14" s="765"/>
      <c r="G14" s="414">
        <f>340*0.1236</f>
        <v>42.024000000000001</v>
      </c>
      <c r="J14" s="188" t="s">
        <v>117</v>
      </c>
      <c r="K14" s="188" t="e">
        <f>ROUND('Sch-1'!#REF!*#REF!,0)</f>
        <v>#REF!</v>
      </c>
    </row>
    <row r="15" spans="1:11" ht="57.95" customHeight="1">
      <c r="A15" s="40"/>
      <c r="B15" s="763" t="s">
        <v>469</v>
      </c>
      <c r="C15" s="762"/>
      <c r="D15" s="767">
        <f>+'Sch-1'!L91</f>
        <v>9.1799999999999979E-2</v>
      </c>
      <c r="E15" s="768"/>
      <c r="G15" s="411">
        <f>340</f>
        <v>340</v>
      </c>
    </row>
    <row r="16" spans="1:11" ht="18" customHeight="1">
      <c r="A16" s="39" t="s">
        <v>205</v>
      </c>
      <c r="B16" s="764" t="s">
        <v>471</v>
      </c>
      <c r="C16" s="765"/>
      <c r="D16" s="764"/>
      <c r="E16" s="765"/>
      <c r="G16" s="32">
        <f>50*0.1236</f>
        <v>6.18</v>
      </c>
      <c r="J16" s="188" t="s">
        <v>132</v>
      </c>
      <c r="K16" s="189">
        <f>D16</f>
        <v>0</v>
      </c>
    </row>
    <row r="17" spans="1:11" ht="57.95" customHeight="1">
      <c r="A17" s="40"/>
      <c r="B17" s="763" t="s">
        <v>470</v>
      </c>
      <c r="C17" s="762"/>
      <c r="D17" s="766">
        <f>+'Sch-3 '!K73</f>
        <v>6.4800000000000038E-2</v>
      </c>
      <c r="E17" s="766"/>
      <c r="F17" s="413"/>
      <c r="G17" s="32">
        <f>56.18*0.02</f>
        <v>1.1235999999999999</v>
      </c>
    </row>
    <row r="18" spans="1:11" ht="24" hidden="1" customHeight="1">
      <c r="A18" s="39" t="s">
        <v>206</v>
      </c>
      <c r="B18" s="764" t="s">
        <v>504</v>
      </c>
      <c r="C18" s="765"/>
      <c r="D18" s="764"/>
      <c r="E18" s="765"/>
      <c r="F18" s="413"/>
    </row>
    <row r="19" spans="1:11" ht="31.5" hidden="1" customHeight="1">
      <c r="A19" s="40"/>
      <c r="B19" s="763" t="s">
        <v>505</v>
      </c>
      <c r="C19" s="762"/>
      <c r="D19" s="766">
        <f>'Sch-1'!L95</f>
        <v>1.8000000000000002E-3</v>
      </c>
      <c r="E19" s="766"/>
      <c r="F19" s="413"/>
    </row>
    <row r="20" spans="1:11" ht="18" hidden="1" customHeight="1">
      <c r="A20" s="39" t="s">
        <v>206</v>
      </c>
      <c r="B20" s="42" t="s">
        <v>264</v>
      </c>
      <c r="C20" s="42"/>
      <c r="D20" s="767" t="e">
        <f>(C22+C23)*C24</f>
        <v>#REF!</v>
      </c>
      <c r="E20" s="768"/>
      <c r="J20" s="188" t="s">
        <v>133</v>
      </c>
      <c r="K20" s="188" t="e">
        <f>D20</f>
        <v>#REF!</v>
      </c>
    </row>
    <row r="21" spans="1:11" ht="57.95" hidden="1" customHeight="1">
      <c r="A21" s="40"/>
      <c r="B21" s="762" t="s">
        <v>405</v>
      </c>
      <c r="C21" s="762"/>
      <c r="D21" s="756"/>
      <c r="E21" s="757"/>
      <c r="H21" s="413"/>
    </row>
    <row r="22" spans="1:11" ht="21" hidden="1" customHeight="1">
      <c r="A22" s="40"/>
      <c r="B22" s="41" t="s">
        <v>331</v>
      </c>
      <c r="C22" s="415"/>
      <c r="D22" s="758"/>
      <c r="E22" s="759"/>
      <c r="G22" s="418">
        <f>C22*0.1236</f>
        <v>0</v>
      </c>
    </row>
    <row r="23" spans="1:11" ht="21" hidden="1" customHeight="1">
      <c r="A23" s="40"/>
      <c r="B23" s="41" t="s">
        <v>334</v>
      </c>
      <c r="C23" s="415" t="e">
        <f>C22*#REF!</f>
        <v>#REF!</v>
      </c>
      <c r="D23" s="758"/>
      <c r="E23" s="759"/>
      <c r="G23" s="418">
        <f>G22+C22</f>
        <v>0</v>
      </c>
    </row>
    <row r="24" spans="1:11" ht="18" hidden="1" customHeight="1">
      <c r="A24" s="40"/>
      <c r="B24" s="41" t="s">
        <v>141</v>
      </c>
      <c r="C24" s="416"/>
      <c r="D24" s="760"/>
      <c r="E24" s="761"/>
      <c r="G24" s="418">
        <f>G23</f>
        <v>0</v>
      </c>
    </row>
    <row r="25" spans="1:11" ht="18" hidden="1" customHeight="1">
      <c r="A25" s="39" t="s">
        <v>207</v>
      </c>
      <c r="B25" s="42" t="s">
        <v>258</v>
      </c>
      <c r="C25" s="42"/>
      <c r="D25" s="755" t="str">
        <f>IF(Octroi!E16=0, "", ROUND(Octroi!E16,0))</f>
        <v/>
      </c>
      <c r="E25" s="755"/>
      <c r="G25" s="418">
        <f>G24*0.05</f>
        <v>0</v>
      </c>
    </row>
    <row r="26" spans="1:11" ht="51.75" hidden="1" customHeight="1">
      <c r="A26" s="40"/>
      <c r="B26" s="762" t="s">
        <v>328</v>
      </c>
      <c r="C26" s="762"/>
      <c r="D26" s="772" t="s">
        <v>446</v>
      </c>
      <c r="E26" s="772"/>
    </row>
    <row r="27" spans="1:11" ht="39" hidden="1" customHeight="1">
      <c r="A27" s="43"/>
      <c r="B27" s="464" t="s">
        <v>447</v>
      </c>
      <c r="C27" s="315"/>
      <c r="D27" s="772"/>
      <c r="E27" s="772"/>
    </row>
    <row r="28" spans="1:11" ht="18" hidden="1" customHeight="1">
      <c r="A28" s="39" t="s">
        <v>212</v>
      </c>
      <c r="B28" s="42" t="s">
        <v>259</v>
      </c>
      <c r="C28" s="42"/>
      <c r="D28" s="755" t="str">
        <f>IF('Entry Tax'!E16=0, "", ROUND('Entry Tax'!E16,0))</f>
        <v/>
      </c>
      <c r="E28" s="755"/>
    </row>
    <row r="29" spans="1:11" ht="50.1" hidden="1" customHeight="1">
      <c r="A29" s="40"/>
      <c r="B29" s="762" t="s">
        <v>329</v>
      </c>
      <c r="C29" s="762"/>
      <c r="D29" s="772" t="s">
        <v>446</v>
      </c>
      <c r="E29" s="772"/>
    </row>
    <row r="30" spans="1:11" ht="30" hidden="1" customHeight="1">
      <c r="A30" s="43"/>
      <c r="B30" s="464" t="s">
        <v>447</v>
      </c>
      <c r="C30" s="315"/>
      <c r="D30" s="772"/>
      <c r="E30" s="772"/>
    </row>
    <row r="31" spans="1:11" ht="15.6" hidden="1" customHeight="1">
      <c r="A31" s="39" t="s">
        <v>214</v>
      </c>
      <c r="B31" s="42" t="s">
        <v>208</v>
      </c>
      <c r="C31" s="42"/>
      <c r="D31" s="755" t="str">
        <f>IF('Other Taxes &amp; Duties'!F16=0, "", ROUND('Other Taxes &amp; Duties'!F16,0))</f>
        <v/>
      </c>
      <c r="E31" s="755"/>
    </row>
    <row r="32" spans="1:11" ht="15.6" hidden="1" customHeight="1">
      <c r="A32" s="40"/>
      <c r="B32" s="773" t="s">
        <v>270</v>
      </c>
      <c r="C32" s="774"/>
      <c r="D32" s="772"/>
      <c r="E32" s="772"/>
    </row>
    <row r="33" spans="1:6" ht="26.45" hidden="1" customHeight="1">
      <c r="A33" s="44"/>
      <c r="B33" s="41"/>
      <c r="C33" s="315" t="s">
        <v>323</v>
      </c>
      <c r="D33" s="772"/>
      <c r="E33" s="772"/>
    </row>
    <row r="34" spans="1:6" ht="18" customHeight="1">
      <c r="A34" s="471"/>
      <c r="B34" s="474" t="s">
        <v>472</v>
      </c>
      <c r="C34" s="475"/>
      <c r="D34" s="771">
        <f>+D15+D17</f>
        <v>0.15660000000000002</v>
      </c>
      <c r="E34" s="771"/>
    </row>
    <row r="35" spans="1:6" ht="15" customHeight="1">
      <c r="B35" s="45"/>
      <c r="C35" s="45"/>
      <c r="D35" s="46"/>
      <c r="E35" s="46"/>
    </row>
    <row r="36" spans="1:6" ht="81.75" customHeight="1">
      <c r="A36" s="70" t="s">
        <v>260</v>
      </c>
      <c r="B36" s="769" t="s">
        <v>444</v>
      </c>
      <c r="C36" s="770"/>
      <c r="D36" s="770"/>
      <c r="E36" s="770"/>
    </row>
    <row r="37" spans="1:6" ht="15" customHeight="1">
      <c r="A37" s="47"/>
      <c r="B37" s="47"/>
      <c r="C37" s="47"/>
      <c r="D37" s="47"/>
      <c r="E37" s="47"/>
    </row>
    <row r="38" spans="1:6" ht="33" customHeight="1">
      <c r="A38" s="29" t="s">
        <v>327</v>
      </c>
      <c r="B38" s="119" t="str">
        <f>IF('Sch-1'!C101=0,"", 'Sch-1'!C101)</f>
        <v/>
      </c>
      <c r="C38" s="403"/>
      <c r="D38" s="30"/>
      <c r="E38" s="404"/>
      <c r="F38" s="31"/>
    </row>
    <row r="39" spans="1:6" ht="33" customHeight="1">
      <c r="A39" s="29" t="s">
        <v>326</v>
      </c>
      <c r="B39" s="119" t="str">
        <f>IF('Sch-1'!C102=0,"", 'Sch-1'!C102)</f>
        <v/>
      </c>
      <c r="C39" s="405"/>
      <c r="D39" s="30" t="s">
        <v>229</v>
      </c>
      <c r="E39" s="93" t="str">
        <f>IF('Sch-1'!M101=0,"",'Sch-1'!M101)</f>
        <v/>
      </c>
      <c r="F39" s="31"/>
    </row>
    <row r="40" spans="1:6" ht="33" customHeight="1">
      <c r="A40" s="3"/>
      <c r="B40" s="406"/>
      <c r="C40" s="405"/>
      <c r="D40" s="30" t="s">
        <v>230</v>
      </c>
      <c r="E40" s="93" t="str">
        <f>IF('Sch-1'!M102=0,"",'Sch-1'!M102)</f>
        <v/>
      </c>
      <c r="F40" s="31"/>
    </row>
    <row r="41" spans="1:6" ht="33" customHeight="1">
      <c r="A41" s="3"/>
      <c r="B41" s="7"/>
      <c r="C41" s="1"/>
      <c r="D41" s="30"/>
      <c r="F41" s="31"/>
    </row>
    <row r="42" spans="1:6" ht="21.95" customHeight="1">
      <c r="A42" s="48"/>
      <c r="B42" s="48"/>
      <c r="C42" s="48"/>
      <c r="D42" s="48"/>
      <c r="E42" s="49"/>
    </row>
    <row r="43" spans="1:6" ht="21.95" customHeight="1">
      <c r="A43" s="48"/>
      <c r="B43" s="48"/>
      <c r="C43" s="48"/>
      <c r="D43" s="48"/>
      <c r="E43" s="49"/>
    </row>
    <row r="44" spans="1:6" ht="21.95" customHeight="1">
      <c r="A44" s="48"/>
      <c r="B44" s="48"/>
      <c r="C44" s="48"/>
      <c r="D44" s="48"/>
      <c r="E44" s="49"/>
    </row>
    <row r="45" spans="1:6" ht="21.95" customHeight="1">
      <c r="A45" s="48"/>
      <c r="B45" s="48"/>
      <c r="C45" s="48"/>
      <c r="D45" s="48"/>
      <c r="E45" s="49"/>
    </row>
    <row r="46" spans="1:6" ht="21.95" customHeight="1">
      <c r="A46" s="48"/>
      <c r="B46" s="48"/>
      <c r="C46" s="48"/>
      <c r="D46" s="48"/>
      <c r="E46" s="49"/>
    </row>
    <row r="47" spans="1:6" ht="21.95" customHeight="1">
      <c r="A47" s="48"/>
      <c r="B47" s="48"/>
      <c r="C47" s="48"/>
      <c r="D47" s="48"/>
      <c r="E47" s="49"/>
    </row>
    <row r="48" spans="1:6"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sheetProtection algorithmName="SHA-512" hashValue="6A9rSol0WA5lXo2NKUuupbJrm2e2/EVAUKeuPzVbD3aIgbKrV21kUOA7G5gXWENrItqT7FAtgQ/WfgydDwvpCw==" saltValue="tqp0QfqE1NjJiiQbpsd4RQ==" spinCount="100000" sheet="1" formatColumns="0" formatRows="0" selectLockedCells="1"/>
  <dataConsolidate/>
  <customSheetViews>
    <customSheetView guid="{9CA44E70-650F-49CD-967F-298619682CA2}" topLeftCell="A37">
      <selection activeCell="D34" sqref="D34:E35"/>
      <pageMargins left="0.31" right="0.25" top="0.23" bottom="0.23" header="0.27" footer="0.24"/>
      <printOptions horizontalCentered="1"/>
      <pageSetup paperSize="9" scale="75" fitToHeight="0" orientation="portrait" r:id="rId1"/>
      <headerFooter alignWithMargins="0">
        <oddFooter>&amp;R&amp;"Book Antiqua,Bold"&amp;10Schedule-4/ Page &amp;P of &amp;N</oddFooter>
      </headerFooter>
    </customSheetView>
    <customSheetView guid="{C39F923C-6CD3-45D8-86F8-6C4D806DDD7E}" topLeftCell="A15">
      <selection activeCell="F45" sqref="F45"/>
      <pageMargins left="0.31" right="0.25" top="0.23" bottom="0.23" header="0.27" footer="0.24"/>
      <printOptions horizontalCentered="1"/>
      <pageSetup paperSize="9" scale="75" fitToHeight="0" orientation="portrait" r:id="rId2"/>
      <headerFooter alignWithMargins="0">
        <oddFooter>&amp;R&amp;"Book Antiqua,Bold"&amp;10Schedule-4/ Page &amp;P of &amp;N</oddFooter>
      </headerFooter>
    </customSheetView>
    <customSheetView guid="{B1277D53-29D6-4226-81E2-084FB62977B6}" scale="80" topLeftCell="A15">
      <selection activeCell="D15" sqref="D15:E16"/>
      <pageMargins left="0.31" right="0.25" top="0.48" bottom="0.23" header="0.27" footer="0.24"/>
      <printOptions horizontalCentered="1"/>
      <pageSetup paperSize="9" scale="75" fitToHeight="0" orientation="portrait" r:id="rId3"/>
      <headerFooter alignWithMargins="0">
        <oddFooter>&amp;R&amp;"Book Antiqua,Bold"&amp;10Schedule-5/ Page &amp;P of &amp;N</oddFooter>
      </headerFooter>
    </customSheetView>
    <customSheetView guid="{58D82F59-8CF6-455F-B9F4-081499FDF243}" scale="80">
      <selection activeCell="C26" sqref="C26"/>
      <pageMargins left="0.31" right="0.25" top="0.48" bottom="0.23" header="0.27" footer="0.24"/>
      <printOptions horizontalCentered="1"/>
      <pageSetup paperSize="9" scale="75" fitToHeight="0" orientation="portrait" r:id="rId4"/>
      <headerFooter alignWithMargins="0">
        <oddFooter>&amp;R&amp;"Book Antiqua,Bold"&amp;10Schedule-5/ Page &amp;P of &amp;N</oddFooter>
      </headerFooter>
    </customSheetView>
    <customSheetView guid="{4F65FF32-EC61-4022-A399-2986D7B6B8B3}" showPageBreaks="1" zeroValues="0" printArea="1" view="pageBreakPreview" showRuler="0" topLeftCell="A22">
      <selection activeCell="B2" sqref="B2:E2"/>
      <pageMargins left="0.31" right="0.25" top="0.48" bottom="0.23" header="0.27" footer="0.24"/>
      <printOptions horizontalCentered="1"/>
      <pageSetup paperSize="9" scale="77" fitToHeight="0" orientation="portrait" r:id="rId5"/>
      <headerFooter alignWithMargins="0">
        <oddFooter>&amp;R&amp;"Book Antiqua,Bold"&amp;10Page &amp;P of &amp;N</oddFooter>
      </headerFooter>
    </customSheetView>
    <customSheetView guid="{696D9240-6693-44E8-B9A4-2BFADD101EE2}" scale="80">
      <selection activeCell="C26" sqref="C26"/>
      <pageMargins left="0.31" right="0.25" top="0.48" bottom="0.23" header="0.27" footer="0.24"/>
      <printOptions horizontalCentered="1"/>
      <pageSetup paperSize="9" scale="75" fitToHeight="0" orientation="portrait" r:id="rId6"/>
      <headerFooter alignWithMargins="0">
        <oddFooter>&amp;R&amp;"Book Antiqua,Bold"&amp;10Schedule-5/ Page &amp;P of &amp;N</oddFooter>
      </headerFooter>
    </customSheetView>
    <customSheetView guid="{B0EE7D76-5806-4718-BDAD-3A3EA691E5E4}" scale="80" topLeftCell="A25">
      <selection activeCell="D23" sqref="D23:E26"/>
      <pageMargins left="0.31" right="0.25" top="0.48" bottom="0.23" header="0.27" footer="0.24"/>
      <printOptions horizontalCentered="1"/>
      <pageSetup paperSize="9" scale="75" fitToHeight="0" orientation="portrait" r:id="rId7"/>
      <headerFooter alignWithMargins="0">
        <oddFooter>&amp;R&amp;"Book Antiqua,Bold"&amp;10Schedule-5/ Page &amp;P of &amp;N</oddFooter>
      </headerFooter>
    </customSheetView>
    <customSheetView guid="{E95B21C1-D936-4435-AF6F-90CF0B6A7506}" scale="80" topLeftCell="A15">
      <selection activeCell="D15" sqref="D15:E16"/>
      <pageMargins left="0.31" right="0.25" top="0.48" bottom="0.23" header="0.27" footer="0.24"/>
      <printOptions horizontalCentered="1"/>
      <pageSetup paperSize="9" scale="75" fitToHeight="0" orientation="portrait" r:id="rId8"/>
      <headerFooter alignWithMargins="0">
        <oddFooter>&amp;R&amp;"Book Antiqua,Bold"&amp;10Schedule-5/ Page &amp;P of &amp;N</oddFooter>
      </headerFooter>
    </customSheetView>
    <customSheetView guid="{08A645C4-A23F-4400-B0CE-1685BC312A6F}" printArea="1" hiddenColumns="1" topLeftCell="A3">
      <selection activeCell="D15" sqref="D15:E16"/>
      <pageMargins left="0.31" right="0.25" top="0.23" bottom="0.23" header="0.27" footer="0.24"/>
      <printOptions horizontalCentered="1"/>
      <pageSetup paperSize="9" scale="75" fitToHeight="0" orientation="portrait" r:id="rId9"/>
      <headerFooter alignWithMargins="0">
        <oddFooter>&amp;R&amp;"Book Antiqua,Bold"&amp;10Schedule-4/ Page &amp;P of &amp;N</oddFooter>
      </headerFooter>
    </customSheetView>
  </customSheetViews>
  <mergeCells count="34">
    <mergeCell ref="A3:E3"/>
    <mergeCell ref="D13:E13"/>
    <mergeCell ref="B15:C15"/>
    <mergeCell ref="B14:C14"/>
    <mergeCell ref="B13:C13"/>
    <mergeCell ref="D15:E15"/>
    <mergeCell ref="D14:E14"/>
    <mergeCell ref="B10:C10"/>
    <mergeCell ref="B9:C9"/>
    <mergeCell ref="A4:E4"/>
    <mergeCell ref="B8:C8"/>
    <mergeCell ref="B11:C11"/>
    <mergeCell ref="B36:E36"/>
    <mergeCell ref="D34:E34"/>
    <mergeCell ref="B26:C26"/>
    <mergeCell ref="D32:E33"/>
    <mergeCell ref="D31:E31"/>
    <mergeCell ref="B29:C29"/>
    <mergeCell ref="D26:E27"/>
    <mergeCell ref="D29:E30"/>
    <mergeCell ref="B32:C32"/>
    <mergeCell ref="D28:E28"/>
    <mergeCell ref="D25:E25"/>
    <mergeCell ref="D21:E24"/>
    <mergeCell ref="B21:C21"/>
    <mergeCell ref="B17:C17"/>
    <mergeCell ref="D16:E16"/>
    <mergeCell ref="B16:C16"/>
    <mergeCell ref="D17:E17"/>
    <mergeCell ref="D20:E20"/>
    <mergeCell ref="B18:C18"/>
    <mergeCell ref="D18:E18"/>
    <mergeCell ref="B19:C19"/>
    <mergeCell ref="D19:E19"/>
  </mergeCells>
  <phoneticPr fontId="1" type="noConversion"/>
  <dataValidations xWindow="785" yWindow="823" count="4">
    <dataValidation operator="greaterThanOrEqual" allowBlank="1" showInputMessage="1" showErrorMessage="1" error="Enter Numeric figure in Percent only." prompt="Enter rate of VAT for Direct supply items indicated in Sch-1. Amount of VAT shall be displayed in the cell against TOTAL VAT." sqref="C24" xr:uid="{00000000-0002-0000-0900-000000000000}"/>
    <dataValidation allowBlank="1" showInputMessage="1" showErrorMessage="1" prompt="You may write remarks regarding Sales Tax here." sqref="D17:E17 D19:E19" xr:uid="{00000000-0002-0000-0900-000001000000}"/>
    <dataValidation allowBlank="1" showInputMessage="1" showErrorMessage="1" prompt="You may write remarks regarding VAT here." sqref="D21:E24" xr:uid="{00000000-0002-0000-0900-000002000000}"/>
    <dataValidation allowBlank="1" showInputMessage="1" showErrorMessage="1" prompt="You may write remarks regarding Octroi here." sqref="D26:E27 D32:E33 D29:E30" xr:uid="{00000000-0002-0000-0900-000003000000}"/>
  </dataValidations>
  <hyperlinks>
    <hyperlink ref="C33" location="'Other Taxes &amp; Duties'!A1" tooltip="Click here for details of Other taxes &amp; Duties" display="Click here for details of Other Taxes &amp; Duties" xr:uid="{00000000-0004-0000-0900-000000000000}"/>
  </hyperlinks>
  <printOptions horizontalCentered="1"/>
  <pageMargins left="0.31" right="0.25" top="0.23" bottom="0.23" header="0.27" footer="0.24"/>
  <pageSetup paperSize="9" scale="75" fitToHeight="0" orientation="portrait" r:id="rId10"/>
  <headerFooter alignWithMargins="0">
    <oddFooter>&amp;R&amp;"Book Antiqua,Bold"&amp;10Schedule-4/ Page &amp;P of &amp;N</oddFooter>
  </headerFooter>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1"/>
  </sheetPr>
  <dimension ref="A1:Q73"/>
  <sheetViews>
    <sheetView topLeftCell="A10" zoomScale="86" zoomScaleNormal="86" zoomScaleSheetLayoutView="100" workbookViewId="0">
      <selection activeCell="H23" sqref="H23"/>
    </sheetView>
  </sheetViews>
  <sheetFormatPr defaultColWidth="10" defaultRowHeight="16.5"/>
  <cols>
    <col min="1" max="1" width="10.375" style="35" customWidth="1"/>
    <col min="2" max="2" width="50.125" style="35" customWidth="1"/>
    <col min="3" max="3" width="21.375" style="35" customWidth="1"/>
    <col min="4" max="4" width="20.5" style="35" customWidth="1"/>
    <col min="5" max="5" width="20" style="35" customWidth="1"/>
    <col min="6" max="8" width="10" style="32" customWidth="1"/>
    <col min="9" max="9" width="10" style="188" customWidth="1"/>
    <col min="10" max="10" width="12.625" style="188" customWidth="1"/>
    <col min="11" max="11" width="15" style="188" customWidth="1"/>
    <col min="12" max="17" width="10" style="188" customWidth="1"/>
    <col min="18" max="16384" width="10" style="32"/>
  </cols>
  <sheetData>
    <row r="1" spans="1:11" ht="18" customHeight="1">
      <c r="A1" s="56" t="str">
        <f>Cover!B3</f>
        <v>Specification No.: ODP/BB/C&amp;M-4155/OT-02/RFx No. 5002004411/25-26</v>
      </c>
      <c r="B1" s="57"/>
      <c r="C1" s="58"/>
      <c r="D1" s="58"/>
      <c r="E1" s="5" t="s">
        <v>173</v>
      </c>
    </row>
    <row r="2" spans="1:11" ht="15" customHeight="1">
      <c r="A2" s="2"/>
      <c r="B2" s="7"/>
      <c r="C2" s="3"/>
      <c r="D2" s="3"/>
      <c r="E2" s="1"/>
      <c r="F2" s="1"/>
    </row>
    <row r="3" spans="1:11" ht="39.950000000000003" customHeight="1">
      <c r="A3" s="775" t="str">
        <f>Cover!$B$2</f>
        <v xml:space="preserve">Diversion of 220kV Budhipadar-Korba S/C line #3 &amp; 765kV Angul-Sundargarh S/C line # 1 due to NH 49 Jharsuguda bypass Road diversion work (Deposit work On Behalf of NHAI).
</v>
      </c>
      <c r="B3" s="775"/>
      <c r="C3" s="775"/>
      <c r="D3" s="775"/>
      <c r="E3" s="775"/>
    </row>
    <row r="4" spans="1:11" ht="21.95" customHeight="1">
      <c r="A4" s="781" t="s">
        <v>236</v>
      </c>
      <c r="B4" s="781"/>
      <c r="C4" s="781"/>
      <c r="D4" s="781"/>
      <c r="E4" s="781"/>
    </row>
    <row r="5" spans="1:11" ht="12" customHeight="1">
      <c r="A5" s="38"/>
      <c r="B5" s="33"/>
      <c r="C5" s="33"/>
      <c r="D5" s="33"/>
      <c r="E5" s="33"/>
    </row>
    <row r="6" spans="1:11" ht="18" customHeight="1">
      <c r="A6" s="25" t="str">
        <f>'Sch-1'!A6</f>
        <v>Bidder’s Name and Address</v>
      </c>
      <c r="D6" s="61" t="s">
        <v>216</v>
      </c>
    </row>
    <row r="7" spans="1:11" ht="18" customHeight="1">
      <c r="A7" s="171" t="str">
        <f>'Sch-1'!A7</f>
        <v xml:space="preserve">Bidder as </v>
      </c>
      <c r="D7" s="62" t="s">
        <v>218</v>
      </c>
    </row>
    <row r="8" spans="1:11" ht="18" customHeight="1">
      <c r="A8" s="36" t="s">
        <v>234</v>
      </c>
      <c r="B8" s="791" t="str">
        <f>IF('Sch-1'!G8=0, "", 'Sch-1'!G8)</f>
        <v/>
      </c>
      <c r="C8" s="791"/>
      <c r="D8" s="62" t="s">
        <v>220</v>
      </c>
    </row>
    <row r="9" spans="1:11" ht="18" customHeight="1">
      <c r="A9" s="36" t="s">
        <v>235</v>
      </c>
      <c r="B9" s="791" t="str">
        <f>IF('Sch-1'!G9=0, "", 'Sch-1'!G9)</f>
        <v/>
      </c>
      <c r="C9" s="791"/>
      <c r="D9" s="62" t="s">
        <v>221</v>
      </c>
    </row>
    <row r="10" spans="1:11" ht="18" customHeight="1">
      <c r="A10" s="37"/>
      <c r="B10" s="791" t="str">
        <f>IF('Sch-1'!G10=0, "", 'Sch-1'!G10)</f>
        <v/>
      </c>
      <c r="C10" s="791"/>
      <c r="D10" s="62" t="s">
        <v>222</v>
      </c>
    </row>
    <row r="11" spans="1:11" ht="18" customHeight="1">
      <c r="A11" s="37"/>
      <c r="B11" s="791" t="str">
        <f>IF('Sch-1'!G11=0, "", 'Sch-1'!G11)</f>
        <v/>
      </c>
      <c r="C11" s="791"/>
      <c r="D11" s="62" t="s">
        <v>223</v>
      </c>
    </row>
    <row r="12" spans="1:11" ht="15" customHeight="1"/>
    <row r="13" spans="1:11" ht="21.95" customHeight="1">
      <c r="A13" s="71" t="s">
        <v>200</v>
      </c>
      <c r="B13" s="778" t="s">
        <v>201</v>
      </c>
      <c r="C13" s="779"/>
      <c r="D13" s="776" t="s">
        <v>202</v>
      </c>
      <c r="E13" s="777"/>
      <c r="K13" s="188" t="s">
        <v>131</v>
      </c>
    </row>
    <row r="14" spans="1:11" ht="18" customHeight="1">
      <c r="A14" s="39" t="s">
        <v>203</v>
      </c>
      <c r="B14" s="764" t="s">
        <v>204</v>
      </c>
      <c r="C14" s="765"/>
      <c r="D14" s="782" t="e">
        <f>ROUND('Sch-1 Dis'!G19*C16,0)</f>
        <v>#REF!</v>
      </c>
      <c r="E14" s="783"/>
      <c r="J14" s="188" t="s">
        <v>117</v>
      </c>
      <c r="K14" s="188" t="e">
        <f>ROUND('Sch-1'!#REF!*C16,0)</f>
        <v>#REF!</v>
      </c>
    </row>
    <row r="15" spans="1:11" ht="57.95" customHeight="1">
      <c r="A15" s="40"/>
      <c r="B15" s="762" t="s">
        <v>269</v>
      </c>
      <c r="C15" s="762"/>
      <c r="D15" s="792"/>
      <c r="E15" s="792"/>
    </row>
    <row r="16" spans="1:11" ht="18" customHeight="1">
      <c r="A16" s="40"/>
      <c r="B16" s="41" t="s">
        <v>237</v>
      </c>
      <c r="C16" s="313" t="e">
        <f>'Sch-4'!#REF!</f>
        <v>#REF!</v>
      </c>
      <c r="D16" s="792"/>
      <c r="E16" s="792"/>
    </row>
    <row r="17" spans="1:11" ht="18" customHeight="1">
      <c r="A17" s="39" t="s">
        <v>205</v>
      </c>
      <c r="B17" s="42" t="s">
        <v>263</v>
      </c>
      <c r="C17" s="42"/>
      <c r="D17" s="790" t="e">
        <f>(C19+C20)*C21</f>
        <v>#REF!</v>
      </c>
      <c r="E17" s="790"/>
      <c r="J17" s="188" t="s">
        <v>132</v>
      </c>
      <c r="K17" s="189" t="e">
        <f>D17</f>
        <v>#REF!</v>
      </c>
    </row>
    <row r="18" spans="1:11" ht="57.95" customHeight="1">
      <c r="A18" s="40"/>
      <c r="B18" s="762" t="s">
        <v>267</v>
      </c>
      <c r="C18" s="762"/>
      <c r="D18" s="756"/>
      <c r="E18" s="757"/>
    </row>
    <row r="19" spans="1:11" ht="18" customHeight="1">
      <c r="A19" s="40"/>
      <c r="B19" s="41" t="s">
        <v>174</v>
      </c>
      <c r="C19" s="314" t="e">
        <f>'Sch-4'!#REF!*(1-'Sch-1'!S14)</f>
        <v>#REF!</v>
      </c>
      <c r="D19" s="758"/>
      <c r="E19" s="759"/>
    </row>
    <row r="20" spans="1:11" ht="18" customHeight="1">
      <c r="A20" s="40"/>
      <c r="B20" s="41"/>
      <c r="C20" s="314" t="e">
        <f>C19*C16</f>
        <v>#REF!</v>
      </c>
      <c r="D20" s="758"/>
      <c r="E20" s="759"/>
    </row>
    <row r="21" spans="1:11" ht="18" customHeight="1">
      <c r="A21" s="40"/>
      <c r="B21" s="41" t="s">
        <v>265</v>
      </c>
      <c r="C21" s="313" t="e">
        <f>'Sch-4'!#REF!</f>
        <v>#REF!</v>
      </c>
      <c r="D21" s="760"/>
      <c r="E21" s="761"/>
    </row>
    <row r="22" spans="1:11" ht="18" customHeight="1">
      <c r="A22" s="39" t="s">
        <v>206</v>
      </c>
      <c r="B22" s="42" t="s">
        <v>264</v>
      </c>
      <c r="C22" s="42"/>
      <c r="D22" s="782" t="e">
        <f>(C24+C25)*C26</f>
        <v>#REF!</v>
      </c>
      <c r="E22" s="783"/>
      <c r="J22" s="188" t="s">
        <v>133</v>
      </c>
      <c r="K22" s="188" t="e">
        <f>D22</f>
        <v>#REF!</v>
      </c>
    </row>
    <row r="23" spans="1:11" ht="57.95" customHeight="1">
      <c r="A23" s="40"/>
      <c r="B23" s="762" t="s">
        <v>266</v>
      </c>
      <c r="C23" s="762"/>
      <c r="D23" s="756"/>
      <c r="E23" s="757"/>
    </row>
    <row r="24" spans="1:11" ht="25.5" customHeight="1">
      <c r="A24" s="40"/>
      <c r="B24" s="41" t="s">
        <v>331</v>
      </c>
      <c r="C24" s="322" t="e">
        <f>'Sch-1 Dis'!G19-C19</f>
        <v>#REF!</v>
      </c>
      <c r="D24" s="758"/>
      <c r="E24" s="759"/>
    </row>
    <row r="25" spans="1:11" ht="21.75" customHeight="1">
      <c r="A25" s="40"/>
      <c r="B25" s="41" t="s">
        <v>334</v>
      </c>
      <c r="C25" s="41" t="e">
        <f>C24*C16</f>
        <v>#REF!</v>
      </c>
      <c r="D25" s="758"/>
      <c r="E25" s="759"/>
    </row>
    <row r="26" spans="1:11" ht="18" customHeight="1">
      <c r="A26" s="40"/>
      <c r="B26" s="41" t="s">
        <v>141</v>
      </c>
      <c r="C26" s="313">
        <f>'Sch-4'!C24</f>
        <v>0</v>
      </c>
      <c r="D26" s="760"/>
      <c r="E26" s="761"/>
    </row>
    <row r="27" spans="1:11" ht="18" customHeight="1">
      <c r="A27" s="39" t="s">
        <v>207</v>
      </c>
      <c r="B27" s="42" t="s">
        <v>258</v>
      </c>
      <c r="C27" s="42"/>
      <c r="D27" s="755" t="str">
        <f>'Sch-4'!D25:E25</f>
        <v/>
      </c>
      <c r="E27" s="755"/>
    </row>
    <row r="28" spans="1:11" ht="51.75" customHeight="1">
      <c r="A28" s="40"/>
      <c r="B28" s="762" t="s">
        <v>268</v>
      </c>
      <c r="C28" s="762"/>
      <c r="D28" s="772" t="s">
        <v>313</v>
      </c>
      <c r="E28" s="772"/>
    </row>
    <row r="29" spans="1:11" ht="39" customHeight="1">
      <c r="A29" s="43"/>
      <c r="B29" s="41"/>
      <c r="C29" s="298" t="s">
        <v>314</v>
      </c>
      <c r="D29" s="772"/>
      <c r="E29" s="772"/>
    </row>
    <row r="30" spans="1:11" ht="18" customHeight="1">
      <c r="A30" s="39" t="s">
        <v>212</v>
      </c>
      <c r="B30" s="42" t="s">
        <v>259</v>
      </c>
      <c r="C30" s="42"/>
      <c r="D30" s="755" t="str">
        <f>'Sch-4'!D28:E28</f>
        <v/>
      </c>
      <c r="E30" s="755"/>
    </row>
    <row r="31" spans="1:11" ht="50.1" customHeight="1">
      <c r="A31" s="40"/>
      <c r="B31" s="762" t="s">
        <v>268</v>
      </c>
      <c r="C31" s="762"/>
      <c r="D31" s="772" t="s">
        <v>313</v>
      </c>
      <c r="E31" s="772"/>
    </row>
    <row r="32" spans="1:11" ht="30" customHeight="1">
      <c r="A32" s="43"/>
      <c r="B32" s="41"/>
      <c r="C32" s="298" t="s">
        <v>315</v>
      </c>
      <c r="D32" s="772"/>
      <c r="E32" s="772"/>
    </row>
    <row r="33" spans="1:6" ht="18" customHeight="1">
      <c r="A33" s="39" t="s">
        <v>214</v>
      </c>
      <c r="B33" s="42" t="s">
        <v>208</v>
      </c>
      <c r="C33" s="42"/>
      <c r="D33" s="755" t="str">
        <f>'Sch-4'!D31:E31</f>
        <v/>
      </c>
      <c r="E33" s="755"/>
    </row>
    <row r="34" spans="1:6" ht="60" customHeight="1">
      <c r="A34" s="40"/>
      <c r="B34" s="773" t="s">
        <v>270</v>
      </c>
      <c r="C34" s="774"/>
      <c r="D34" s="772" t="s">
        <v>313</v>
      </c>
      <c r="E34" s="772"/>
    </row>
    <row r="35" spans="1:6" ht="35.25" customHeight="1">
      <c r="A35" s="44"/>
      <c r="B35" s="41"/>
      <c r="C35" s="299" t="s">
        <v>315</v>
      </c>
      <c r="D35" s="772"/>
      <c r="E35" s="772"/>
    </row>
    <row r="36" spans="1:6" ht="18" customHeight="1">
      <c r="A36" s="784"/>
      <c r="B36" s="785" t="s">
        <v>271</v>
      </c>
      <c r="C36" s="786"/>
      <c r="D36" s="787" t="e">
        <f>SUM(D14,D17,D22)</f>
        <v>#REF!</v>
      </c>
      <c r="E36" s="787"/>
    </row>
    <row r="37" spans="1:6" ht="40.5" customHeight="1">
      <c r="A37" s="784"/>
      <c r="B37" s="785"/>
      <c r="C37" s="786"/>
      <c r="D37" s="788"/>
      <c r="E37" s="789"/>
    </row>
    <row r="38" spans="1:6" ht="15" customHeight="1">
      <c r="B38" s="45"/>
      <c r="C38" s="45"/>
      <c r="D38" s="46"/>
      <c r="E38" s="46"/>
    </row>
    <row r="39" spans="1:6" ht="81.75" customHeight="1">
      <c r="A39" s="70" t="s">
        <v>260</v>
      </c>
      <c r="B39" s="770" t="s">
        <v>273</v>
      </c>
      <c r="C39" s="770"/>
      <c r="D39" s="770"/>
      <c r="E39" s="770"/>
    </row>
    <row r="40" spans="1:6" ht="15" customHeight="1">
      <c r="A40" s="47"/>
      <c r="B40" s="47"/>
      <c r="C40" s="47"/>
      <c r="D40" s="47"/>
      <c r="E40" s="47"/>
    </row>
    <row r="41" spans="1:6" ht="33" customHeight="1">
      <c r="A41" s="29" t="s">
        <v>272</v>
      </c>
      <c r="B41" s="119" t="str">
        <f>IF('Sch-1'!G101=0,"", 'Sch-1'!G101)</f>
        <v/>
      </c>
      <c r="C41" s="6"/>
      <c r="D41" s="30" t="s">
        <v>228</v>
      </c>
      <c r="F41" s="31"/>
    </row>
    <row r="42" spans="1:6" ht="33" customHeight="1">
      <c r="A42" s="29" t="s">
        <v>227</v>
      </c>
      <c r="B42" s="92" t="str">
        <f>IF('Sch-1'!G102=0,"", 'Sch-1'!G102)</f>
        <v/>
      </c>
      <c r="C42" s="1"/>
      <c r="D42" s="30" t="s">
        <v>229</v>
      </c>
      <c r="E42" s="93" t="str">
        <f>IF('Sch-1'!M101=0,"",'Sch-1'!M101)</f>
        <v/>
      </c>
      <c r="F42" s="31"/>
    </row>
    <row r="43" spans="1:6" ht="33" customHeight="1">
      <c r="A43" s="3"/>
      <c r="B43" s="7"/>
      <c r="C43" s="1"/>
      <c r="D43" s="30" t="s">
        <v>230</v>
      </c>
      <c r="E43" s="93" t="str">
        <f>IF('Sch-1'!M102=0,"",'Sch-1'!M102)</f>
        <v/>
      </c>
      <c r="F43" s="31"/>
    </row>
    <row r="44" spans="1:6" ht="33" customHeight="1">
      <c r="A44" s="3"/>
      <c r="B44" s="7"/>
      <c r="C44" s="1"/>
      <c r="D44" s="30" t="s">
        <v>231</v>
      </c>
      <c r="F44" s="31"/>
    </row>
    <row r="45" spans="1:6" ht="21.95" customHeight="1">
      <c r="A45" s="48"/>
      <c r="B45" s="48"/>
      <c r="C45" s="48"/>
      <c r="D45" s="48"/>
      <c r="E45" s="49"/>
    </row>
    <row r="46" spans="1:6" ht="21.95" customHeight="1">
      <c r="A46" s="48"/>
      <c r="B46" s="48"/>
      <c r="C46" s="48"/>
      <c r="D46" s="48"/>
      <c r="E46" s="49"/>
    </row>
    <row r="47" spans="1:6" ht="21.95" customHeight="1">
      <c r="A47" s="48"/>
      <c r="B47" s="48"/>
      <c r="C47" s="48"/>
      <c r="D47" s="48"/>
      <c r="E47" s="49"/>
    </row>
    <row r="48" spans="1:6" ht="21.95" customHeight="1">
      <c r="A48" s="48"/>
      <c r="B48" s="48"/>
      <c r="C48" s="48"/>
      <c r="D48" s="48"/>
      <c r="E48" s="49"/>
    </row>
    <row r="49" spans="1:5" ht="21.95" customHeight="1">
      <c r="A49" s="48"/>
      <c r="B49" s="48"/>
      <c r="C49" s="48"/>
      <c r="D49" s="48"/>
      <c r="E49" s="49"/>
    </row>
    <row r="50" spans="1:5" ht="21.95" customHeight="1">
      <c r="A50" s="48"/>
      <c r="B50" s="48"/>
      <c r="C50" s="48"/>
      <c r="D50" s="48"/>
      <c r="E50" s="49"/>
    </row>
    <row r="51" spans="1:5" ht="24.95" customHeight="1"/>
    <row r="52" spans="1:5" ht="24.95" customHeight="1"/>
    <row r="53" spans="1:5" ht="24.95" customHeight="1"/>
    <row r="54" spans="1:5" ht="24.95" customHeight="1"/>
    <row r="55" spans="1:5" ht="24.95" customHeight="1"/>
    <row r="56" spans="1:5" ht="24.95" customHeight="1"/>
    <row r="57" spans="1:5" ht="24.95" customHeight="1"/>
    <row r="58" spans="1:5" ht="24.95" customHeight="1"/>
    <row r="59" spans="1:5" ht="24.95" customHeight="1"/>
    <row r="60" spans="1:5" ht="24.95" customHeight="1"/>
    <row r="61" spans="1:5" ht="24.95" customHeight="1"/>
    <row r="62" spans="1:5" ht="24.95" customHeight="1"/>
    <row r="63" spans="1:5" ht="24.95" customHeight="1"/>
    <row r="64" spans="1:5"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sheetData>
  <sheetProtection password="E848" sheet="1" objects="1" scenarios="1" selectLockedCells="1" selectUnlockedCells="1"/>
  <dataConsolidate/>
  <customSheetViews>
    <customSheetView guid="{9CA44E70-650F-49CD-967F-298619682CA2}" scale="86" state="hidden" topLeftCell="A10">
      <selection activeCell="H23" sqref="H23"/>
      <pageMargins left="0.31" right="0.25" top="0.48" bottom="0.23" header="0.27" footer="0.24"/>
      <printOptions horizontalCentered="1"/>
      <pageSetup paperSize="9" scale="77" fitToHeight="0" orientation="portrait" r:id="rId1"/>
      <headerFooter alignWithMargins="0">
        <oddFooter>&amp;R&amp;"Book Antiqua,Bold"&amp;10Schedule-5/ Page &amp;P of &amp;N</oddFooter>
      </headerFooter>
    </customSheetView>
    <customSheetView guid="{C39F923C-6CD3-45D8-86F8-6C4D806DDD7E}" scale="60" state="hidden" topLeftCell="A4">
      <selection activeCell="H23" sqref="H23"/>
      <pageMargins left="0.31" right="0.25" top="0.48" bottom="0.23" header="0.27" footer="0.24"/>
      <printOptions horizontalCentered="1"/>
      <pageSetup paperSize="9" scale="77" fitToHeight="0" orientation="portrait" r:id="rId2"/>
      <headerFooter alignWithMargins="0">
        <oddFooter>&amp;R&amp;"Book Antiqua,Bold"&amp;10Schedule-5/ Page &amp;P of &amp;N</oddFooter>
      </headerFooter>
    </customSheetView>
    <customSheetView guid="{B1277D53-29D6-4226-81E2-084FB62977B6}" scale="60" state="hidden" topLeftCell="A4">
      <selection activeCell="H23" sqref="H23"/>
      <pageMargins left="0.31" right="0.25" top="0.48" bottom="0.23" header="0.27" footer="0.24"/>
      <printOptions horizontalCentered="1"/>
      <pageSetup paperSize="9" scale="77" fitToHeight="0" orientation="portrait" r:id="rId3"/>
      <headerFooter alignWithMargins="0">
        <oddFooter>&amp;R&amp;"Book Antiqua,Bold"&amp;10Schedule-5/ Page &amp;P of &amp;N</oddFooter>
      </headerFooter>
    </customSheetView>
    <customSheetView guid="{58D82F59-8CF6-455F-B9F4-081499FDF243}" scale="60" state="hidden" topLeftCell="A4">
      <selection activeCell="H23" sqref="H23"/>
      <pageMargins left="0.31" right="0.25" top="0.48" bottom="0.23" header="0.27" footer="0.24"/>
      <printOptions horizontalCentered="1"/>
      <pageSetup paperSize="9" scale="77" fitToHeight="0" orientation="portrait" r:id="rId4"/>
      <headerFooter alignWithMargins="0">
        <oddFooter>&amp;R&amp;"Book Antiqua,Bold"&amp;10Schedule-5/ Page &amp;P of &amp;N</oddFooter>
      </headerFooter>
    </customSheetView>
    <customSheetView guid="{696D9240-6693-44E8-B9A4-2BFADD101EE2}" scale="60" state="hidden" topLeftCell="A10">
      <selection activeCell="I28" sqref="I28"/>
      <pageMargins left="0.31" right="0.25" top="0.48" bottom="0.23" header="0.27" footer="0.24"/>
      <printOptions horizontalCentered="1"/>
      <pageSetup paperSize="9" scale="77" fitToHeight="0" orientation="portrait" r:id="rId5"/>
      <headerFooter alignWithMargins="0">
        <oddFooter>&amp;R&amp;"Book Antiqua,Bold"&amp;10Schedule-5/ Page &amp;P of &amp;N</oddFooter>
      </headerFooter>
    </customSheetView>
    <customSheetView guid="{B0EE7D76-5806-4718-BDAD-3A3EA691E5E4}" scale="60" state="hidden" topLeftCell="A4">
      <selection activeCell="H23" sqref="H23"/>
      <pageMargins left="0.31" right="0.25" top="0.48" bottom="0.23" header="0.27" footer="0.24"/>
      <printOptions horizontalCentered="1"/>
      <pageSetup paperSize="9" scale="77" fitToHeight="0" orientation="portrait" r:id="rId6"/>
      <headerFooter alignWithMargins="0">
        <oddFooter>&amp;R&amp;"Book Antiqua,Bold"&amp;10Schedule-5/ Page &amp;P of &amp;N</oddFooter>
      </headerFooter>
    </customSheetView>
    <customSheetView guid="{E95B21C1-D936-4435-AF6F-90CF0B6A7506}" scale="60" state="hidden" topLeftCell="A4">
      <selection activeCell="H23" sqref="H23"/>
      <pageMargins left="0.31" right="0.25" top="0.48" bottom="0.23" header="0.27" footer="0.24"/>
      <printOptions horizontalCentered="1"/>
      <pageSetup paperSize="9" scale="77" fitToHeight="0" orientation="portrait" r:id="rId7"/>
      <headerFooter alignWithMargins="0">
        <oddFooter>&amp;R&amp;"Book Antiqua,Bold"&amp;10Schedule-5/ Page &amp;P of &amp;N</oddFooter>
      </headerFooter>
    </customSheetView>
    <customSheetView guid="{08A645C4-A23F-4400-B0CE-1685BC312A6F}" scale="86" state="hidden" topLeftCell="A10">
      <selection activeCell="H23" sqref="H23"/>
      <pageMargins left="0.31" right="0.25" top="0.48" bottom="0.23" header="0.27" footer="0.24"/>
      <printOptions horizontalCentered="1"/>
      <pageSetup paperSize="9" scale="77" fitToHeight="0" orientation="portrait" r:id="rId8"/>
      <headerFooter alignWithMargins="0">
        <oddFooter>&amp;R&amp;"Book Antiqua,Bold"&amp;10Schedule-5/ Page &amp;P of &amp;N</oddFooter>
      </headerFooter>
    </customSheetView>
  </customSheetViews>
  <mergeCells count="33">
    <mergeCell ref="D17:E17"/>
    <mergeCell ref="B18:C18"/>
    <mergeCell ref="B10:C10"/>
    <mergeCell ref="B11:C11"/>
    <mergeCell ref="A3:E3"/>
    <mergeCell ref="A4:E4"/>
    <mergeCell ref="B8:C8"/>
    <mergeCell ref="B9:C9"/>
    <mergeCell ref="B15:C15"/>
    <mergeCell ref="D15:E16"/>
    <mergeCell ref="B13:C13"/>
    <mergeCell ref="D13:E13"/>
    <mergeCell ref="B14:C14"/>
    <mergeCell ref="D14:E14"/>
    <mergeCell ref="D18:E21"/>
    <mergeCell ref="A36:A37"/>
    <mergeCell ref="B36:B37"/>
    <mergeCell ref="C36:C37"/>
    <mergeCell ref="D36:E36"/>
    <mergeCell ref="D37:E37"/>
    <mergeCell ref="B39:E39"/>
    <mergeCell ref="D33:E33"/>
    <mergeCell ref="B34:C34"/>
    <mergeCell ref="D34:E35"/>
    <mergeCell ref="D22:E22"/>
    <mergeCell ref="B23:C23"/>
    <mergeCell ref="D23:E26"/>
    <mergeCell ref="B31:C31"/>
    <mergeCell ref="D27:E27"/>
    <mergeCell ref="B28:C28"/>
    <mergeCell ref="D31:E32"/>
    <mergeCell ref="D28:E29"/>
    <mergeCell ref="D30:E30"/>
  </mergeCells>
  <phoneticPr fontId="30" type="noConversion"/>
  <dataValidations xWindow="871" yWindow="395" count="8">
    <dataValidation allowBlank="1" showInputMessage="1" showErrorMessage="1" prompt="You may write remarks regarding over all Taxes &amp; Duties here." sqref="D37:E37" xr:uid="{00000000-0002-0000-0A00-000000000000}"/>
    <dataValidation allowBlank="1" showInputMessage="1" showErrorMessage="1" prompt="You may write remarks regarding Octroi here." sqref="D28:E29 D31:E32 D34:E35" xr:uid="{00000000-0002-0000-0A00-000001000000}"/>
    <dataValidation allowBlank="1" showInputMessage="1" showErrorMessage="1" prompt="You may write remarks regarding VAT here." sqref="D23:E26" xr:uid="{00000000-0002-0000-0A00-000002000000}"/>
    <dataValidation allowBlank="1" showInputMessage="1" showErrorMessage="1" prompt="You may write remarks regarding Sales Tax here." sqref="D18:E21" xr:uid="{00000000-0002-0000-0A00-000003000000}"/>
    <dataValidation allowBlank="1" showInputMessage="1" showErrorMessage="1" prompt="You may write remarks regarding Excise Duty here." sqref="D15:E16" xr:uid="{00000000-0002-0000-0A00-000004000000}"/>
    <dataValidation type="decimal" operator="greaterThanOrEqual" allowBlank="1" showInputMessage="1" showErrorMessage="1" error="Enter Numeric figure in Percent only." prompt="Enter rate of Excise Duty for Direct supply items indicated in Sch-1. Amount related to this items will be displayed in the respective cell against TOTAL EXCISE DUTY." sqref="C16" xr:uid="{00000000-0002-0000-0A00-000005000000}">
      <formula1>0</formula1>
    </dataValidation>
    <dataValidation type="whole" operator="greaterThanOrEqual" allowBlank="1" showInputMessage="1" showErrorMessage="1" error="Enter Numeric Figure only." prompt="Enter the amount on which Sales tax is payable. Amount of Sales Tax related to this at the rate indicated in the column below will be displayed in the cell against TOTAL SALES TAX." sqref="C19:C21" xr:uid="{00000000-0002-0000-0A00-000006000000}">
      <formula1>0</formula1>
    </dataValidation>
    <dataValidation type="decimal" operator="greaterThanOrEqual" allowBlank="1" showInputMessage="1" showErrorMessage="1" error="Enter Numeric figure in Percent only." prompt="Enter rate of VAT for Direct supply items indicated in Sch-1. Amount of VAT shall be displayed in the cell against TOTAL VAT." sqref="C26" xr:uid="{00000000-0002-0000-0A00-000007000000}">
      <formula1>0</formula1>
    </dataValidation>
  </dataValidations>
  <hyperlinks>
    <hyperlink ref="C29" location="Octroi!Print_Area" display="Click here for details of Octroi" xr:uid="{00000000-0004-0000-0A00-000000000000}"/>
    <hyperlink ref="C32" location="'Entry Tax'!Print_Area" display="Click here for details of Octroi" xr:uid="{00000000-0004-0000-0A00-000001000000}"/>
  </hyperlinks>
  <printOptions horizontalCentered="1"/>
  <pageMargins left="0.31" right="0.25" top="0.48" bottom="0.23" header="0.27" footer="0.24"/>
  <pageSetup paperSize="9" scale="77" fitToHeight="0" orientation="portrait" r:id="rId9"/>
  <headerFooter alignWithMargins="0">
    <oddFooter>&amp;R&amp;"Book Antiqua,Bold"&amp;10Schedule-5/ Page &amp;P of &amp;N</oddFooter>
  </headerFooter>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G27"/>
  <sheetViews>
    <sheetView tabSelected="1" topLeftCell="A4" zoomScaleNormal="90" zoomScaleSheetLayoutView="100" workbookViewId="0">
      <selection activeCell="D23" sqref="D23"/>
    </sheetView>
  </sheetViews>
  <sheetFormatPr defaultColWidth="10" defaultRowHeight="16.5"/>
  <cols>
    <col min="1" max="1" width="10.625" style="35" customWidth="1"/>
    <col min="2" max="2" width="27.5" style="35" customWidth="1"/>
    <col min="3" max="3" width="16.75" style="35" customWidth="1"/>
    <col min="4" max="4" width="39.75" style="35" customWidth="1"/>
    <col min="5" max="5" width="10" style="32"/>
    <col min="6" max="6" width="27" style="32" hidden="1" customWidth="1"/>
    <col min="7" max="7" width="10" style="32"/>
    <col min="8" max="8" width="17.5" style="32" customWidth="1"/>
    <col min="9" max="16384" width="10" style="32"/>
  </cols>
  <sheetData>
    <row r="1" spans="1:6" ht="18" customHeight="1">
      <c r="A1" s="56" t="str">
        <f>Cover!B3</f>
        <v>Specification No.: ODP/BB/C&amp;M-4155/OT-02/RFx No. 5002004411/25-26</v>
      </c>
      <c r="B1" s="57"/>
      <c r="C1" s="4"/>
      <c r="D1" s="5" t="s">
        <v>253</v>
      </c>
    </row>
    <row r="2" spans="1:6" ht="18" customHeight="1">
      <c r="A2" s="2"/>
      <c r="B2" s="7"/>
      <c r="C2" s="1"/>
      <c r="D2" s="1"/>
    </row>
    <row r="3" spans="1:6" ht="47.25" customHeight="1">
      <c r="A3" s="775" t="str">
        <f>Cover!$B$2</f>
        <v xml:space="preserve">Diversion of 220kV Budhipadar-Korba S/C line #3 &amp; 765kV Angul-Sundargarh S/C line # 1 due to NH 49 Jharsuguda bypass Road diversion work (Deposit work On Behalf of NHAI).
</v>
      </c>
      <c r="B3" s="775"/>
      <c r="C3" s="775"/>
      <c r="D3" s="775"/>
      <c r="E3" s="50"/>
      <c r="F3" s="50"/>
    </row>
    <row r="4" spans="1:6" ht="21.95" customHeight="1">
      <c r="A4" s="781" t="s">
        <v>209</v>
      </c>
      <c r="B4" s="781"/>
      <c r="C4" s="781"/>
      <c r="D4" s="781"/>
    </row>
    <row r="5" spans="1:6" ht="18" customHeight="1">
      <c r="A5" s="34"/>
    </row>
    <row r="6" spans="1:6" ht="18" customHeight="1">
      <c r="A6" s="25" t="str">
        <f>'Sch-1'!A6</f>
        <v>Bidder’s Name and Address</v>
      </c>
      <c r="D6" s="35" t="s">
        <v>216</v>
      </c>
    </row>
    <row r="7" spans="1:6" ht="18" customHeight="1">
      <c r="A7" s="171" t="str">
        <f>'Sch-1'!A7</f>
        <v xml:space="preserve">Bidder as </v>
      </c>
      <c r="D7" s="461" t="s">
        <v>515</v>
      </c>
      <c r="E7" s="460"/>
      <c r="F7" s="462"/>
    </row>
    <row r="8" spans="1:6">
      <c r="A8" s="36" t="s">
        <v>234</v>
      </c>
      <c r="B8" s="780" t="str">
        <f>IF('Sch-1'!C8=0, "", 'Sch-1'!C8)</f>
        <v/>
      </c>
      <c r="C8" s="780"/>
      <c r="D8" s="461" t="s">
        <v>407</v>
      </c>
      <c r="E8" s="460"/>
      <c r="F8" s="462"/>
    </row>
    <row r="9" spans="1:6">
      <c r="A9" s="36" t="s">
        <v>235</v>
      </c>
      <c r="B9" s="780" t="str">
        <f>IF('Sch-1'!C9=0, "", 'Sch-1'!C9)</f>
        <v/>
      </c>
      <c r="C9" s="780"/>
      <c r="D9" s="461" t="s">
        <v>451</v>
      </c>
      <c r="E9" s="460"/>
      <c r="F9" s="462"/>
    </row>
    <row r="10" spans="1:6">
      <c r="A10" s="37"/>
      <c r="B10" s="780" t="str">
        <f>IF('Sch-1'!C10=0, "", 'Sch-1'!C10)</f>
        <v/>
      </c>
      <c r="C10" s="780"/>
      <c r="D10" s="461" t="s">
        <v>452</v>
      </c>
      <c r="E10" s="460"/>
      <c r="F10" s="462"/>
    </row>
    <row r="11" spans="1:6">
      <c r="A11" s="37"/>
      <c r="B11" s="780" t="str">
        <f>IF('Sch-1'!C11=0, "", 'Sch-1'!C11)</f>
        <v/>
      </c>
      <c r="C11" s="780"/>
      <c r="D11" s="461" t="s">
        <v>453</v>
      </c>
      <c r="E11" s="460"/>
      <c r="F11" s="462"/>
    </row>
    <row r="12" spans="1:6" ht="18" customHeight="1">
      <c r="A12" s="51"/>
      <c r="B12" s="51"/>
      <c r="C12" s="51"/>
      <c r="D12" s="61"/>
    </row>
    <row r="13" spans="1:6" ht="21.95" customHeight="1">
      <c r="A13" s="52" t="s">
        <v>200</v>
      </c>
      <c r="B13" s="776" t="s">
        <v>195</v>
      </c>
      <c r="C13" s="777"/>
      <c r="D13" s="53" t="s">
        <v>202</v>
      </c>
    </row>
    <row r="14" spans="1:6" ht="21" customHeight="1">
      <c r="A14" s="39" t="s">
        <v>203</v>
      </c>
      <c r="B14" s="793" t="s">
        <v>238</v>
      </c>
      <c r="C14" s="764"/>
      <c r="D14" s="67">
        <f>'Sch-1'!M91</f>
        <v>0</v>
      </c>
    </row>
    <row r="15" spans="1:6" ht="39.75" customHeight="1">
      <c r="A15" s="54"/>
      <c r="B15" s="794" t="s">
        <v>473</v>
      </c>
      <c r="C15" s="795"/>
      <c r="D15" s="399"/>
      <c r="F15" s="413"/>
    </row>
    <row r="16" spans="1:6" ht="21.95" customHeight="1">
      <c r="A16" s="39" t="s">
        <v>205</v>
      </c>
      <c r="B16" s="793" t="s">
        <v>239</v>
      </c>
      <c r="C16" s="764"/>
      <c r="D16" s="67">
        <f>+'Sch-2'!G90</f>
        <v>0</v>
      </c>
      <c r="F16" s="413"/>
    </row>
    <row r="17" spans="1:7" ht="35.1" customHeight="1">
      <c r="A17" s="54"/>
      <c r="B17" s="794" t="s">
        <v>474</v>
      </c>
      <c r="C17" s="795"/>
      <c r="D17" s="399"/>
      <c r="G17" s="321"/>
    </row>
    <row r="18" spans="1:7" ht="21.95" customHeight="1">
      <c r="A18" s="39" t="s">
        <v>206</v>
      </c>
      <c r="B18" s="793" t="s">
        <v>240</v>
      </c>
      <c r="C18" s="764"/>
      <c r="D18" s="477">
        <f>+'Sch-3 '!L73</f>
        <v>0</v>
      </c>
    </row>
    <row r="19" spans="1:7" ht="24.95" customHeight="1">
      <c r="A19" s="44"/>
      <c r="B19" s="796" t="s">
        <v>508</v>
      </c>
      <c r="C19" s="797"/>
      <c r="D19" s="470"/>
    </row>
    <row r="20" spans="1:7" ht="21.95" customHeight="1">
      <c r="A20" s="39" t="s">
        <v>207</v>
      </c>
      <c r="B20" s="793" t="s">
        <v>241</v>
      </c>
      <c r="C20" s="764"/>
      <c r="D20" s="478">
        <f>+'Sch-4'!D34:E34</f>
        <v>0.15660000000000002</v>
      </c>
    </row>
    <row r="21" spans="1:7" ht="24.95" customHeight="1">
      <c r="A21" s="44"/>
      <c r="B21" s="798" t="s">
        <v>213</v>
      </c>
      <c r="C21" s="799"/>
      <c r="D21" s="479"/>
    </row>
    <row r="22" spans="1:7" ht="28.5" customHeight="1">
      <c r="A22" s="39" t="s">
        <v>212</v>
      </c>
      <c r="B22" s="793" t="s">
        <v>324</v>
      </c>
      <c r="C22" s="764"/>
      <c r="D22" s="476">
        <f>SUM(D14,D16,D18,D20)</f>
        <v>0.15660000000000002</v>
      </c>
      <c r="F22" s="32">
        <f>D22*(1-0.21)</f>
        <v>0.12371400000000002</v>
      </c>
    </row>
    <row r="23" spans="1:7" ht="30" customHeight="1">
      <c r="A23" s="72"/>
      <c r="B23" s="74"/>
      <c r="C23" s="74"/>
      <c r="D23" s="75"/>
    </row>
    <row r="24" spans="1:7" ht="30" customHeight="1">
      <c r="A24" s="29" t="s">
        <v>226</v>
      </c>
      <c r="B24" s="119" t="str">
        <f>IF('Sch-1'!C101=0,"", 'Sch-1'!C101)</f>
        <v/>
      </c>
      <c r="C24" s="30"/>
      <c r="D24" s="407"/>
      <c r="F24" s="31"/>
    </row>
    <row r="25" spans="1:7" ht="30" customHeight="1">
      <c r="A25" s="29" t="s">
        <v>227</v>
      </c>
      <c r="B25" s="119" t="str">
        <f>IF('Sch-1'!C102=0,"", 'Sch-1'!C102)</f>
        <v/>
      </c>
      <c r="C25" s="30" t="s">
        <v>229</v>
      </c>
      <c r="D25" s="92" t="str">
        <f>IF('Sch-1'!M101=0,"",'Sch-1'!M101)</f>
        <v/>
      </c>
      <c r="F25" s="2"/>
    </row>
    <row r="26" spans="1:7" ht="30" customHeight="1">
      <c r="A26" s="3"/>
      <c r="B26" s="406"/>
      <c r="C26" s="30" t="s">
        <v>230</v>
      </c>
      <c r="D26" s="92" t="str">
        <f>IF('Sch-1'!M102=0,"",'Sch-1'!M102)</f>
        <v/>
      </c>
      <c r="F26" s="2"/>
    </row>
    <row r="27" spans="1:7" ht="30" customHeight="1">
      <c r="A27" s="3"/>
      <c r="B27" s="7"/>
      <c r="C27" s="30"/>
      <c r="D27" s="3"/>
      <c r="F27" s="31"/>
    </row>
  </sheetData>
  <sheetProtection algorithmName="SHA-512" hashValue="OqxZpN0ic3dtqGScgSXkSMMz+0c0eU1nYyrFxtMI4KmRkQXzvKbh2jSYpbSMwkoR3OIFxtffjDXv1qWMiQNL9Q==" saltValue="ua8ZFMiixlTnWZfrc9byOA==" spinCount="100000" sheet="1" formatColumns="0" formatRows="0" selectLockedCells="1" selectUnlockedCells="1"/>
  <customSheetViews>
    <customSheetView guid="{9CA44E70-650F-49CD-967F-298619682CA2}" topLeftCell="A13">
      <selection activeCell="D12" sqref="D12"/>
      <pageMargins left="0.5" right="0.38" top="0.56999999999999995" bottom="0.48" header="0.38" footer="0.24"/>
      <printOptions horizontalCentered="1"/>
      <pageSetup paperSize="9" fitToHeight="0" orientation="portrait" r:id="rId1"/>
      <headerFooter alignWithMargins="0">
        <oddFooter>&amp;R&amp;"Book Antiqua,Bold"&amp;10Schedule-5/ Page &amp;P of &amp;N</oddFooter>
      </headerFooter>
    </customSheetView>
    <customSheetView guid="{C39F923C-6CD3-45D8-86F8-6C4D806DDD7E}" topLeftCell="A16">
      <selection activeCell="F45" sqref="F45"/>
      <pageMargins left="0.5" right="0.38" top="0.56999999999999995" bottom="0.48" header="0.38" footer="0.24"/>
      <printOptions horizontalCentered="1"/>
      <pageSetup paperSize="9" fitToHeight="0" orientation="portrait" r:id="rId2"/>
      <headerFooter alignWithMargins="0">
        <oddFooter>&amp;R&amp;"Book Antiqua,Bold"&amp;10Schedule-5/ Page &amp;P of &amp;N</oddFooter>
      </headerFooter>
    </customSheetView>
    <customSheetView guid="{B1277D53-29D6-4226-81E2-084FB62977B6}">
      <selection activeCell="B28" sqref="B28:D30"/>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58D82F59-8CF6-455F-B9F4-081499FDF243}">
      <selection activeCell="F15" sqref="F15"/>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4F65FF32-EC61-4022-A399-2986D7B6B8B3}" showPageBreaks="1" zeroValues="0" printArea="1" view="pageBreakPreview" showRuler="0">
      <selection activeCell="B2" sqref="B2:E2"/>
      <pageMargins left="0.5" right="0.38" top="0.56999999999999995" bottom="0.48" header="0.38" footer="0.24"/>
      <printOptions horizontalCentered="1"/>
      <pageSetup paperSize="9" fitToHeight="0" orientation="portrait" r:id="rId5"/>
      <headerFooter alignWithMargins="0">
        <oddFooter>&amp;R&amp;"Book Antiqua,Bold"&amp;10Page &amp;P of &amp;N</oddFooter>
      </headerFooter>
    </customSheetView>
    <customSheetView guid="{696D9240-6693-44E8-B9A4-2BFADD101EE2}">
      <selection activeCell="F15" sqref="F15"/>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0EE7D76-5806-4718-BDAD-3A3EA691E5E4}" topLeftCell="A16">
      <selection activeCell="F15" sqref="F15"/>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E95B21C1-D936-4435-AF6F-90CF0B6A7506}">
      <selection activeCell="B28" sqref="B28:D30"/>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08A645C4-A23F-4400-B0CE-1685BC312A6F}" topLeftCell="A19">
      <pageMargins left="0.5" right="0.38" top="0.56999999999999995" bottom="0.48" header="0.38" footer="0.24"/>
      <printOptions horizontalCentered="1"/>
      <pageSetup paperSize="9" fitToHeight="0" orientation="portrait" r:id="rId9"/>
      <headerFooter alignWithMargins="0">
        <oddFooter>&amp;R&amp;"Book Antiqua,Bold"&amp;10Schedule-5/ Page &amp;P of &amp;N</oddFooter>
      </headerFooter>
    </customSheetView>
  </customSheetViews>
  <mergeCells count="16">
    <mergeCell ref="B18:C18"/>
    <mergeCell ref="B19:C19"/>
    <mergeCell ref="B22:C22"/>
    <mergeCell ref="B20:C20"/>
    <mergeCell ref="B21:C21"/>
    <mergeCell ref="B17:C17"/>
    <mergeCell ref="B15:C15"/>
    <mergeCell ref="B9:C9"/>
    <mergeCell ref="B8:C8"/>
    <mergeCell ref="B10:C10"/>
    <mergeCell ref="B11:C11"/>
    <mergeCell ref="A3:D3"/>
    <mergeCell ref="A4:D4"/>
    <mergeCell ref="B13:C13"/>
    <mergeCell ref="B16:C16"/>
    <mergeCell ref="B14:C14"/>
  </mergeCells>
  <phoneticPr fontId="1" type="noConversion"/>
  <printOptions horizontalCentered="1"/>
  <pageMargins left="0.5" right="0.38" top="0.56999999999999995" bottom="0.48" header="0.38" footer="0.24"/>
  <pageSetup paperSize="9" fitToHeight="0" orientation="portrait" r:id="rId10"/>
  <headerFooter alignWithMargins="0">
    <oddFooter>&amp;R&amp;"Book Antiqua,Bold"&amp;10Schedule-5/ Page &amp;P of &amp;N</oddFooter>
  </headerFooter>
  <drawing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F0"/>
  </sheetPr>
  <dimension ref="A1:F32"/>
  <sheetViews>
    <sheetView zoomScaleNormal="90" zoomScaleSheetLayoutView="100" workbookViewId="0">
      <selection activeCell="F21" sqref="F21"/>
    </sheetView>
  </sheetViews>
  <sheetFormatPr defaultColWidth="10" defaultRowHeight="16.5"/>
  <cols>
    <col min="1" max="1" width="10.625" style="35" customWidth="1"/>
    <col min="2" max="2" width="27.5" style="35" customWidth="1"/>
    <col min="3" max="3" width="21" style="35" customWidth="1"/>
    <col min="4" max="4" width="34.375" style="35" customWidth="1"/>
    <col min="5" max="5" width="10" style="32"/>
    <col min="6" max="6" width="24.375" style="32" customWidth="1"/>
    <col min="7" max="16384" width="10" style="32"/>
  </cols>
  <sheetData>
    <row r="1" spans="1:6" ht="18" customHeight="1">
      <c r="A1" s="56" t="str">
        <f>Cover!B3</f>
        <v>Specification No.: ODP/BB/C&amp;M-4155/OT-02/RFx No. 5002004411/25-26</v>
      </c>
      <c r="B1" s="57"/>
      <c r="C1" s="4"/>
      <c r="D1" s="5" t="s">
        <v>325</v>
      </c>
    </row>
    <row r="2" spans="1:6" ht="18" customHeight="1">
      <c r="A2" s="2"/>
      <c r="B2" s="7"/>
      <c r="C2" s="1"/>
      <c r="D2" s="1"/>
    </row>
    <row r="3" spans="1:6" ht="47.25" customHeight="1">
      <c r="A3" s="775" t="str">
        <f>Cover!$B$2</f>
        <v xml:space="preserve">Diversion of 220kV Budhipadar-Korba S/C line #3 &amp; 765kV Angul-Sundargarh S/C line # 1 due to NH 49 Jharsuguda bypass Road diversion work (Deposit work On Behalf of NHAI).
</v>
      </c>
      <c r="B3" s="775"/>
      <c r="C3" s="775"/>
      <c r="D3" s="775"/>
      <c r="E3" s="50"/>
      <c r="F3" s="50"/>
    </row>
    <row r="4" spans="1:6" ht="21.95" customHeight="1">
      <c r="A4" s="781" t="s">
        <v>209</v>
      </c>
      <c r="B4" s="781"/>
      <c r="C4" s="781"/>
      <c r="D4" s="781"/>
    </row>
    <row r="5" spans="1:6" ht="18" customHeight="1">
      <c r="A5" s="34"/>
    </row>
    <row r="6" spans="1:6" ht="18" customHeight="1">
      <c r="A6" s="25" t="str">
        <f>'Sch-1'!A6</f>
        <v>Bidder’s Name and Address</v>
      </c>
      <c r="D6" s="35" t="s">
        <v>216</v>
      </c>
    </row>
    <row r="7" spans="1:6" ht="18" customHeight="1">
      <c r="A7" s="171" t="str">
        <f>'Sch-1'!A7</f>
        <v xml:space="preserve">Bidder as </v>
      </c>
      <c r="D7" s="461" t="s">
        <v>454</v>
      </c>
      <c r="E7" s="460"/>
      <c r="F7" s="462"/>
    </row>
    <row r="8" spans="1:6">
      <c r="A8" s="36" t="s">
        <v>234</v>
      </c>
      <c r="B8" s="780" t="str">
        <f>IF('Sch-1'!G8=0, "", 'Sch-1'!G8)</f>
        <v/>
      </c>
      <c r="C8" s="780"/>
      <c r="D8" s="461" t="s">
        <v>407</v>
      </c>
      <c r="E8" s="460"/>
      <c r="F8" s="462"/>
    </row>
    <row r="9" spans="1:6">
      <c r="A9" s="36" t="s">
        <v>235</v>
      </c>
      <c r="B9" s="780" t="str">
        <f>IF('Sch-1'!G9=0, "", 'Sch-1'!G9)</f>
        <v/>
      </c>
      <c r="C9" s="780"/>
      <c r="D9" s="461" t="s">
        <v>451</v>
      </c>
      <c r="E9" s="460"/>
      <c r="F9" s="462"/>
    </row>
    <row r="10" spans="1:6">
      <c r="A10" s="37"/>
      <c r="B10" s="780" t="str">
        <f>IF('Sch-1'!G10=0, "", 'Sch-1'!G10)</f>
        <v/>
      </c>
      <c r="C10" s="780"/>
      <c r="D10" s="461" t="s">
        <v>452</v>
      </c>
      <c r="E10" s="460"/>
      <c r="F10" s="462"/>
    </row>
    <row r="11" spans="1:6">
      <c r="A11" s="37"/>
      <c r="B11" s="780" t="str">
        <f>IF('Sch-1'!G11=0, "", 'Sch-1'!G11)</f>
        <v/>
      </c>
      <c r="C11" s="780"/>
      <c r="D11" s="461" t="s">
        <v>453</v>
      </c>
      <c r="E11" s="460"/>
      <c r="F11" s="462"/>
    </row>
    <row r="12" spans="1:6" ht="18" customHeight="1">
      <c r="A12" s="51"/>
      <c r="B12" s="51"/>
      <c r="C12" s="51"/>
      <c r="D12" s="61"/>
    </row>
    <row r="13" spans="1:6" ht="21.95" customHeight="1">
      <c r="A13" s="52" t="s">
        <v>200</v>
      </c>
      <c r="B13" s="776" t="s">
        <v>195</v>
      </c>
      <c r="C13" s="777"/>
      <c r="D13" s="53" t="s">
        <v>202</v>
      </c>
    </row>
    <row r="14" spans="1:6" ht="21.95" customHeight="1">
      <c r="A14" s="39" t="s">
        <v>203</v>
      </c>
      <c r="B14" s="793" t="s">
        <v>238</v>
      </c>
      <c r="C14" s="793"/>
      <c r="D14" s="67"/>
    </row>
    <row r="15" spans="1:6" ht="35.1" customHeight="1">
      <c r="A15" s="54"/>
      <c r="B15" s="773" t="str">
        <f>'Sch-5'!B15:C15</f>
        <v xml:space="preserve">Ex-works price of Plant and Equipment including Type Test Charges </v>
      </c>
      <c r="C15" s="774"/>
      <c r="D15" s="465" t="e">
        <f>'Sch-1'!M94*(1-Discount!O18)+'Sch-1'!#REF!*(1-Discount!O19)</f>
        <v>#REF!</v>
      </c>
      <c r="F15" s="411"/>
    </row>
    <row r="16" spans="1:6" ht="21.95" customHeight="1">
      <c r="A16" s="39" t="s">
        <v>205</v>
      </c>
      <c r="B16" s="793" t="s">
        <v>239</v>
      </c>
      <c r="C16" s="793"/>
      <c r="D16" s="68"/>
    </row>
    <row r="17" spans="1:6" ht="35.1" customHeight="1">
      <c r="A17" s="54"/>
      <c r="B17" s="773" t="s">
        <v>210</v>
      </c>
      <c r="C17" s="774"/>
      <c r="D17" s="399" t="e">
        <f>'Sch-5'!D17*(1-Discount!O20)</f>
        <v>#REF!</v>
      </c>
      <c r="F17" s="411"/>
    </row>
    <row r="18" spans="1:6" ht="21.95" customHeight="1">
      <c r="A18" s="39" t="s">
        <v>206</v>
      </c>
      <c r="B18" s="793" t="s">
        <v>240</v>
      </c>
      <c r="C18" s="793"/>
      <c r="D18" s="69"/>
    </row>
    <row r="19" spans="1:6" ht="30" customHeight="1">
      <c r="A19" s="44"/>
      <c r="B19" s="800" t="s">
        <v>211</v>
      </c>
      <c r="C19" s="801"/>
      <c r="D19" s="399" t="e">
        <f>'Sch-5'!D19*(1-Discount!O22)</f>
        <v>#REF!</v>
      </c>
    </row>
    <row r="20" spans="1:6" ht="21.95" customHeight="1">
      <c r="A20" s="39" t="s">
        <v>207</v>
      </c>
      <c r="B20" s="793" t="s">
        <v>241</v>
      </c>
      <c r="C20" s="793"/>
      <c r="D20" s="67"/>
    </row>
    <row r="21" spans="1:6" ht="30" customHeight="1">
      <c r="A21" s="43"/>
      <c r="B21" s="802" t="s">
        <v>213</v>
      </c>
      <c r="C21" s="803"/>
      <c r="D21" s="412" t="e">
        <f>'Sch-5'!D21*(1-Discount!O18)</f>
        <v>#REF!</v>
      </c>
    </row>
    <row r="22" spans="1:6" ht="51.75" customHeight="1">
      <c r="A22" s="43"/>
      <c r="B22" s="400"/>
      <c r="C22" s="316"/>
      <c r="D22" s="169" t="e">
        <f>IF('Sch-4'!#REF!=0, "", 'Sch-4'!#REF!)</f>
        <v>#REF!</v>
      </c>
      <c r="F22" s="413"/>
    </row>
    <row r="23" spans="1:6" ht="30" customHeight="1">
      <c r="A23" s="39">
        <v>5</v>
      </c>
      <c r="B23" s="793" t="s">
        <v>316</v>
      </c>
      <c r="C23" s="793"/>
      <c r="D23" s="66"/>
    </row>
    <row r="24" spans="1:6" ht="30" customHeight="1">
      <c r="A24" s="43"/>
      <c r="B24" s="773" t="s">
        <v>261</v>
      </c>
      <c r="C24" s="774"/>
      <c r="D24" s="417" t="s">
        <v>257</v>
      </c>
    </row>
    <row r="25" spans="1:6" ht="28.5" customHeight="1">
      <c r="A25" s="784"/>
      <c r="B25" s="785" t="s">
        <v>324</v>
      </c>
      <c r="C25" s="785"/>
      <c r="D25" s="401" t="e">
        <f>SUM(D15,D17,D21)</f>
        <v>#REF!</v>
      </c>
    </row>
    <row r="26" spans="1:6" ht="51" customHeight="1">
      <c r="A26" s="784"/>
      <c r="B26" s="785"/>
      <c r="C26" s="785"/>
      <c r="D26" s="73" t="e">
        <f>D22</f>
        <v>#REF!</v>
      </c>
    </row>
    <row r="27" spans="1:6" ht="30" customHeight="1">
      <c r="A27" s="72"/>
      <c r="B27" s="74"/>
      <c r="C27" s="74"/>
      <c r="D27" s="75"/>
    </row>
    <row r="28" spans="1:6" ht="30" customHeight="1">
      <c r="A28" s="29" t="s">
        <v>226</v>
      </c>
      <c r="B28" s="119" t="str">
        <f>IF('Sch-1'!G101=0,"", 'Sch-1'!G101)</f>
        <v/>
      </c>
      <c r="C28" s="30"/>
      <c r="D28" s="407"/>
      <c r="F28" s="31"/>
    </row>
    <row r="29" spans="1:6" ht="30" customHeight="1">
      <c r="A29" s="29" t="s">
        <v>227</v>
      </c>
      <c r="B29" s="119" t="str">
        <f>IF('Sch-1'!G102=0,"", 'Sch-1'!G102)</f>
        <v/>
      </c>
      <c r="C29" s="30" t="s">
        <v>229</v>
      </c>
      <c r="D29" s="92" t="str">
        <f>IF('Sch-1'!M101=0,"",'Sch-1'!M101)</f>
        <v/>
      </c>
      <c r="F29" s="2"/>
    </row>
    <row r="30" spans="1:6" ht="30" customHeight="1">
      <c r="A30" s="3"/>
      <c r="B30" s="406"/>
      <c r="C30" s="30" t="s">
        <v>230</v>
      </c>
      <c r="D30" s="92" t="str">
        <f>IF('Sch-1'!M102=0,"",'Sch-1'!M102)</f>
        <v/>
      </c>
      <c r="F30" s="2"/>
    </row>
    <row r="31" spans="1:6" ht="30" customHeight="1">
      <c r="A31" s="3"/>
      <c r="B31" s="7"/>
      <c r="C31" s="30"/>
      <c r="D31" s="3"/>
      <c r="F31" s="31"/>
    </row>
    <row r="32" spans="1:6" ht="30" customHeight="1">
      <c r="A32" s="48"/>
      <c r="B32" s="48"/>
      <c r="C32" s="49"/>
      <c r="E32" s="55"/>
    </row>
  </sheetData>
  <sheetProtection formatColumns="0" formatRows="0" selectLockedCells="1" selectUnlockedCells="1"/>
  <customSheetViews>
    <customSheetView guid="{9CA44E70-650F-49CD-967F-298619682CA2}" topLeftCell="A4">
      <selection activeCell="D21" sqref="D21"/>
      <pageMargins left="0.5" right="0.38" top="0.56999999999999995" bottom="0.48" header="0.38" footer="0.24"/>
      <printOptions horizontalCentered="1"/>
      <pageSetup paperSize="9" fitToHeight="0" orientation="portrait" r:id="rId1"/>
      <headerFooter alignWithMargins="0">
        <oddFooter>&amp;R&amp;"Book Antiqua,Bold"&amp;10Schedule-5/ Page &amp;P of &amp;N</oddFooter>
      </headerFooter>
    </customSheetView>
    <customSheetView guid="{C39F923C-6CD3-45D8-86F8-6C4D806DDD7E}" topLeftCell="A16">
      <selection activeCell="F45" sqref="F45"/>
      <pageMargins left="0.5" right="0.38" top="0.56999999999999995" bottom="0.48" header="0.38" footer="0.24"/>
      <printOptions horizontalCentered="1"/>
      <pageSetup paperSize="9" fitToHeight="0" orientation="portrait" r:id="rId2"/>
      <headerFooter alignWithMargins="0">
        <oddFooter>&amp;R&amp;"Book Antiqua,Bold"&amp;10Schedule-5/ Page &amp;P of &amp;N</oddFooter>
      </headerFooter>
    </customSheetView>
    <customSheetView guid="{B1277D53-29D6-4226-81E2-084FB62977B6}" topLeftCell="A28">
      <selection activeCell="B28" sqref="B28:D30"/>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58D82F59-8CF6-455F-B9F4-081499FDF243}" topLeftCell="A13">
      <selection activeCell="F21" sqref="F21"/>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696D9240-6693-44E8-B9A4-2BFADD101EE2}">
      <selection activeCell="F21" sqref="F21"/>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B0EE7D76-5806-4718-BDAD-3A3EA691E5E4}" topLeftCell="A7">
      <selection activeCell="F21" sqref="F21"/>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E95B21C1-D936-4435-AF6F-90CF0B6A7506}" topLeftCell="A28">
      <selection activeCell="B28" sqref="B28:D30"/>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08A645C4-A23F-4400-B0CE-1685BC312A6F}" topLeftCell="A16">
      <selection activeCell="D25" sqref="D25"/>
      <pageMargins left="0.5" right="0.38" top="0.56999999999999995" bottom="0.48" header="0.38" footer="0.24"/>
      <printOptions horizontalCentered="1"/>
      <pageSetup paperSize="9" fitToHeight="0" orientation="portrait" r:id="rId8"/>
      <headerFooter alignWithMargins="0">
        <oddFooter>&amp;R&amp;"Book Antiqua,Bold"&amp;10Schedule-5/ Page &amp;P of &amp;N</oddFooter>
      </headerFooter>
    </customSheetView>
  </customSheetViews>
  <mergeCells count="19">
    <mergeCell ref="B13:C13"/>
    <mergeCell ref="B14:C14"/>
    <mergeCell ref="B15:C15"/>
    <mergeCell ref="A3:D3"/>
    <mergeCell ref="A4:D4"/>
    <mergeCell ref="B8:C8"/>
    <mergeCell ref="B9:C9"/>
    <mergeCell ref="B10:C10"/>
    <mergeCell ref="B11:C11"/>
    <mergeCell ref="B16:C16"/>
    <mergeCell ref="A25:A26"/>
    <mergeCell ref="B25:C26"/>
    <mergeCell ref="B19:C19"/>
    <mergeCell ref="B20:C20"/>
    <mergeCell ref="B21:C21"/>
    <mergeCell ref="B23:C23"/>
    <mergeCell ref="B24:C24"/>
    <mergeCell ref="B17:C17"/>
    <mergeCell ref="B18:C18"/>
  </mergeCells>
  <phoneticPr fontId="30" type="noConversion"/>
  <printOptions horizontalCentered="1"/>
  <pageMargins left="0.5" right="0.38" top="0.56999999999999995" bottom="0.48" header="0.38" footer="0.24"/>
  <pageSetup paperSize="9" fitToHeight="0" orientation="portrait" r:id="rId9"/>
  <headerFooter alignWithMargins="0">
    <oddFooter>&amp;R&amp;"Book Antiqua,Bold"&amp;10Schedule-5/ Page &amp;P of &amp;N</oddFooter>
  </headerFooter>
  <drawing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1"/>
  </sheetPr>
  <dimension ref="A1:P28"/>
  <sheetViews>
    <sheetView showZeros="0" zoomScaleNormal="100" zoomScaleSheetLayoutView="100" workbookViewId="0">
      <selection activeCell="G25" sqref="G25"/>
    </sheetView>
  </sheetViews>
  <sheetFormatPr defaultRowHeight="16.5"/>
  <cols>
    <col min="1" max="1" width="11.375" style="64" customWidth="1"/>
    <col min="2" max="2" width="34.375" style="26" customWidth="1"/>
    <col min="3" max="3" width="8.625" style="26" customWidth="1"/>
    <col min="4" max="4" width="7.625" style="26" customWidth="1"/>
    <col min="5" max="5" width="13.625" style="26" customWidth="1"/>
    <col min="6" max="6" width="21.375" style="26" customWidth="1"/>
    <col min="7" max="7" width="17.625" style="94" customWidth="1"/>
    <col min="8" max="12" width="9" style="76"/>
    <col min="13" max="13" width="9" style="190"/>
    <col min="14" max="14" width="13.875" style="190" customWidth="1"/>
    <col min="15" max="15" width="13.625" style="190" customWidth="1"/>
    <col min="16" max="16" width="21.375" style="76" customWidth="1"/>
    <col min="17" max="16384" width="9" style="76"/>
  </cols>
  <sheetData>
    <row r="1" spans="1:16" ht="18" customHeight="1">
      <c r="A1" s="77" t="str">
        <f>Cover!B3</f>
        <v>Specification No.: ODP/BB/C&amp;M-4155/OT-02/RFx No. 5002004411/25-26</v>
      </c>
      <c r="B1" s="78"/>
      <c r="C1" s="78"/>
      <c r="D1" s="79"/>
      <c r="E1" s="79"/>
      <c r="F1" s="81" t="s">
        <v>254</v>
      </c>
    </row>
    <row r="2" spans="1:16" ht="18" customHeight="1">
      <c r="A2" s="63"/>
      <c r="B2" s="83"/>
      <c r="C2" s="83"/>
      <c r="D2" s="84"/>
      <c r="E2" s="84"/>
      <c r="F2" s="28"/>
    </row>
    <row r="3" spans="1:16" ht="55.5" customHeight="1">
      <c r="A3" s="813" t="str">
        <f>Cover!$B$2</f>
        <v xml:space="preserve">Diversion of 220kV Budhipadar-Korba S/C line #3 &amp; 765kV Angul-Sundargarh S/C line # 1 due to NH 49 Jharsuguda bypass Road diversion work (Deposit work On Behalf of NHAI).
</v>
      </c>
      <c r="B3" s="813"/>
      <c r="C3" s="813"/>
      <c r="D3" s="813"/>
      <c r="E3" s="813"/>
      <c r="F3" s="813"/>
      <c r="M3" s="202" t="s">
        <v>179</v>
      </c>
      <c r="O3" s="203" t="e">
        <f>Discount!G15/('Sch-5'!D15+'Sch-5'!D17+'Sch-5'!D19)</f>
        <v>#DIV/0!</v>
      </c>
    </row>
    <row r="4" spans="1:16" ht="21.95" customHeight="1">
      <c r="A4" s="711" t="s">
        <v>244</v>
      </c>
      <c r="B4" s="711"/>
      <c r="C4" s="711"/>
      <c r="D4" s="711"/>
      <c r="E4" s="711"/>
      <c r="F4" s="711"/>
      <c r="M4" s="202" t="s">
        <v>180</v>
      </c>
      <c r="O4" s="203">
        <f>Discount!G16</f>
        <v>0</v>
      </c>
    </row>
    <row r="5" spans="1:16" ht="18" customHeight="1">
      <c r="A5" s="65"/>
      <c r="B5" s="95"/>
      <c r="C5" s="95"/>
      <c r="D5" s="95"/>
      <c r="E5" s="95"/>
      <c r="F5" s="95"/>
      <c r="M5" s="202" t="s">
        <v>186</v>
      </c>
      <c r="O5" s="203" t="e">
        <f>Discount!G22/D21</f>
        <v>#DIV/0!</v>
      </c>
    </row>
    <row r="6" spans="1:16" ht="18" customHeight="1">
      <c r="A6" s="25" t="str">
        <f>'Sch-1'!A6</f>
        <v>Bidder’s Name and Address</v>
      </c>
      <c r="B6" s="35"/>
      <c r="C6" s="35"/>
      <c r="D6" s="35"/>
      <c r="E6" s="60" t="s">
        <v>216</v>
      </c>
      <c r="G6" s="28"/>
      <c r="M6" s="202" t="s">
        <v>187</v>
      </c>
      <c r="O6" s="203">
        <f>Discount!G28</f>
        <v>0</v>
      </c>
    </row>
    <row r="7" spans="1:16" ht="18" customHeight="1">
      <c r="A7" s="206" t="str">
        <f>'Sch-1'!A7</f>
        <v xml:space="preserve">Bidder as </v>
      </c>
      <c r="B7" s="35"/>
      <c r="C7" s="35"/>
      <c r="D7" s="35"/>
      <c r="E7" s="59" t="s">
        <v>218</v>
      </c>
      <c r="G7" s="28"/>
      <c r="M7" s="202" t="s">
        <v>181</v>
      </c>
      <c r="O7" s="203" t="e">
        <f>Discount!G29/('Sch-5'!D15+'Sch-5'!D17+'Sch-5'!D19)</f>
        <v>#DIV/0!</v>
      </c>
    </row>
    <row r="8" spans="1:16" ht="18" customHeight="1">
      <c r="A8" s="36" t="s">
        <v>234</v>
      </c>
      <c r="B8" s="791" t="str">
        <f>IF('Sch-1'!G8=0, "", 'Sch-1'!G8)</f>
        <v/>
      </c>
      <c r="C8" s="791"/>
      <c r="D8" s="791"/>
      <c r="E8" s="59" t="s">
        <v>220</v>
      </c>
      <c r="G8" s="28"/>
      <c r="M8" s="202" t="s">
        <v>182</v>
      </c>
      <c r="O8" s="203">
        <f>Discount!G31</f>
        <v>0</v>
      </c>
    </row>
    <row r="9" spans="1:16" ht="18" customHeight="1">
      <c r="A9" s="36" t="s">
        <v>235</v>
      </c>
      <c r="B9" s="791" t="str">
        <f>IF('Sch-1'!G9=0, "", 'Sch-1'!G9)</f>
        <v/>
      </c>
      <c r="C9" s="791"/>
      <c r="D9" s="791"/>
      <c r="E9" s="59" t="s">
        <v>221</v>
      </c>
      <c r="G9" s="28"/>
      <c r="M9" s="202" t="s">
        <v>183</v>
      </c>
      <c r="O9" s="203" t="e">
        <f>SUM(O3:O8)</f>
        <v>#DIV/0!</v>
      </c>
    </row>
    <row r="10" spans="1:16" ht="18" customHeight="1">
      <c r="A10" s="37"/>
      <c r="B10" s="791" t="str">
        <f>IF('Sch-1'!G10=0, "", 'Sch-1'!G10)</f>
        <v/>
      </c>
      <c r="C10" s="791"/>
      <c r="D10" s="791"/>
      <c r="E10" s="59" t="s">
        <v>222</v>
      </c>
      <c r="G10" s="28"/>
    </row>
    <row r="11" spans="1:16" ht="18" customHeight="1">
      <c r="A11" s="37"/>
      <c r="B11" s="791" t="str">
        <f>IF('Sch-1'!G11=0, "", 'Sch-1'!G11)</f>
        <v/>
      </c>
      <c r="C11" s="791"/>
      <c r="D11" s="791"/>
      <c r="E11" s="59" t="s">
        <v>223</v>
      </c>
      <c r="G11" s="28"/>
    </row>
    <row r="12" spans="1:16" ht="18" customHeight="1">
      <c r="B12" s="172"/>
      <c r="C12" s="172"/>
      <c r="D12" s="172"/>
      <c r="E12" s="96"/>
      <c r="F12" s="64"/>
      <c r="G12" s="28"/>
    </row>
    <row r="14" spans="1:16" ht="33.75" customHeight="1">
      <c r="A14" s="97" t="s">
        <v>255</v>
      </c>
      <c r="B14" s="98" t="s">
        <v>197</v>
      </c>
      <c r="C14" s="220" t="s">
        <v>189</v>
      </c>
      <c r="D14" s="220" t="s">
        <v>168</v>
      </c>
      <c r="E14" s="220" t="s">
        <v>169</v>
      </c>
      <c r="F14" s="220" t="s">
        <v>170</v>
      </c>
      <c r="N14" s="810" t="s">
        <v>198</v>
      </c>
      <c r="O14" s="810"/>
      <c r="P14" s="168"/>
    </row>
    <row r="15" spans="1:16" s="213" customFormat="1">
      <c r="A15" s="99">
        <v>1</v>
      </c>
      <c r="B15" s="99">
        <v>2</v>
      </c>
      <c r="C15" s="99">
        <v>3</v>
      </c>
      <c r="D15" s="99">
        <v>4</v>
      </c>
      <c r="E15" s="254">
        <v>5</v>
      </c>
      <c r="F15" s="254" t="s">
        <v>225</v>
      </c>
      <c r="M15" s="214"/>
      <c r="N15" s="811">
        <v>3</v>
      </c>
      <c r="O15" s="811"/>
      <c r="P15" s="95"/>
    </row>
    <row r="16" spans="1:16" s="216" customFormat="1">
      <c r="A16" s="218" t="e">
        <f>#REF!</f>
        <v>#REF!</v>
      </c>
      <c r="B16" s="311" t="e">
        <f>#REF!</f>
        <v>#REF!</v>
      </c>
      <c r="C16" s="218" t="e">
        <f>#REF!</f>
        <v>#REF!</v>
      </c>
      <c r="D16" s="218" t="e">
        <f>#REF!</f>
        <v>#REF!</v>
      </c>
      <c r="E16" s="221"/>
      <c r="F16" s="255"/>
      <c r="G16" s="256"/>
      <c r="H16" s="208"/>
      <c r="I16" s="208"/>
      <c r="J16" s="208"/>
      <c r="K16" s="208"/>
      <c r="L16" s="208"/>
      <c r="M16" s="190"/>
      <c r="N16" s="812"/>
      <c r="O16" s="812"/>
      <c r="P16" s="215"/>
    </row>
    <row r="17" spans="1:16" s="216" customFormat="1" ht="35.1" customHeight="1">
      <c r="A17" s="218" t="e">
        <f>#REF!</f>
        <v>#REF!</v>
      </c>
      <c r="B17" s="311" t="e">
        <f>#REF!</f>
        <v>#REF!</v>
      </c>
      <c r="C17" s="218" t="e">
        <f>#REF!</f>
        <v>#REF!</v>
      </c>
      <c r="D17" s="218" t="e">
        <f>#REF!</f>
        <v>#REF!</v>
      </c>
      <c r="E17" s="308" t="e">
        <f>#REF!</f>
        <v>#REF!</v>
      </c>
      <c r="F17" s="296" t="e">
        <f>IF(E17=0, "Included", IF(ISERROR(D17*E17), E17, D17*E17))</f>
        <v>#REF!</v>
      </c>
      <c r="G17" s="151"/>
      <c r="M17" s="190"/>
      <c r="N17" s="804" t="e">
        <f>D17-(D17*$O$9)</f>
        <v>#REF!</v>
      </c>
      <c r="O17" s="804"/>
      <c r="P17" s="215"/>
    </row>
    <row r="18" spans="1:16" s="216" customFormat="1" ht="35.1" customHeight="1">
      <c r="A18" s="218" t="e">
        <f>#REF!</f>
        <v>#REF!</v>
      </c>
      <c r="B18" s="311" t="e">
        <f>#REF!</f>
        <v>#REF!</v>
      </c>
      <c r="C18" s="218" t="e">
        <f>#REF!</f>
        <v>#REF!</v>
      </c>
      <c r="D18" s="218" t="e">
        <f>#REF!</f>
        <v>#REF!</v>
      </c>
      <c r="E18" s="308" t="e">
        <f>#REF!</f>
        <v>#REF!</v>
      </c>
      <c r="F18" s="296" t="e">
        <f>IF(E18=0, "Included", IF(ISERROR(D18*E18), E18, D18*E18))</f>
        <v>#REF!</v>
      </c>
      <c r="G18" s="151"/>
      <c r="M18" s="190"/>
      <c r="N18" s="809"/>
      <c r="O18" s="809"/>
      <c r="P18" s="215"/>
    </row>
    <row r="19" spans="1:16" s="216" customFormat="1" ht="35.1" customHeight="1">
      <c r="A19" s="218" t="e">
        <f>#REF!</f>
        <v>#REF!</v>
      </c>
      <c r="B19" s="311" t="e">
        <f>#REF!</f>
        <v>#REF!</v>
      </c>
      <c r="C19" s="218" t="e">
        <f>#REF!</f>
        <v>#REF!</v>
      </c>
      <c r="D19" s="218" t="e">
        <f>#REF!</f>
        <v>#REF!</v>
      </c>
      <c r="E19" s="308" t="e">
        <f>#REF!</f>
        <v>#REF!</v>
      </c>
      <c r="F19" s="296" t="e">
        <f>IF(E19=0, "Included", IF(ISERROR(D19*E19), E19, D19*E19))</f>
        <v>#REF!</v>
      </c>
      <c r="G19" s="151"/>
      <c r="M19" s="190"/>
      <c r="N19" s="191"/>
      <c r="O19" s="191"/>
      <c r="P19" s="215"/>
    </row>
    <row r="20" spans="1:16" s="216" customFormat="1" ht="35.1" customHeight="1">
      <c r="A20" s="218" t="e">
        <f>#REF!</f>
        <v>#REF!</v>
      </c>
      <c r="B20" s="311" t="e">
        <f>#REF!</f>
        <v>#REF!</v>
      </c>
      <c r="C20" s="218" t="e">
        <f>#REF!</f>
        <v>#REF!</v>
      </c>
      <c r="D20" s="218" t="e">
        <f>#REF!</f>
        <v>#REF!</v>
      </c>
      <c r="E20" s="308" t="e">
        <f>#REF!</f>
        <v>#REF!</v>
      </c>
      <c r="F20" s="296" t="e">
        <f>IF(E20=0, "Included", IF(ISERROR(D20*E20), E20, D20*E20))</f>
        <v>#REF!</v>
      </c>
      <c r="G20" s="151"/>
      <c r="M20" s="190"/>
      <c r="N20" s="191"/>
      <c r="O20" s="191"/>
      <c r="P20" s="215"/>
    </row>
    <row r="21" spans="1:16" ht="19.5" customHeight="1">
      <c r="A21" s="100"/>
      <c r="B21" s="805" t="s">
        <v>256</v>
      </c>
      <c r="C21" s="806"/>
      <c r="D21" s="806"/>
      <c r="E21" s="219"/>
      <c r="F21" s="297" t="e">
        <f>SUM(F17:F20)</f>
        <v>#REF!</v>
      </c>
      <c r="N21" s="804" t="e">
        <f>ROUND((#REF!+#REF!+#REF!),0)</f>
        <v>#REF!</v>
      </c>
      <c r="O21" s="804"/>
      <c r="P21" s="25"/>
    </row>
    <row r="22" spans="1:16">
      <c r="A22" s="101"/>
      <c r="B22" s="102"/>
      <c r="C22" s="102"/>
      <c r="D22" s="95"/>
      <c r="E22" s="95"/>
      <c r="F22" s="95"/>
      <c r="N22" s="192" t="s">
        <v>134</v>
      </c>
      <c r="O22" s="193" t="e">
        <f>D21-N21</f>
        <v>#REF!</v>
      </c>
    </row>
    <row r="23" spans="1:16" ht="33.75" customHeight="1">
      <c r="A23" s="807" t="s">
        <v>171</v>
      </c>
      <c r="B23" s="807"/>
      <c r="C23" s="807"/>
      <c r="D23" s="807"/>
      <c r="E23" s="808"/>
      <c r="F23" s="808"/>
      <c r="N23" s="192"/>
      <c r="O23" s="193"/>
    </row>
    <row r="24" spans="1:16">
      <c r="A24" s="101"/>
      <c r="B24" s="102"/>
      <c r="C24" s="102"/>
      <c r="D24" s="95"/>
      <c r="E24" s="95"/>
      <c r="F24" s="95"/>
      <c r="N24" s="192"/>
      <c r="O24" s="193"/>
    </row>
    <row r="25" spans="1:16" ht="33" customHeight="1">
      <c r="A25" s="87" t="s">
        <v>226</v>
      </c>
      <c r="B25" s="121">
        <f>'Sch-1'!G101</f>
        <v>0</v>
      </c>
      <c r="C25" s="121"/>
      <c r="D25" s="88"/>
      <c r="E25" s="89" t="s">
        <v>228</v>
      </c>
      <c r="F25" s="90"/>
    </row>
    <row r="26" spans="1:16" ht="33" customHeight="1">
      <c r="A26" s="87" t="s">
        <v>227</v>
      </c>
      <c r="B26" s="103">
        <f>'Sch-1'!G102</f>
        <v>0</v>
      </c>
      <c r="C26" s="103"/>
      <c r="D26" s="28"/>
      <c r="E26" s="89" t="s">
        <v>229</v>
      </c>
      <c r="F26" s="103" t="str">
        <f>'Sch-1'!M101</f>
        <v/>
      </c>
    </row>
    <row r="27" spans="1:16" ht="33" customHeight="1">
      <c r="A27" s="84"/>
      <c r="B27" s="83"/>
      <c r="C27" s="83"/>
      <c r="D27" s="28"/>
      <c r="E27" s="89" t="s">
        <v>230</v>
      </c>
      <c r="F27" s="103" t="str">
        <f>'Sch-1'!M102</f>
        <v/>
      </c>
    </row>
    <row r="28" spans="1:16" ht="33" customHeight="1">
      <c r="A28" s="84"/>
      <c r="B28" s="83"/>
      <c r="C28" s="83"/>
      <c r="D28" s="28"/>
      <c r="E28" s="89" t="s">
        <v>231</v>
      </c>
      <c r="F28" s="90"/>
    </row>
  </sheetData>
  <sheetProtection password="E848" sheet="1" objects="1" scenarios="1" formatColumns="0" formatRows="0" selectLockedCells="1" selectUnlockedCells="1"/>
  <customSheetViews>
    <customSheetView guid="{9CA44E70-650F-49CD-967F-298619682CA2}"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1"/>
      <headerFooter alignWithMargins="0">
        <oddFooter>&amp;R&amp;"Book Antiqua,Bold"&amp;10Schedule-7/ Page &amp;P of &amp;N</oddFooter>
      </headerFooter>
    </customSheetView>
    <customSheetView guid="{C39F923C-6CD3-45D8-86F8-6C4D806DDD7E}"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2"/>
      <headerFooter alignWithMargins="0">
        <oddFooter>&amp;R&amp;"Book Antiqua,Bold"&amp;10Schedule-7/ Page &amp;P of &amp;N</oddFooter>
      </headerFooter>
    </customSheetView>
    <customSheetView guid="{B1277D53-29D6-4226-81E2-084FB62977B6}"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3"/>
      <headerFooter alignWithMargins="0">
        <oddFooter>&amp;R&amp;"Book Antiqua,Bold"&amp;10Schedule-7/ Page &amp;P of &amp;N</oddFooter>
      </headerFooter>
    </customSheetView>
    <customSheetView guid="{58D82F59-8CF6-455F-B9F4-081499FDF243}"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4"/>
      <headerFooter alignWithMargins="0">
        <oddFooter>&amp;R&amp;"Book Antiqua,Bold"&amp;10Schedule-7/ Page &amp;P of &amp;N</oddFooter>
      </headerFooter>
    </customSheetView>
    <customSheetView guid="{696D9240-6693-44E8-B9A4-2BFADD101EE2}"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5"/>
      <headerFooter alignWithMargins="0">
        <oddFooter>&amp;R&amp;"Book Antiqua,Bold"&amp;10Schedule-7/ Page &amp;P of &amp;N</oddFooter>
      </headerFooter>
    </customSheetView>
    <customSheetView guid="{B0EE7D76-5806-4718-BDAD-3A3EA691E5E4}"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6"/>
      <headerFooter alignWithMargins="0">
        <oddFooter>&amp;R&amp;"Book Antiqua,Bold"&amp;10Schedule-7/ Page &amp;P of &amp;N</oddFooter>
      </headerFooter>
    </customSheetView>
    <customSheetView guid="{E95B21C1-D936-4435-AF6F-90CF0B6A7506}"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7"/>
      <headerFooter alignWithMargins="0">
        <oddFooter>&amp;R&amp;"Book Antiqua,Bold"&amp;10Schedule-7/ Page &amp;P of &amp;N</oddFooter>
      </headerFooter>
    </customSheetView>
    <customSheetView guid="{08A645C4-A23F-4400-B0CE-1685BC312A6F}" zeroValues="0" state="hidden">
      <selection activeCell="G25" sqref="G25"/>
      <colBreaks count="1" manualBreakCount="1">
        <brk id="6" max="1048575" man="1"/>
      </colBreaks>
      <pageMargins left="0.78740157480314998" right="0.38" top="0.61" bottom="0.57999999999999996" header="0.34" footer="0.36"/>
      <printOptions horizontalCentered="1"/>
      <pageSetup paperSize="9" orientation="portrait" horizontalDpi="300" verticalDpi="300" r:id="rId8"/>
      <headerFooter alignWithMargins="0">
        <oddFooter>&amp;R&amp;"Book Antiqua,Bold"&amp;10Schedule-7/ Page &amp;P of &amp;N</oddFooter>
      </headerFooter>
    </customSheetView>
  </customSheetViews>
  <mergeCells count="15">
    <mergeCell ref="N14:O14"/>
    <mergeCell ref="N15:O15"/>
    <mergeCell ref="N16:O16"/>
    <mergeCell ref="A3:F3"/>
    <mergeCell ref="A4:F4"/>
    <mergeCell ref="B8:D8"/>
    <mergeCell ref="B9:D9"/>
    <mergeCell ref="B10:D10"/>
    <mergeCell ref="B11:D11"/>
    <mergeCell ref="N17:O17"/>
    <mergeCell ref="B21:D21"/>
    <mergeCell ref="N21:O21"/>
    <mergeCell ref="A23:D23"/>
    <mergeCell ref="E23:F23"/>
    <mergeCell ref="N18:O18"/>
  </mergeCells>
  <phoneticPr fontId="30" type="noConversion"/>
  <printOptions horizontalCentered="1"/>
  <pageMargins left="0.78740157480314998" right="0.38" top="0.61" bottom="0.57999999999999996" header="0.34" footer="0.36"/>
  <pageSetup paperSize="9" orientation="portrait" horizontalDpi="300" verticalDpi="300" r:id="rId9"/>
  <headerFooter alignWithMargins="0">
    <oddFooter>&amp;R&amp;"Book Antiqua,Bold"&amp;10Schedule-7/ Page &amp;P of &amp;N</oddFooter>
  </headerFooter>
  <colBreaks count="1" manualBreakCount="1">
    <brk id="6" max="1048575" man="1"/>
  </colBreaks>
  <drawing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indexed="11"/>
  </sheetPr>
  <dimension ref="A1:W41"/>
  <sheetViews>
    <sheetView showZeros="0" topLeftCell="A16" zoomScale="95" zoomScaleNormal="95" zoomScaleSheetLayoutView="100" workbookViewId="0">
      <selection activeCell="G20" sqref="G20"/>
    </sheetView>
  </sheetViews>
  <sheetFormatPr defaultRowHeight="16.5"/>
  <cols>
    <col min="1" max="2" width="6.625" style="155" customWidth="1"/>
    <col min="3" max="3" width="21.625" style="155" customWidth="1"/>
    <col min="4" max="4" width="13.375" style="155" customWidth="1"/>
    <col min="5" max="5" width="23.625" style="155" customWidth="1"/>
    <col min="6" max="6" width="11.875" style="155" customWidth="1"/>
    <col min="7" max="7" width="14.375" style="155" customWidth="1"/>
    <col min="8" max="8" width="14.25" style="422" hidden="1" customWidth="1"/>
    <col min="9" max="9" width="14.25" style="423" hidden="1" customWidth="1"/>
    <col min="10" max="10" width="20" style="424" hidden="1" customWidth="1"/>
    <col min="11" max="13" width="14.25" style="424" hidden="1" customWidth="1"/>
    <col min="14" max="14" width="38.125" style="424" hidden="1" customWidth="1"/>
    <col min="15" max="15" width="21.25" style="424" hidden="1" customWidth="1"/>
    <col min="16" max="16" width="14.25" style="424" hidden="1" customWidth="1"/>
    <col min="17" max="17" width="14.25" style="302" customWidth="1"/>
    <col min="18" max="23" width="9" style="302"/>
    <col min="24" max="16384" width="9" style="82"/>
  </cols>
  <sheetData>
    <row r="1" spans="1:23" s="142" customFormat="1" ht="39.950000000000003" customHeight="1">
      <c r="A1" s="834" t="s">
        <v>130</v>
      </c>
      <c r="B1" s="834"/>
      <c r="C1" s="834"/>
      <c r="D1" s="834"/>
      <c r="E1" s="834"/>
      <c r="F1" s="834"/>
      <c r="G1" s="834"/>
      <c r="H1" s="419"/>
      <c r="I1" s="420"/>
      <c r="J1" s="421"/>
      <c r="K1" s="421"/>
      <c r="L1" s="421"/>
      <c r="M1" s="421"/>
      <c r="N1" s="421"/>
      <c r="O1" s="421"/>
      <c r="P1" s="421"/>
      <c r="Q1" s="301"/>
      <c r="R1" s="301"/>
      <c r="S1" s="301"/>
      <c r="T1" s="301"/>
      <c r="U1" s="301"/>
      <c r="V1" s="301"/>
      <c r="W1" s="301"/>
    </row>
    <row r="2" spans="1:23" ht="18" customHeight="1">
      <c r="A2" s="77" t="str">
        <f>Cover!B3</f>
        <v>Specification No.: ODP/BB/C&amp;M-4155/OT-02/RFx No. 5002004411/25-26</v>
      </c>
      <c r="B2" s="77"/>
      <c r="C2" s="78"/>
      <c r="D2" s="79"/>
      <c r="E2" s="79"/>
      <c r="F2" s="79"/>
      <c r="G2" s="81" t="s">
        <v>129</v>
      </c>
    </row>
    <row r="3" spans="1:23" ht="18" customHeight="1">
      <c r="A3" s="148"/>
      <c r="B3" s="148"/>
      <c r="C3" s="149"/>
      <c r="D3" s="150"/>
      <c r="E3" s="150"/>
      <c r="F3" s="150"/>
      <c r="G3" s="151"/>
    </row>
    <row r="4" spans="1:23" ht="18.95" customHeight="1">
      <c r="A4" s="837" t="s">
        <v>123</v>
      </c>
      <c r="B4" s="837"/>
      <c r="C4" s="837"/>
      <c r="D4" s="837"/>
      <c r="E4" s="837"/>
      <c r="F4" s="837"/>
      <c r="G4" s="837"/>
    </row>
    <row r="5" spans="1:23" ht="21" customHeight="1">
      <c r="A5" s="151" t="s">
        <v>216</v>
      </c>
      <c r="B5" s="152"/>
      <c r="C5" s="143"/>
      <c r="D5" s="143"/>
      <c r="E5" s="143"/>
      <c r="F5" s="143"/>
      <c r="G5" s="143"/>
    </row>
    <row r="6" spans="1:23" ht="21" customHeight="1">
      <c r="A6" s="461" t="s">
        <v>454</v>
      </c>
      <c r="B6" s="460"/>
      <c r="C6" s="462"/>
      <c r="D6" s="143"/>
      <c r="E6" s="143"/>
      <c r="F6" s="143"/>
      <c r="G6" s="143"/>
    </row>
    <row r="7" spans="1:23" ht="21" customHeight="1">
      <c r="A7" s="461" t="s">
        <v>407</v>
      </c>
      <c r="B7" s="460"/>
      <c r="C7" s="462"/>
      <c r="D7" s="143"/>
      <c r="E7" s="143"/>
      <c r="F7" s="143"/>
      <c r="G7" s="143"/>
    </row>
    <row r="8" spans="1:23" ht="21" customHeight="1">
      <c r="A8" s="461" t="s">
        <v>451</v>
      </c>
      <c r="B8" s="460"/>
      <c r="C8" s="462"/>
      <c r="D8" s="143"/>
      <c r="E8" s="143"/>
      <c r="F8" s="143"/>
      <c r="G8" s="143"/>
    </row>
    <row r="9" spans="1:23" ht="21" customHeight="1">
      <c r="A9" s="461" t="s">
        <v>452</v>
      </c>
      <c r="B9" s="460"/>
      <c r="C9" s="462"/>
      <c r="D9" s="143"/>
      <c r="E9" s="143"/>
      <c r="F9" s="143"/>
      <c r="G9" s="143"/>
    </row>
    <row r="10" spans="1:23" ht="21" customHeight="1">
      <c r="A10" s="461" t="s">
        <v>453</v>
      </c>
      <c r="B10" s="460"/>
      <c r="C10" s="462"/>
      <c r="D10" s="143"/>
      <c r="E10" s="143"/>
      <c r="F10" s="143"/>
      <c r="G10" s="143"/>
    </row>
    <row r="11" spans="1:23" ht="21" customHeight="1">
      <c r="A11" s="143"/>
      <c r="B11" s="143"/>
      <c r="C11" s="143"/>
      <c r="D11" s="143"/>
      <c r="E11" s="143"/>
      <c r="F11" s="143"/>
      <c r="G11" s="143"/>
    </row>
    <row r="12" spans="1:23" ht="52.5" customHeight="1">
      <c r="A12" s="468" t="s">
        <v>124</v>
      </c>
      <c r="B12" s="468"/>
      <c r="C12" s="835" t="str">
        <f>Cover!$B$2</f>
        <v xml:space="preserve">Diversion of 220kV Budhipadar-Korba S/C line #3 &amp; 765kV Angul-Sundargarh S/C line # 1 due to NH 49 Jharsuguda bypass Road diversion work (Deposit work On Behalf of NHAI).
</v>
      </c>
      <c r="D12" s="835"/>
      <c r="E12" s="835"/>
      <c r="F12" s="835"/>
      <c r="G12" s="835"/>
    </row>
    <row r="13" spans="1:23" ht="21" customHeight="1">
      <c r="A13" s="153" t="s">
        <v>122</v>
      </c>
      <c r="B13" s="153"/>
      <c r="C13" s="154"/>
      <c r="D13" s="153"/>
      <c r="E13" s="153"/>
      <c r="F13" s="153"/>
      <c r="G13" s="153"/>
    </row>
    <row r="14" spans="1:23" ht="55.5" customHeight="1">
      <c r="A14" s="836" t="s">
        <v>125</v>
      </c>
      <c r="B14" s="836"/>
      <c r="C14" s="836"/>
      <c r="D14" s="836"/>
      <c r="E14" s="836"/>
      <c r="F14" s="836"/>
      <c r="G14" s="836"/>
      <c r="J14" s="838" t="s">
        <v>321</v>
      </c>
      <c r="K14" s="838"/>
      <c r="L14" s="838"/>
      <c r="M14" s="838"/>
      <c r="N14" s="425" t="s">
        <v>322</v>
      </c>
    </row>
    <row r="15" spans="1:23" ht="69.95" customHeight="1">
      <c r="B15" s="161">
        <v>1</v>
      </c>
      <c r="C15" s="814" t="s">
        <v>318</v>
      </c>
      <c r="D15" s="815"/>
      <c r="E15" s="815"/>
      <c r="F15" s="816"/>
      <c r="G15" s="304"/>
      <c r="I15" s="426" t="e">
        <f>'Sch-1'!M95+'Sch-2'!G90+#REF!</f>
        <v>#REF!</v>
      </c>
      <c r="J15" s="427" t="e">
        <f>IF(I15=0,0,G15/I15)</f>
        <v>#REF!</v>
      </c>
    </row>
    <row r="16" spans="1:23" ht="69.95" customHeight="1">
      <c r="B16" s="161">
        <v>2</v>
      </c>
      <c r="C16" s="814" t="s">
        <v>319</v>
      </c>
      <c r="D16" s="815"/>
      <c r="E16" s="815"/>
      <c r="F16" s="816"/>
      <c r="G16" s="167"/>
      <c r="I16" s="428" t="e">
        <f>'Sch-1'!M95+'Sch-2'!G90+#REF!</f>
        <v>#REF!</v>
      </c>
      <c r="J16" s="429">
        <f>G16</f>
        <v>0</v>
      </c>
    </row>
    <row r="17" spans="1:23" s="145" customFormat="1" ht="54.95" customHeight="1">
      <c r="B17" s="162">
        <v>3</v>
      </c>
      <c r="C17" s="817" t="s">
        <v>147</v>
      </c>
      <c r="D17" s="818"/>
      <c r="E17" s="818"/>
      <c r="F17" s="819"/>
      <c r="G17" s="165"/>
      <c r="H17" s="422"/>
      <c r="I17" s="422"/>
      <c r="J17" s="430"/>
      <c r="K17" s="430"/>
      <c r="L17" s="430"/>
      <c r="M17" s="430"/>
      <c r="N17" s="430"/>
      <c r="O17" s="430"/>
      <c r="P17" s="430"/>
      <c r="Q17" s="303"/>
      <c r="R17" s="303"/>
      <c r="S17" s="303"/>
      <c r="T17" s="303"/>
      <c r="U17" s="303"/>
      <c r="V17" s="303"/>
      <c r="W17" s="303"/>
    </row>
    <row r="18" spans="1:23" s="145" customFormat="1" ht="21" customHeight="1">
      <c r="B18" s="159"/>
      <c r="C18" s="174" t="s">
        <v>138</v>
      </c>
      <c r="D18" s="157"/>
      <c r="E18" s="166"/>
      <c r="F18" s="176" t="s">
        <v>177</v>
      </c>
      <c r="G18" s="305"/>
      <c r="H18" s="422"/>
      <c r="I18" s="431">
        <f>'Sch-1'!M99</f>
        <v>0</v>
      </c>
      <c r="J18" s="432">
        <f>IF(I18=0,0,G18/I18)</f>
        <v>0</v>
      </c>
      <c r="K18" s="430"/>
      <c r="L18" s="430"/>
      <c r="M18" s="430"/>
      <c r="N18" s="433" t="s">
        <v>332</v>
      </c>
      <c r="O18" s="432" t="e">
        <f>J15+J16+J18+J24</f>
        <v>#REF!</v>
      </c>
      <c r="P18" s="430"/>
      <c r="Q18" s="303"/>
      <c r="R18" s="303"/>
      <c r="S18" s="303"/>
      <c r="T18" s="303"/>
      <c r="U18" s="303"/>
      <c r="V18" s="303"/>
      <c r="W18" s="303"/>
    </row>
    <row r="19" spans="1:23" s="145" customFormat="1" ht="21" customHeight="1">
      <c r="B19" s="159"/>
      <c r="C19" s="174" t="s">
        <v>139</v>
      </c>
      <c r="D19" s="157"/>
      <c r="E19" s="166"/>
      <c r="F19" s="176" t="s">
        <v>177</v>
      </c>
      <c r="G19" s="459"/>
      <c r="H19" s="422"/>
      <c r="I19" s="431" t="e">
        <f>'Sch-1'!M103</f>
        <v>#REF!</v>
      </c>
      <c r="J19" s="432" t="e">
        <f>IF(I19=0,0,G19/I19)</f>
        <v>#REF!</v>
      </c>
      <c r="K19" s="430"/>
      <c r="L19" s="430"/>
      <c r="M19" s="430"/>
      <c r="N19" s="433" t="s">
        <v>333</v>
      </c>
      <c r="O19" s="432" t="e">
        <f>J15+J16+J19+J25</f>
        <v>#REF!</v>
      </c>
      <c r="P19" s="430"/>
      <c r="Q19" s="303"/>
      <c r="R19" s="303"/>
      <c r="S19" s="303"/>
      <c r="T19" s="303"/>
      <c r="U19" s="303"/>
      <c r="V19" s="303"/>
      <c r="W19" s="303"/>
    </row>
    <row r="20" spans="1:23" s="145" customFormat="1" ht="21" customHeight="1">
      <c r="B20" s="159"/>
      <c r="C20" s="174" t="s">
        <v>126</v>
      </c>
      <c r="D20" s="157"/>
      <c r="E20" s="166"/>
      <c r="F20" s="176" t="s">
        <v>177</v>
      </c>
      <c r="G20" s="305"/>
      <c r="H20" s="422"/>
      <c r="I20" s="431">
        <f>'Sch-2'!G90</f>
        <v>0</v>
      </c>
      <c r="J20" s="432">
        <f>IF(I20=0,0,G20/I20)</f>
        <v>0</v>
      </c>
      <c r="K20" s="430"/>
      <c r="L20" s="430"/>
      <c r="M20" s="430"/>
      <c r="N20" s="433" t="s">
        <v>126</v>
      </c>
      <c r="O20" s="432" t="e">
        <f>J15+J16+J20+J26</f>
        <v>#REF!</v>
      </c>
      <c r="P20" s="430"/>
      <c r="Q20" s="303"/>
      <c r="R20" s="303"/>
      <c r="S20" s="303"/>
      <c r="T20" s="303"/>
      <c r="U20" s="303"/>
      <c r="V20" s="303"/>
      <c r="W20" s="303"/>
    </row>
    <row r="21" spans="1:23" s="145" customFormat="1" ht="21" customHeight="1">
      <c r="B21" s="159"/>
      <c r="C21" s="174" t="s">
        <v>127</v>
      </c>
      <c r="D21" s="157"/>
      <c r="E21" s="166"/>
      <c r="F21" s="177" t="s">
        <v>177</v>
      </c>
      <c r="G21" s="305"/>
      <c r="H21" s="422"/>
      <c r="I21" s="422"/>
      <c r="J21" s="432">
        <f>IF(I21=0,0,G21/I21)</f>
        <v>0</v>
      </c>
      <c r="K21" s="430"/>
      <c r="L21" s="430"/>
      <c r="M21" s="430"/>
      <c r="N21" s="433" t="s">
        <v>127</v>
      </c>
      <c r="O21" s="432"/>
      <c r="P21" s="430"/>
      <c r="Q21" s="303"/>
      <c r="R21" s="303"/>
      <c r="S21" s="303"/>
      <c r="T21" s="303"/>
      <c r="U21" s="303"/>
      <c r="V21" s="303"/>
      <c r="W21" s="303"/>
    </row>
    <row r="22" spans="1:23" s="145" customFormat="1" ht="21" hidden="1" customHeight="1">
      <c r="B22" s="160"/>
      <c r="C22" s="300" t="s">
        <v>320</v>
      </c>
      <c r="D22" s="158"/>
      <c r="E22" s="166"/>
      <c r="F22" s="177" t="s">
        <v>177</v>
      </c>
      <c r="G22" s="306"/>
      <c r="H22" s="422"/>
      <c r="I22" s="431" t="e">
        <f>#REF!</f>
        <v>#REF!</v>
      </c>
      <c r="J22" s="432" t="e">
        <f>IF(I22=0,0,G22/I22)</f>
        <v>#REF!</v>
      </c>
      <c r="K22" s="430"/>
      <c r="L22" s="430"/>
      <c r="M22" s="430"/>
      <c r="N22" s="434" t="s">
        <v>320</v>
      </c>
      <c r="O22" s="432" t="e">
        <f>J15+J16+J22+J28</f>
        <v>#REF!</v>
      </c>
      <c r="P22" s="430"/>
      <c r="Q22" s="303"/>
      <c r="R22" s="303"/>
      <c r="S22" s="303"/>
      <c r="T22" s="303"/>
      <c r="U22" s="303"/>
      <c r="V22" s="303"/>
      <c r="W22" s="303"/>
    </row>
    <row r="23" spans="1:23" s="145" customFormat="1" ht="54.95" customHeight="1">
      <c r="B23" s="162">
        <v>4</v>
      </c>
      <c r="C23" s="820" t="s">
        <v>148</v>
      </c>
      <c r="D23" s="821"/>
      <c r="E23" s="821"/>
      <c r="F23" s="822"/>
      <c r="G23" s="165"/>
      <c r="H23" s="422"/>
      <c r="I23" s="422"/>
      <c r="J23" s="430"/>
      <c r="K23" s="430"/>
      <c r="L23" s="430"/>
      <c r="M23" s="430"/>
      <c r="N23" s="430"/>
      <c r="O23" s="430"/>
      <c r="P23" s="430"/>
      <c r="Q23" s="303"/>
      <c r="R23" s="303"/>
      <c r="S23" s="303"/>
      <c r="T23" s="303"/>
      <c r="U23" s="303"/>
      <c r="V23" s="303"/>
      <c r="W23" s="303"/>
    </row>
    <row r="24" spans="1:23" s="145" customFormat="1" ht="21" customHeight="1">
      <c r="A24" s="144"/>
      <c r="B24" s="159"/>
      <c r="C24" s="174" t="s">
        <v>138</v>
      </c>
      <c r="D24" s="157"/>
      <c r="E24" s="175"/>
      <c r="F24" s="176" t="s">
        <v>178</v>
      </c>
      <c r="G24" s="181"/>
      <c r="H24" s="422"/>
      <c r="I24" s="431">
        <f>'Sch-1'!M99</f>
        <v>0</v>
      </c>
      <c r="J24" s="435">
        <f>G24</f>
        <v>0</v>
      </c>
      <c r="K24" s="430"/>
      <c r="L24" s="430"/>
      <c r="M24" s="430"/>
      <c r="N24" s="430"/>
      <c r="O24" s="430"/>
      <c r="P24" s="430"/>
      <c r="Q24" s="303"/>
      <c r="R24" s="303"/>
      <c r="S24" s="303"/>
      <c r="T24" s="303"/>
      <c r="U24" s="303"/>
      <c r="V24" s="303"/>
      <c r="W24" s="303"/>
    </row>
    <row r="25" spans="1:23" s="145" customFormat="1" ht="21" customHeight="1">
      <c r="A25" s="144"/>
      <c r="B25" s="159"/>
      <c r="C25" s="174" t="s">
        <v>139</v>
      </c>
      <c r="D25" s="157"/>
      <c r="E25" s="175"/>
      <c r="F25" s="176" t="s">
        <v>178</v>
      </c>
      <c r="G25" s="181"/>
      <c r="H25" s="422"/>
      <c r="I25" s="431" t="e">
        <f>'Sch-1'!M103</f>
        <v>#REF!</v>
      </c>
      <c r="J25" s="435">
        <f>G25</f>
        <v>0</v>
      </c>
      <c r="K25" s="430"/>
      <c r="L25" s="430"/>
      <c r="M25" s="430"/>
      <c r="N25" s="430"/>
      <c r="O25" s="430"/>
      <c r="P25" s="430"/>
      <c r="Q25" s="303"/>
      <c r="R25" s="303"/>
      <c r="S25" s="303"/>
      <c r="T25" s="303"/>
      <c r="U25" s="303"/>
      <c r="V25" s="303"/>
      <c r="W25" s="303"/>
    </row>
    <row r="26" spans="1:23" s="145" customFormat="1" ht="21" customHeight="1">
      <c r="A26" s="144"/>
      <c r="B26" s="159"/>
      <c r="C26" s="174" t="s">
        <v>126</v>
      </c>
      <c r="D26" s="157"/>
      <c r="E26" s="175"/>
      <c r="F26" s="176" t="s">
        <v>178</v>
      </c>
      <c r="G26" s="181"/>
      <c r="H26" s="422"/>
      <c r="I26" s="431">
        <f>'Sch-2'!G90</f>
        <v>0</v>
      </c>
      <c r="J26" s="435">
        <f>G26</f>
        <v>0</v>
      </c>
      <c r="K26" s="430"/>
      <c r="L26" s="430"/>
      <c r="M26" s="430"/>
      <c r="N26" s="430"/>
      <c r="O26" s="430"/>
      <c r="P26" s="430"/>
      <c r="Q26" s="303"/>
      <c r="R26" s="303"/>
      <c r="S26" s="303"/>
      <c r="T26" s="303"/>
      <c r="U26" s="303"/>
      <c r="V26" s="303"/>
      <c r="W26" s="303"/>
    </row>
    <row r="27" spans="1:23" s="145" customFormat="1" ht="21" customHeight="1">
      <c r="A27" s="144"/>
      <c r="B27" s="159"/>
      <c r="C27" s="174" t="s">
        <v>127</v>
      </c>
      <c r="D27" s="157"/>
      <c r="E27" s="175"/>
      <c r="F27" s="176" t="s">
        <v>178</v>
      </c>
      <c r="G27" s="181"/>
      <c r="H27" s="422"/>
      <c r="I27" s="422"/>
      <c r="J27" s="435">
        <f>G27</f>
        <v>0</v>
      </c>
      <c r="K27" s="430"/>
      <c r="L27" s="430"/>
      <c r="M27" s="430"/>
      <c r="N27" s="430"/>
      <c r="O27" s="430"/>
      <c r="P27" s="430"/>
      <c r="Q27" s="303"/>
      <c r="R27" s="303"/>
      <c r="S27" s="303"/>
      <c r="T27" s="303"/>
      <c r="U27" s="303"/>
      <c r="V27" s="303"/>
      <c r="W27" s="303"/>
    </row>
    <row r="28" spans="1:23" s="145" customFormat="1" ht="21" hidden="1" customHeight="1">
      <c r="A28" s="144"/>
      <c r="B28" s="160"/>
      <c r="C28" s="300" t="s">
        <v>320</v>
      </c>
      <c r="D28" s="158"/>
      <c r="E28" s="178"/>
      <c r="F28" s="177" t="s">
        <v>178</v>
      </c>
      <c r="G28" s="182"/>
      <c r="H28" s="422"/>
      <c r="I28" s="431" t="e">
        <f>#REF!</f>
        <v>#REF!</v>
      </c>
      <c r="J28" s="435">
        <f>G28</f>
        <v>0</v>
      </c>
      <c r="K28" s="430"/>
      <c r="L28" s="430"/>
      <c r="M28" s="430"/>
      <c r="N28" s="430"/>
      <c r="O28" s="430"/>
      <c r="P28" s="430"/>
      <c r="Q28" s="303"/>
      <c r="R28" s="303"/>
      <c r="S28" s="303"/>
      <c r="T28" s="303"/>
      <c r="U28" s="303"/>
      <c r="V28" s="303"/>
      <c r="W28" s="303"/>
    </row>
    <row r="29" spans="1:23" s="145" customFormat="1" ht="41.25" customHeight="1">
      <c r="A29" s="144"/>
      <c r="B29" s="826" t="s">
        <v>401</v>
      </c>
      <c r="C29" s="827"/>
      <c r="D29" s="827"/>
      <c r="E29" s="827"/>
      <c r="F29" s="827"/>
      <c r="G29" s="827"/>
      <c r="H29" s="422"/>
      <c r="I29" s="431" t="e">
        <f>'Sch-1'!M95+'Sch-2'!G90+#REF!</f>
        <v>#REF!</v>
      </c>
      <c r="J29" s="432" t="e">
        <f>IF(I29=0,0,G29/I29)</f>
        <v>#REF!</v>
      </c>
      <c r="K29" s="430"/>
      <c r="L29" s="430"/>
      <c r="M29" s="430"/>
      <c r="N29" s="430"/>
      <c r="O29" s="430"/>
      <c r="P29" s="430"/>
      <c r="Q29" s="303"/>
      <c r="R29" s="303"/>
      <c r="S29" s="303"/>
      <c r="T29" s="303"/>
      <c r="U29" s="303"/>
      <c r="V29" s="303"/>
      <c r="W29" s="303"/>
    </row>
    <row r="30" spans="1:23" s="145" customFormat="1" ht="24.75" hidden="1" customHeight="1">
      <c r="A30" s="144"/>
      <c r="B30" s="410">
        <v>5</v>
      </c>
      <c r="C30" s="828" t="s">
        <v>402</v>
      </c>
      <c r="D30" s="829"/>
      <c r="E30" s="829"/>
      <c r="F30" s="829"/>
      <c r="G30" s="830"/>
      <c r="H30" s="422"/>
      <c r="I30" s="431"/>
      <c r="J30" s="432"/>
      <c r="K30" s="430"/>
      <c r="L30" s="430"/>
      <c r="M30" s="430"/>
      <c r="N30" s="430"/>
      <c r="O30" s="430"/>
      <c r="P30" s="430"/>
      <c r="Q30" s="303"/>
      <c r="R30" s="303"/>
      <c r="S30" s="303"/>
      <c r="T30" s="303"/>
      <c r="U30" s="303"/>
      <c r="V30" s="303"/>
      <c r="W30" s="303"/>
    </row>
    <row r="31" spans="1:23" s="145" customFormat="1" ht="61.5" hidden="1" customHeight="1">
      <c r="A31" s="144"/>
      <c r="B31" s="831"/>
      <c r="C31" s="832"/>
      <c r="D31" s="832"/>
      <c r="E31" s="832"/>
      <c r="F31" s="832"/>
      <c r="G31" s="833"/>
      <c r="H31" s="422"/>
      <c r="I31" s="431" t="e">
        <f>'Sch-1'!M95+'Sch-2'!G90+#REF!</f>
        <v>#REF!</v>
      </c>
      <c r="J31" s="435">
        <f>G31</f>
        <v>0</v>
      </c>
      <c r="K31" s="430"/>
      <c r="L31" s="430"/>
      <c r="M31" s="430"/>
      <c r="N31" s="430"/>
      <c r="O31" s="430"/>
      <c r="P31" s="430"/>
      <c r="Q31" s="303"/>
      <c r="R31" s="303"/>
      <c r="S31" s="303"/>
      <c r="T31" s="303"/>
      <c r="U31" s="303"/>
      <c r="V31" s="303"/>
      <c r="W31" s="303"/>
    </row>
    <row r="32" spans="1:23" s="145" customFormat="1" ht="48.75" customHeight="1">
      <c r="A32" s="144"/>
      <c r="B32" s="823"/>
      <c r="C32" s="824"/>
      <c r="D32" s="824"/>
      <c r="E32" s="824"/>
      <c r="F32" s="824"/>
      <c r="G32" s="824"/>
      <c r="H32" s="422"/>
      <c r="I32" s="422"/>
      <c r="J32" s="430"/>
      <c r="K32" s="430"/>
      <c r="L32" s="430"/>
      <c r="M32" s="430"/>
      <c r="N32" s="430"/>
      <c r="O32" s="430"/>
      <c r="P32" s="430"/>
      <c r="Q32" s="303"/>
      <c r="R32" s="303"/>
      <c r="S32" s="303"/>
      <c r="T32" s="303"/>
      <c r="U32" s="303"/>
      <c r="V32" s="303"/>
      <c r="W32" s="303"/>
    </row>
    <row r="33" spans="1:23" s="145" customFormat="1" ht="33" customHeight="1">
      <c r="A33" s="147" t="s">
        <v>128</v>
      </c>
      <c r="B33" s="163"/>
      <c r="C33" s="156"/>
      <c r="E33" s="164"/>
      <c r="F33" s="164"/>
      <c r="G33" s="146"/>
      <c r="H33" s="422"/>
      <c r="I33" s="422"/>
      <c r="J33" s="430"/>
      <c r="K33" s="430"/>
      <c r="L33" s="430"/>
      <c r="M33" s="430"/>
      <c r="N33" s="430"/>
      <c r="O33" s="430"/>
      <c r="P33" s="430"/>
      <c r="Q33" s="303"/>
      <c r="R33" s="303"/>
      <c r="S33" s="303"/>
      <c r="T33" s="303"/>
      <c r="U33" s="303"/>
      <c r="V33" s="303"/>
      <c r="W33" s="303"/>
    </row>
    <row r="34" spans="1:23" s="145" customFormat="1" ht="33" customHeight="1">
      <c r="A34" s="28" t="s">
        <v>279</v>
      </c>
      <c r="B34" s="163"/>
      <c r="C34" s="156"/>
      <c r="E34" s="164"/>
      <c r="F34" s="164"/>
      <c r="G34" s="146"/>
      <c r="H34" s="422"/>
      <c r="I34" s="422"/>
      <c r="J34" s="430"/>
      <c r="K34" s="430"/>
      <c r="L34" s="430"/>
      <c r="M34" s="430"/>
      <c r="N34" s="430"/>
      <c r="O34" s="430"/>
      <c r="P34" s="430"/>
      <c r="Q34" s="303"/>
      <c r="R34" s="303"/>
      <c r="S34" s="303"/>
      <c r="T34" s="303"/>
      <c r="U34" s="303"/>
      <c r="V34" s="303"/>
      <c r="W34" s="303"/>
    </row>
    <row r="35" spans="1:23" s="145" customFormat="1" ht="33" customHeight="1">
      <c r="B35" s="28"/>
      <c r="D35" s="76"/>
      <c r="E35" s="83"/>
      <c r="F35" s="83"/>
      <c r="G35" s="83"/>
      <c r="H35" s="436"/>
      <c r="I35" s="422"/>
      <c r="J35" s="430"/>
      <c r="K35" s="430"/>
      <c r="L35" s="430"/>
      <c r="M35" s="430"/>
      <c r="N35" s="430"/>
      <c r="O35" s="430"/>
      <c r="P35" s="430"/>
      <c r="Q35" s="303"/>
      <c r="R35" s="303"/>
      <c r="S35" s="303"/>
      <c r="T35" s="303"/>
      <c r="U35" s="303"/>
      <c r="V35" s="303"/>
      <c r="W35" s="303"/>
    </row>
    <row r="36" spans="1:23" ht="33" customHeight="1">
      <c r="A36" s="109"/>
      <c r="B36" s="109"/>
      <c r="C36" s="118"/>
      <c r="D36" s="83"/>
      <c r="E36" s="28"/>
      <c r="F36" s="28"/>
      <c r="G36" s="90" t="s">
        <v>280</v>
      </c>
      <c r="H36" s="424"/>
    </row>
    <row r="37" spans="1:23" ht="33" customHeight="1">
      <c r="A37" s="109"/>
      <c r="B37" s="109"/>
      <c r="C37" s="118"/>
      <c r="D37" s="83"/>
      <c r="E37" s="28"/>
      <c r="F37" s="28"/>
      <c r="G37" s="90" t="str">
        <f>"For and on behalf of " &amp; 'Sch-1'!G8</f>
        <v xml:space="preserve">For and on behalf of </v>
      </c>
      <c r="H37" s="424"/>
    </row>
    <row r="38" spans="1:23" ht="33" customHeight="1">
      <c r="A38" s="107"/>
      <c r="B38" s="107"/>
      <c r="C38" s="107"/>
      <c r="D38" s="122"/>
      <c r="E38" s="114"/>
      <c r="F38" s="114"/>
      <c r="G38" s="82"/>
      <c r="H38" s="437"/>
    </row>
    <row r="39" spans="1:23" ht="33" customHeight="1">
      <c r="A39" s="141" t="s">
        <v>120</v>
      </c>
      <c r="B39" s="141"/>
      <c r="C39" s="122">
        <f>'Sch-1'!G101</f>
        <v>0</v>
      </c>
      <c r="D39" s="122"/>
      <c r="E39" s="114" t="s">
        <v>281</v>
      </c>
      <c r="F39" s="825" t="str">
        <f>'Sch-1'!M101</f>
        <v/>
      </c>
      <c r="G39" s="825"/>
      <c r="H39" s="424"/>
    </row>
    <row r="40" spans="1:23" ht="33" customHeight="1">
      <c r="A40" s="141" t="s">
        <v>121</v>
      </c>
      <c r="B40" s="141"/>
      <c r="C40" s="123">
        <f>'Sch-1'!G102</f>
        <v>0</v>
      </c>
      <c r="D40" s="124"/>
      <c r="E40" s="114" t="s">
        <v>282</v>
      </c>
      <c r="F40" s="825" t="str">
        <f>'Sch-1'!M102</f>
        <v/>
      </c>
      <c r="G40" s="825"/>
      <c r="H40" s="424"/>
    </row>
    <row r="41" spans="1:23" ht="33" customHeight="1">
      <c r="A41" s="109"/>
      <c r="B41" s="109"/>
      <c r="C41" s="109"/>
      <c r="D41" s="109"/>
      <c r="E41" s="114"/>
      <c r="F41" s="114"/>
      <c r="G41" s="408"/>
      <c r="H41" s="438"/>
    </row>
  </sheetData>
  <sheetProtection formatColumns="0" formatRows="0" selectLockedCells="1"/>
  <customSheetViews>
    <customSheetView guid="{9CA44E70-650F-49CD-967F-298619682CA2}" zeroValues="0" hiddenRows="1" hiddenColumns="1" topLeftCell="A17">
      <selection activeCell="G28" sqref="G28"/>
      <pageMargins left="0.72" right="0.49" top="0.62" bottom="0.52" header="0.32" footer="0.27"/>
      <pageSetup scale="96" orientation="portrait" r:id="rId1"/>
      <headerFooter alignWithMargins="0">
        <oddFooter>&amp;R&amp;"Book Antiqua,Bold"&amp;10Letter of Discount  / Page &amp;P of &amp;N</oddFooter>
      </headerFooter>
    </customSheetView>
    <customSheetView guid="{C39F923C-6CD3-45D8-86F8-6C4D806DDD7E}" zeroValues="0" hiddenRows="1" hiddenColumns="1" topLeftCell="A13">
      <selection activeCell="G15" sqref="G15"/>
      <pageMargins left="0.72" right="0.49" top="0.62" bottom="0.52" header="0.32" footer="0.27"/>
      <pageSetup scale="96" orientation="portrait" r:id="rId2"/>
      <headerFooter alignWithMargins="0">
        <oddFooter>&amp;R&amp;"Book Antiqua,Bold"&amp;10Letter of Discount  / Page &amp;P of &amp;N</oddFooter>
      </headerFooter>
    </customSheetView>
    <customSheetView guid="{B1277D53-29D6-4226-81E2-084FB62977B6}" zeroValues="0" hiddenRows="1" hiddenColumns="1" topLeftCell="A15">
      <selection activeCell="G15" sqref="G15"/>
      <pageMargins left="0.72" right="0.49" top="0.62" bottom="0.52" header="0.32" footer="0.27"/>
      <pageSetup scale="96" orientation="portrait" r:id="rId3"/>
      <headerFooter alignWithMargins="0">
        <oddFooter>&amp;R&amp;"Book Antiqua,Bold"&amp;10Letter of Discount  / Page &amp;P of &amp;N</oddFooter>
      </headerFooter>
    </customSheetView>
    <customSheetView guid="{58D82F59-8CF6-455F-B9F4-081499FDF243}" zeroValues="0" hiddenRows="1" hiddenColumns="1">
      <selection activeCell="G24" sqref="G24"/>
      <pageMargins left="0.72" right="0.49" top="0.62" bottom="0.52" header="0.32" footer="0.27"/>
      <pageSetup scale="96" orientation="portrait" r:id="rId4"/>
      <headerFooter alignWithMargins="0">
        <oddFooter>&amp;R&amp;"Book Antiqua,Bold"&amp;10Letter of Discount  / Page &amp;P of &amp;N</oddFooter>
      </headerFooter>
    </customSheetView>
    <customSheetView guid="{696D9240-6693-44E8-B9A4-2BFADD101EE2}" zeroValues="0" hiddenRows="1" hiddenColumns="1" topLeftCell="A4">
      <selection activeCell="G15" sqref="G15"/>
      <pageMargins left="0.72" right="0.49" top="0.62" bottom="0.52" header="0.32" footer="0.27"/>
      <pageSetup scale="96" orientation="portrait" r:id="rId5"/>
      <headerFooter alignWithMargins="0">
        <oddFooter>&amp;R&amp;"Book Antiqua,Bold"&amp;10Letter of Discount  / Page &amp;P of &amp;N</oddFooter>
      </headerFooter>
    </customSheetView>
    <customSheetView guid="{B0EE7D76-5806-4718-BDAD-3A3EA691E5E4}" zeroValues="0" hiddenRows="1" hiddenColumns="1">
      <selection activeCell="G24" sqref="G24"/>
      <pageMargins left="0.72" right="0.49" top="0.62" bottom="0.52" header="0.32" footer="0.27"/>
      <pageSetup scale="96" orientation="portrait" r:id="rId6"/>
      <headerFooter alignWithMargins="0">
        <oddFooter>&amp;R&amp;"Book Antiqua,Bold"&amp;10Letter of Discount  / Page &amp;P of &amp;N</oddFooter>
      </headerFooter>
    </customSheetView>
    <customSheetView guid="{E95B21C1-D936-4435-AF6F-90CF0B6A7506}" zeroValues="0" hiddenRows="1" hiddenColumns="1" topLeftCell="A15">
      <selection activeCell="G15" sqref="G15"/>
      <pageMargins left="0.72" right="0.49" top="0.62" bottom="0.52" header="0.32" footer="0.27"/>
      <pageSetup scale="96" orientation="portrait" r:id="rId7"/>
      <headerFooter alignWithMargins="0">
        <oddFooter>&amp;R&amp;"Book Antiqua,Bold"&amp;10Letter of Discount  / Page &amp;P of &amp;N</oddFooter>
      </headerFooter>
    </customSheetView>
    <customSheetView guid="{08A645C4-A23F-4400-B0CE-1685BC312A6F}" scale="95" zeroValues="0" printArea="1" hiddenRows="1" hiddenColumns="1" topLeftCell="A13">
      <selection activeCell="G24" sqref="G24:G26"/>
      <pageMargins left="0.72" right="0.49" top="0.62" bottom="0.52" header="0.32" footer="0.27"/>
      <pageSetup scale="96" orientation="portrait" r:id="rId8"/>
      <headerFooter alignWithMargins="0">
        <oddFooter>&amp;R&amp;"Book Antiqua,Bold"&amp;10Letter of Discount  / Page &amp;P of &amp;N</oddFooter>
      </headerFooter>
    </customSheetView>
  </customSheetViews>
  <mergeCells count="15">
    <mergeCell ref="A1:G1"/>
    <mergeCell ref="C12:G12"/>
    <mergeCell ref="A14:G14"/>
    <mergeCell ref="A4:G4"/>
    <mergeCell ref="J14:M14"/>
    <mergeCell ref="F39:G39"/>
    <mergeCell ref="B29:G29"/>
    <mergeCell ref="C30:G30"/>
    <mergeCell ref="B31:G31"/>
    <mergeCell ref="F40:G40"/>
    <mergeCell ref="C15:F15"/>
    <mergeCell ref="C16:F16"/>
    <mergeCell ref="C17:F17"/>
    <mergeCell ref="C23:F23"/>
    <mergeCell ref="B32:G32"/>
  </mergeCells>
  <phoneticPr fontId="3" type="noConversion"/>
  <dataValidations count="2">
    <dataValidation type="decimal" allowBlank="1" showInputMessage="1" showErrorMessage="1" error="Enter in percent only." sqref="G24:G28" xr:uid="{00000000-0002-0000-0E00-000000000000}">
      <formula1>0</formula1>
      <formula2>1</formula2>
    </dataValidation>
    <dataValidation operator="greaterThanOrEqual" allowBlank="1" showInputMessage="1" showErrorMessage="1" error="Enter numeric figures only." sqref="G18:G22" xr:uid="{00000000-0002-0000-0E00-000001000000}"/>
  </dataValidations>
  <pageMargins left="0.72" right="0.49" top="0.62" bottom="0.52" header="0.32" footer="0.27"/>
  <pageSetup scale="96" orientation="portrait" r:id="rId9"/>
  <headerFooter alignWithMargins="0">
    <oddFooter>&amp;R&amp;"Book Antiqua,Bold"&amp;10Letter of Discount  / Page &amp;P of &amp;N</oddFooter>
  </headerFooter>
  <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indexed="35"/>
  </sheetPr>
  <dimension ref="A1:F21"/>
  <sheetViews>
    <sheetView zoomScaleNormal="100" zoomScaleSheetLayoutView="100" workbookViewId="0">
      <selection activeCell="D13" sqref="D13"/>
    </sheetView>
  </sheetViews>
  <sheetFormatPr defaultRowHeight="16.5"/>
  <cols>
    <col min="1" max="1" width="9" style="287"/>
    <col min="2" max="2" width="26.875" style="94" customWidth="1"/>
    <col min="3" max="3" width="22.875" style="94" customWidth="1"/>
    <col min="4" max="5" width="15.625" style="94" customWidth="1"/>
    <col min="6" max="16384" width="9" style="76"/>
  </cols>
  <sheetData>
    <row r="1" spans="1:6">
      <c r="A1" s="276"/>
      <c r="B1" s="277"/>
      <c r="C1" s="277"/>
      <c r="D1" s="277"/>
      <c r="E1" s="277"/>
    </row>
    <row r="2" spans="1:6" ht="21.95" customHeight="1">
      <c r="A2" s="839" t="s">
        <v>287</v>
      </c>
      <c r="B2" s="839"/>
      <c r="C2" s="839"/>
      <c r="D2" s="839"/>
      <c r="E2" s="76"/>
    </row>
    <row r="3" spans="1:6">
      <c r="A3" s="276"/>
      <c r="B3" s="277"/>
      <c r="C3" s="277"/>
      <c r="D3" s="277"/>
      <c r="E3" s="277"/>
    </row>
    <row r="4" spans="1:6" ht="30">
      <c r="A4" s="98" t="s">
        <v>288</v>
      </c>
      <c r="B4" s="278" t="s">
        <v>289</v>
      </c>
      <c r="C4" s="98" t="s">
        <v>290</v>
      </c>
      <c r="D4" s="98" t="s">
        <v>291</v>
      </c>
      <c r="E4" s="98" t="s">
        <v>292</v>
      </c>
    </row>
    <row r="5" spans="1:6" ht="18" customHeight="1">
      <c r="A5" s="279" t="s">
        <v>293</v>
      </c>
      <c r="B5" s="279" t="s">
        <v>294</v>
      </c>
      <c r="C5" s="279" t="s">
        <v>295</v>
      </c>
      <c r="D5" s="279" t="s">
        <v>296</v>
      </c>
      <c r="E5" s="279" t="s">
        <v>297</v>
      </c>
    </row>
    <row r="6" spans="1:6" ht="45" customHeight="1">
      <c r="A6" s="280">
        <v>1</v>
      </c>
      <c r="B6" s="281"/>
      <c r="C6" s="282"/>
      <c r="D6" s="283"/>
      <c r="E6" s="284">
        <f t="shared" ref="E6:E15" si="0">C6*D6</f>
        <v>0</v>
      </c>
    </row>
    <row r="7" spans="1:6" ht="45" customHeight="1">
      <c r="A7" s="280">
        <v>2</v>
      </c>
      <c r="B7" s="281"/>
      <c r="C7" s="282"/>
      <c r="D7" s="283"/>
      <c r="E7" s="284">
        <f t="shared" si="0"/>
        <v>0</v>
      </c>
    </row>
    <row r="8" spans="1:6" ht="45" customHeight="1">
      <c r="A8" s="280">
        <v>3</v>
      </c>
      <c r="B8" s="281"/>
      <c r="C8" s="282"/>
      <c r="D8" s="283"/>
      <c r="E8" s="284">
        <f t="shared" si="0"/>
        <v>0</v>
      </c>
    </row>
    <row r="9" spans="1:6" ht="45" customHeight="1">
      <c r="A9" s="280">
        <v>4</v>
      </c>
      <c r="B9" s="281"/>
      <c r="C9" s="282"/>
      <c r="D9" s="283"/>
      <c r="E9" s="284">
        <f t="shared" si="0"/>
        <v>0</v>
      </c>
    </row>
    <row r="10" spans="1:6" ht="45" customHeight="1">
      <c r="A10" s="280">
        <v>5</v>
      </c>
      <c r="B10" s="281"/>
      <c r="C10" s="282"/>
      <c r="D10" s="283"/>
      <c r="E10" s="284">
        <f t="shared" si="0"/>
        <v>0</v>
      </c>
    </row>
    <row r="11" spans="1:6" ht="45" customHeight="1">
      <c r="A11" s="280">
        <v>6</v>
      </c>
      <c r="B11" s="281"/>
      <c r="C11" s="282"/>
      <c r="D11" s="283"/>
      <c r="E11" s="284">
        <f t="shared" si="0"/>
        <v>0</v>
      </c>
    </row>
    <row r="12" spans="1:6" ht="45" customHeight="1">
      <c r="A12" s="280">
        <v>7</v>
      </c>
      <c r="B12" s="281"/>
      <c r="C12" s="282"/>
      <c r="D12" s="283"/>
      <c r="E12" s="284">
        <f t="shared" si="0"/>
        <v>0</v>
      </c>
    </row>
    <row r="13" spans="1:6" ht="45" customHeight="1">
      <c r="A13" s="280">
        <v>8</v>
      </c>
      <c r="B13" s="281"/>
      <c r="C13" s="282"/>
      <c r="D13" s="283"/>
      <c r="E13" s="284">
        <f t="shared" si="0"/>
        <v>0</v>
      </c>
    </row>
    <row r="14" spans="1:6" ht="45" customHeight="1">
      <c r="A14" s="280">
        <v>9</v>
      </c>
      <c r="B14" s="281"/>
      <c r="C14" s="282"/>
      <c r="D14" s="283"/>
      <c r="E14" s="284">
        <f t="shared" si="0"/>
        <v>0</v>
      </c>
    </row>
    <row r="15" spans="1:6" ht="45" customHeight="1">
      <c r="A15" s="280">
        <v>10</v>
      </c>
      <c r="B15" s="281"/>
      <c r="C15" s="282"/>
      <c r="D15" s="283"/>
      <c r="E15" s="284">
        <f t="shared" si="0"/>
        <v>0</v>
      </c>
    </row>
    <row r="16" spans="1:6" ht="45" customHeight="1">
      <c r="A16" s="207"/>
      <c r="B16" s="285" t="s">
        <v>298</v>
      </c>
      <c r="C16" s="285"/>
      <c r="D16" s="285"/>
      <c r="E16" s="285">
        <f>SUM(E6:E15)</f>
        <v>0</v>
      </c>
      <c r="F16" s="286"/>
    </row>
    <row r="17" ht="30" customHeight="1"/>
    <row r="18" ht="30" customHeight="1"/>
    <row r="19" ht="30" customHeight="1"/>
    <row r="20" ht="30" customHeight="1"/>
    <row r="21" ht="30" customHeight="1"/>
  </sheetData>
  <sheetProtection password="8665" sheet="1" formatColumns="0" formatRows="0" selectLockedCells="1"/>
  <customSheetViews>
    <customSheetView guid="{9CA44E70-650F-49CD-967F-298619682CA2}" topLeftCell="A4">
      <selection activeCell="B6" sqref="B6"/>
      <pageMargins left="0.75" right="0.75" top="0.65" bottom="1" header="0.5" footer="0.5"/>
      <pageSetup orientation="portrait" r:id="rId1"/>
      <headerFooter alignWithMargins="0"/>
    </customSheetView>
    <customSheetView guid="{C39F923C-6CD3-45D8-86F8-6C4D806DDD7E}" showPageBreaks="1" printArea="1" view="pageBreakPreview">
      <selection activeCell="F45" sqref="F45"/>
      <pageMargins left="0.75" right="0.75" top="0.65" bottom="1" header="0.5" footer="0.5"/>
      <pageSetup orientation="portrait" r:id="rId2"/>
      <headerFooter alignWithMargins="0"/>
    </customSheetView>
    <customSheetView guid="{B1277D53-29D6-4226-81E2-084FB62977B6}" showPageBreaks="1" printArea="1" view="pageBreakPreview" topLeftCell="A8">
      <selection activeCell="B8" sqref="B8"/>
      <pageMargins left="0.75" right="0.75" top="0.65" bottom="1" header="0.5" footer="0.5"/>
      <pageSetup orientation="portrait" r:id="rId3"/>
      <headerFooter alignWithMargins="0"/>
    </customSheetView>
    <customSheetView guid="{58D82F59-8CF6-455F-B9F4-081499FDF243}" scale="70">
      <selection activeCell="C6" sqref="C6:D6"/>
      <pageMargins left="0.75" right="0.75" top="0.65" bottom="1" header="0.5" footer="0.5"/>
      <pageSetup orientation="portrait" r:id="rId4"/>
      <headerFooter alignWithMargins="0"/>
    </customSheetView>
    <customSheetView guid="{696D9240-6693-44E8-B9A4-2BFADD101EE2}" scale="70">
      <selection activeCell="C6" sqref="C6:D6"/>
      <pageMargins left="0.75" right="0.75" top="0.65" bottom="1" header="0.5" footer="0.5"/>
      <pageSetup orientation="portrait" r:id="rId5"/>
      <headerFooter alignWithMargins="0"/>
    </customSheetView>
    <customSheetView guid="{B0EE7D76-5806-4718-BDAD-3A3EA691E5E4}" scale="70">
      <selection activeCell="C6" sqref="C6:D6"/>
      <pageMargins left="0.75" right="0.75" top="0.65" bottom="1" header="0.5" footer="0.5"/>
      <pageSetup orientation="portrait" r:id="rId6"/>
      <headerFooter alignWithMargins="0"/>
    </customSheetView>
    <customSheetView guid="{E95B21C1-D936-4435-AF6F-90CF0B6A7506}" showPageBreaks="1" printArea="1" view="pageBreakPreview" topLeftCell="A8">
      <selection activeCell="B8" sqref="B8"/>
      <pageMargins left="0.75" right="0.75" top="0.65" bottom="1" header="0.5" footer="0.5"/>
      <pageSetup orientation="portrait" r:id="rId7"/>
      <headerFooter alignWithMargins="0"/>
    </customSheetView>
    <customSheetView guid="{08A645C4-A23F-4400-B0CE-1685BC312A6F}">
      <selection activeCell="B6" sqref="B6"/>
      <pageMargins left="0.75" right="0.75" top="0.65" bottom="1" header="0.5" footer="0.5"/>
      <pageSetup orientation="portrait" r:id="rId8"/>
      <headerFooter alignWithMargins="0"/>
    </customSheetView>
  </customSheetViews>
  <mergeCells count="1">
    <mergeCell ref="A2:D2"/>
  </mergeCells>
  <phoneticPr fontId="30" type="noConversion"/>
  <pageMargins left="0.75" right="0.75" top="0.65" bottom="1" header="0.5" footer="0.5"/>
  <pageSetup orientation="portrait" r:id="rId9"/>
  <headerFooter alignWithMargins="0"/>
  <drawing r:id="rId1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indexed="47"/>
  </sheetPr>
  <dimension ref="A1:F21"/>
  <sheetViews>
    <sheetView zoomScaleNormal="100" workbookViewId="0">
      <selection activeCell="D7" sqref="D7"/>
    </sheetView>
  </sheetViews>
  <sheetFormatPr defaultRowHeight="16.5"/>
  <cols>
    <col min="1" max="1" width="9" style="287"/>
    <col min="2" max="2" width="26.875" style="94" customWidth="1"/>
    <col min="3" max="3" width="22.875" style="94" customWidth="1"/>
    <col min="4" max="5" width="15.625" style="94" customWidth="1"/>
    <col min="6" max="16384" width="9" style="76"/>
  </cols>
  <sheetData>
    <row r="1" spans="1:6">
      <c r="A1" s="276"/>
      <c r="B1" s="277"/>
      <c r="C1" s="277"/>
      <c r="D1" s="277"/>
      <c r="E1" s="277"/>
    </row>
    <row r="2" spans="1:6" ht="21.95" customHeight="1">
      <c r="A2" s="839" t="s">
        <v>299</v>
      </c>
      <c r="B2" s="839"/>
      <c r="C2" s="839"/>
      <c r="D2" s="840"/>
      <c r="E2"/>
    </row>
    <row r="3" spans="1:6">
      <c r="A3" s="276"/>
      <c r="B3" s="277"/>
      <c r="C3" s="277"/>
      <c r="D3" s="277"/>
      <c r="E3" s="277"/>
    </row>
    <row r="4" spans="1:6" ht="30">
      <c r="A4" s="98" t="s">
        <v>288</v>
      </c>
      <c r="B4" s="278" t="s">
        <v>289</v>
      </c>
      <c r="C4" s="98" t="s">
        <v>300</v>
      </c>
      <c r="D4" s="98" t="s">
        <v>301</v>
      </c>
      <c r="E4" s="98" t="s">
        <v>262</v>
      </c>
    </row>
    <row r="5" spans="1:6" ht="18" customHeight="1">
      <c r="A5" s="279" t="s">
        <v>293</v>
      </c>
      <c r="B5" s="279" t="s">
        <v>294</v>
      </c>
      <c r="C5" s="279" t="s">
        <v>295</v>
      </c>
      <c r="D5" s="279" t="s">
        <v>296</v>
      </c>
      <c r="E5" s="279" t="s">
        <v>297</v>
      </c>
    </row>
    <row r="6" spans="1:6" ht="45" customHeight="1">
      <c r="A6" s="280">
        <v>1</v>
      </c>
      <c r="B6" s="281"/>
      <c r="C6" s="282"/>
      <c r="D6" s="283"/>
      <c r="E6" s="284">
        <f>C6*D6</f>
        <v>0</v>
      </c>
    </row>
    <row r="7" spans="1:6" ht="45" customHeight="1">
      <c r="A7" s="280">
        <v>2</v>
      </c>
      <c r="B7" s="281"/>
      <c r="C7" s="282"/>
      <c r="D7" s="283"/>
      <c r="E7" s="284">
        <f t="shared" ref="E7:E15" si="0">C7*D7</f>
        <v>0</v>
      </c>
    </row>
    <row r="8" spans="1:6" ht="45" customHeight="1">
      <c r="A8" s="280">
        <v>3</v>
      </c>
      <c r="B8" s="281"/>
      <c r="C8" s="282"/>
      <c r="D8" s="283"/>
      <c r="E8" s="284">
        <f t="shared" si="0"/>
        <v>0</v>
      </c>
    </row>
    <row r="9" spans="1:6" ht="45" customHeight="1">
      <c r="A9" s="280">
        <v>4</v>
      </c>
      <c r="B9" s="281"/>
      <c r="C9" s="282"/>
      <c r="D9" s="283"/>
      <c r="E9" s="284">
        <f t="shared" si="0"/>
        <v>0</v>
      </c>
    </row>
    <row r="10" spans="1:6" ht="45" customHeight="1">
      <c r="A10" s="280">
        <v>5</v>
      </c>
      <c r="B10" s="281"/>
      <c r="C10" s="282"/>
      <c r="D10" s="283"/>
      <c r="E10" s="284">
        <f t="shared" si="0"/>
        <v>0</v>
      </c>
    </row>
    <row r="11" spans="1:6" ht="45" customHeight="1">
      <c r="A11" s="280">
        <v>6</v>
      </c>
      <c r="B11" s="281"/>
      <c r="C11" s="282"/>
      <c r="D11" s="283"/>
      <c r="E11" s="284">
        <f t="shared" si="0"/>
        <v>0</v>
      </c>
    </row>
    <row r="12" spans="1:6" ht="45" customHeight="1">
      <c r="A12" s="280">
        <v>7</v>
      </c>
      <c r="B12" s="281"/>
      <c r="C12" s="282"/>
      <c r="D12" s="283"/>
      <c r="E12" s="284">
        <f t="shared" si="0"/>
        <v>0</v>
      </c>
    </row>
    <row r="13" spans="1:6" ht="45" customHeight="1">
      <c r="A13" s="280">
        <v>8</v>
      </c>
      <c r="B13" s="281"/>
      <c r="C13" s="282"/>
      <c r="D13" s="283"/>
      <c r="E13" s="284">
        <f t="shared" si="0"/>
        <v>0</v>
      </c>
    </row>
    <row r="14" spans="1:6" ht="45" customHeight="1">
      <c r="A14" s="280">
        <v>9</v>
      </c>
      <c r="B14" s="281"/>
      <c r="C14" s="282"/>
      <c r="D14" s="283"/>
      <c r="E14" s="284">
        <f t="shared" si="0"/>
        <v>0</v>
      </c>
    </row>
    <row r="15" spans="1:6" ht="45" customHeight="1">
      <c r="A15" s="280">
        <v>10</v>
      </c>
      <c r="B15" s="281"/>
      <c r="C15" s="282"/>
      <c r="D15" s="283"/>
      <c r="E15" s="284">
        <f t="shared" si="0"/>
        <v>0</v>
      </c>
    </row>
    <row r="16" spans="1:6" ht="45" customHeight="1">
      <c r="A16" s="207"/>
      <c r="B16" s="285" t="s">
        <v>298</v>
      </c>
      <c r="C16" s="285"/>
      <c r="D16" s="285"/>
      <c r="E16" s="285">
        <f>SUM(E6:E15)</f>
        <v>0</v>
      </c>
      <c r="F16" s="286"/>
    </row>
    <row r="17" ht="30" customHeight="1"/>
    <row r="18" ht="30" customHeight="1"/>
    <row r="19" ht="30" customHeight="1"/>
    <row r="20" ht="30" customHeight="1"/>
    <row r="21" ht="30" customHeight="1"/>
  </sheetData>
  <sheetProtection password="8665" sheet="1" formatColumns="0" formatRows="0" selectLockedCells="1"/>
  <customSheetViews>
    <customSheetView guid="{9CA44E70-650F-49CD-967F-298619682CA2}" topLeftCell="A6">
      <selection activeCell="B6" sqref="B6"/>
      <pageMargins left="0.75" right="0.75" top="0.65" bottom="1" header="0.5" footer="0.5"/>
      <pageSetup orientation="portrait" r:id="rId1"/>
      <headerFooter alignWithMargins="0"/>
    </customSheetView>
    <customSheetView guid="{C39F923C-6CD3-45D8-86F8-6C4D806DDD7E}" scale="60" showPageBreaks="1" printArea="1" view="pageBreakPreview">
      <selection activeCell="F45" sqref="F45"/>
      <pageMargins left="0.75" right="0.75" top="0.65" bottom="1" header="0.5" footer="0.5"/>
      <pageSetup orientation="portrait" r:id="rId2"/>
      <headerFooter alignWithMargins="0"/>
    </customSheetView>
    <customSheetView guid="{B1277D53-29D6-4226-81E2-084FB62977B6}" scale="60" showPageBreaks="1" printArea="1" view="pageBreakPreview" topLeftCell="A7">
      <selection activeCell="C8" sqref="C8"/>
      <pageMargins left="0.75" right="0.75" top="0.65" bottom="1" header="0.5" footer="0.5"/>
      <pageSetup orientation="portrait" r:id="rId3"/>
      <headerFooter alignWithMargins="0"/>
    </customSheetView>
    <customSheetView guid="{58D82F59-8CF6-455F-B9F4-081499FDF243}" scale="90">
      <selection activeCell="C8" sqref="C8"/>
      <pageMargins left="0.75" right="0.75" top="0.65" bottom="1" header="0.5" footer="0.5"/>
      <pageSetup orientation="portrait" r:id="rId4"/>
      <headerFooter alignWithMargins="0"/>
    </customSheetView>
    <customSheetView guid="{696D9240-6693-44E8-B9A4-2BFADD101EE2}" scale="90">
      <selection activeCell="C8" sqref="C8"/>
      <pageMargins left="0.75" right="0.75" top="0.65" bottom="1" header="0.5" footer="0.5"/>
      <pageSetup orientation="portrait" r:id="rId5"/>
      <headerFooter alignWithMargins="0"/>
    </customSheetView>
    <customSheetView guid="{B0EE7D76-5806-4718-BDAD-3A3EA691E5E4}" scale="90">
      <selection activeCell="C8" sqref="C8"/>
      <pageMargins left="0.75" right="0.75" top="0.65" bottom="1" header="0.5" footer="0.5"/>
      <pageSetup orientation="portrait" r:id="rId6"/>
      <headerFooter alignWithMargins="0"/>
    </customSheetView>
    <customSheetView guid="{E95B21C1-D936-4435-AF6F-90CF0B6A7506}" scale="60" showPageBreaks="1" printArea="1" view="pageBreakPreview" topLeftCell="A7">
      <selection activeCell="C8" sqref="C8"/>
      <pageMargins left="0.75" right="0.75" top="0.65" bottom="1" header="0.5" footer="0.5"/>
      <pageSetup orientation="portrait" r:id="rId7"/>
      <headerFooter alignWithMargins="0"/>
    </customSheetView>
    <customSheetView guid="{08A645C4-A23F-4400-B0CE-1685BC312A6F}">
      <selection activeCell="B6" sqref="B6"/>
      <pageMargins left="0.75" right="0.75" top="0.65" bottom="1" header="0.5" footer="0.5"/>
      <pageSetup orientation="portrait" r:id="rId8"/>
      <headerFooter alignWithMargins="0"/>
    </customSheetView>
  </customSheetViews>
  <mergeCells count="1">
    <mergeCell ref="A2:D2"/>
  </mergeCells>
  <phoneticPr fontId="30" type="noConversion"/>
  <pageMargins left="0.75" right="0.75" top="0.65" bottom="1" header="0.5" footer="0.5"/>
  <pageSetup orientation="portrait" r:id="rId9"/>
  <headerFooter alignWithMargins="0"/>
  <drawing r:id="rId1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indexed="61"/>
  </sheetPr>
  <dimension ref="A1:G21"/>
  <sheetViews>
    <sheetView topLeftCell="A3" zoomScaleNormal="100" zoomScaleSheetLayoutView="100" workbookViewId="0">
      <selection activeCell="E12" sqref="E12"/>
    </sheetView>
  </sheetViews>
  <sheetFormatPr defaultRowHeight="16.5"/>
  <cols>
    <col min="1" max="1" width="7.625" style="287" customWidth="1"/>
    <col min="2" max="4" width="20.625" style="94" customWidth="1"/>
    <col min="5" max="5" width="9.625" style="94" customWidth="1"/>
    <col min="6" max="6" width="12.625" style="94" customWidth="1"/>
    <col min="7" max="16384" width="9" style="76"/>
  </cols>
  <sheetData>
    <row r="1" spans="1:7">
      <c r="A1" s="276"/>
      <c r="B1" s="277"/>
      <c r="C1" s="277"/>
      <c r="D1" s="277"/>
      <c r="E1" s="277"/>
      <c r="F1" s="277"/>
    </row>
    <row r="2" spans="1:7" ht="21.95" customHeight="1">
      <c r="A2" s="839" t="s">
        <v>302</v>
      </c>
      <c r="B2" s="839"/>
      <c r="C2" s="839"/>
      <c r="D2" s="839"/>
      <c r="E2" s="840"/>
      <c r="F2" s="76"/>
    </row>
    <row r="3" spans="1:7">
      <c r="A3" s="276"/>
      <c r="B3" s="277"/>
      <c r="C3" s="277"/>
      <c r="D3" s="277"/>
      <c r="E3" s="277"/>
      <c r="F3" s="277"/>
    </row>
    <row r="4" spans="1:7" ht="45">
      <c r="A4" s="98" t="s">
        <v>288</v>
      </c>
      <c r="B4" s="278" t="s">
        <v>289</v>
      </c>
      <c r="C4" s="98" t="s">
        <v>303</v>
      </c>
      <c r="D4" s="98" t="s">
        <v>304</v>
      </c>
      <c r="E4" s="98" t="s">
        <v>305</v>
      </c>
      <c r="F4" s="98" t="s">
        <v>306</v>
      </c>
    </row>
    <row r="5" spans="1:7" ht="18" customHeight="1">
      <c r="A5" s="279" t="s">
        <v>293</v>
      </c>
      <c r="B5" s="279" t="s">
        <v>294</v>
      </c>
      <c r="C5" s="279" t="s">
        <v>295</v>
      </c>
      <c r="D5" s="279" t="s">
        <v>296</v>
      </c>
      <c r="E5" s="288" t="s">
        <v>307</v>
      </c>
      <c r="F5" s="279" t="s">
        <v>308</v>
      </c>
    </row>
    <row r="6" spans="1:7" ht="45" customHeight="1">
      <c r="A6" s="280">
        <v>1</v>
      </c>
      <c r="B6" s="281"/>
      <c r="C6" s="282"/>
      <c r="D6" s="282"/>
      <c r="E6" s="283"/>
      <c r="F6" s="284">
        <f>C6*E6</f>
        <v>0</v>
      </c>
    </row>
    <row r="7" spans="1:7" ht="45" customHeight="1">
      <c r="A7" s="280">
        <v>2</v>
      </c>
      <c r="B7" s="281"/>
      <c r="C7" s="282"/>
      <c r="D7" s="282"/>
      <c r="E7" s="283"/>
      <c r="F7" s="284">
        <f t="shared" ref="F7:F15" si="0">C7*E7</f>
        <v>0</v>
      </c>
    </row>
    <row r="8" spans="1:7" ht="45" customHeight="1">
      <c r="A8" s="280">
        <v>3</v>
      </c>
      <c r="B8" s="281"/>
      <c r="C8" s="282"/>
      <c r="D8" s="282"/>
      <c r="E8" s="283"/>
      <c r="F8" s="284">
        <f t="shared" si="0"/>
        <v>0</v>
      </c>
    </row>
    <row r="9" spans="1:7" ht="45" customHeight="1">
      <c r="A9" s="280">
        <v>4</v>
      </c>
      <c r="B9" s="281"/>
      <c r="C9" s="282"/>
      <c r="D9" s="282"/>
      <c r="E9" s="283"/>
      <c r="F9" s="284">
        <f t="shared" si="0"/>
        <v>0</v>
      </c>
    </row>
    <row r="10" spans="1:7" ht="45" customHeight="1">
      <c r="A10" s="280">
        <v>5</v>
      </c>
      <c r="B10" s="281"/>
      <c r="C10" s="282"/>
      <c r="D10" s="282"/>
      <c r="E10" s="283"/>
      <c r="F10" s="284">
        <f t="shared" si="0"/>
        <v>0</v>
      </c>
    </row>
    <row r="11" spans="1:7" ht="45" customHeight="1">
      <c r="A11" s="280">
        <v>6</v>
      </c>
      <c r="B11" s="281"/>
      <c r="C11" s="282"/>
      <c r="D11" s="282"/>
      <c r="E11" s="283"/>
      <c r="F11" s="284">
        <f t="shared" si="0"/>
        <v>0</v>
      </c>
    </row>
    <row r="12" spans="1:7" ht="45" customHeight="1">
      <c r="A12" s="280">
        <v>7</v>
      </c>
      <c r="B12" s="281"/>
      <c r="C12" s="282"/>
      <c r="D12" s="282"/>
      <c r="E12" s="283"/>
      <c r="F12" s="284">
        <f t="shared" si="0"/>
        <v>0</v>
      </c>
    </row>
    <row r="13" spans="1:7" ht="45" customHeight="1">
      <c r="A13" s="280">
        <v>8</v>
      </c>
      <c r="B13" s="281"/>
      <c r="C13" s="282"/>
      <c r="D13" s="282"/>
      <c r="E13" s="283"/>
      <c r="F13" s="284">
        <f t="shared" si="0"/>
        <v>0</v>
      </c>
    </row>
    <row r="14" spans="1:7" ht="45" customHeight="1">
      <c r="A14" s="280">
        <v>9</v>
      </c>
      <c r="B14" s="281"/>
      <c r="C14" s="282"/>
      <c r="D14" s="282"/>
      <c r="E14" s="283"/>
      <c r="F14" s="284">
        <f t="shared" si="0"/>
        <v>0</v>
      </c>
    </row>
    <row r="15" spans="1:7" ht="45" customHeight="1">
      <c r="A15" s="280">
        <v>10</v>
      </c>
      <c r="B15" s="281"/>
      <c r="C15" s="282"/>
      <c r="D15" s="282"/>
      <c r="E15" s="283"/>
      <c r="F15" s="284">
        <f t="shared" si="0"/>
        <v>0</v>
      </c>
    </row>
    <row r="16" spans="1:7" ht="45" customHeight="1">
      <c r="A16" s="207"/>
      <c r="B16" s="285" t="s">
        <v>298</v>
      </c>
      <c r="C16" s="285"/>
      <c r="D16" s="285"/>
      <c r="E16" s="285"/>
      <c r="F16" s="285">
        <f>SUM(F6:F15)</f>
        <v>0</v>
      </c>
      <c r="G16" s="286"/>
    </row>
    <row r="17" ht="30" customHeight="1"/>
    <row r="18" ht="30" customHeight="1"/>
    <row r="19" ht="30" customHeight="1"/>
    <row r="20" ht="30" customHeight="1"/>
    <row r="21" ht="30" customHeight="1"/>
  </sheetData>
  <sheetProtection password="8665" sheet="1" formatColumns="0" formatRows="0" selectLockedCells="1"/>
  <customSheetViews>
    <customSheetView guid="{9CA44E70-650F-49CD-967F-298619682CA2}" topLeftCell="A4">
      <selection activeCell="B6" sqref="B6"/>
      <pageMargins left="0.75" right="0.62" top="0.65" bottom="1" header="0.5" footer="0.5"/>
      <pageSetup orientation="portrait" r:id="rId1"/>
      <headerFooter alignWithMargins="0"/>
    </customSheetView>
    <customSheetView guid="{C39F923C-6CD3-45D8-86F8-6C4D806DDD7E}" showPageBreaks="1" printArea="1" view="pageBreakPreview" topLeftCell="A4">
      <selection activeCell="F45" sqref="F45"/>
      <pageMargins left="0.75" right="0.62" top="0.65" bottom="1" header="0.5" footer="0.5"/>
      <pageSetup orientation="portrait" r:id="rId2"/>
      <headerFooter alignWithMargins="0"/>
    </customSheetView>
    <customSheetView guid="{B1277D53-29D6-4226-81E2-084FB62977B6}" showPageBreaks="1" printArea="1" view="pageBreakPreview" topLeftCell="A10">
      <selection activeCell="E7" sqref="E7"/>
      <pageMargins left="0.75" right="0.62" top="0.65" bottom="1" header="0.5" footer="0.5"/>
      <pageSetup orientation="portrait" r:id="rId3"/>
      <headerFooter alignWithMargins="0"/>
    </customSheetView>
    <customSheetView guid="{58D82F59-8CF6-455F-B9F4-081499FDF243}">
      <selection activeCell="C7" sqref="C7"/>
      <pageMargins left="0.75" right="0.62" top="0.65" bottom="1" header="0.5" footer="0.5"/>
      <pageSetup orientation="portrait" r:id="rId4"/>
      <headerFooter alignWithMargins="0"/>
    </customSheetView>
    <customSheetView guid="{696D9240-6693-44E8-B9A4-2BFADD101EE2}">
      <selection activeCell="C7" sqref="C7"/>
      <pageMargins left="0.75" right="0.62" top="0.65" bottom="1" header="0.5" footer="0.5"/>
      <pageSetup orientation="portrait" r:id="rId5"/>
      <headerFooter alignWithMargins="0"/>
    </customSheetView>
    <customSheetView guid="{B0EE7D76-5806-4718-BDAD-3A3EA691E5E4}">
      <selection activeCell="C7" sqref="C7"/>
      <pageMargins left="0.75" right="0.62" top="0.65" bottom="1" header="0.5" footer="0.5"/>
      <pageSetup orientation="portrait" r:id="rId6"/>
      <headerFooter alignWithMargins="0"/>
    </customSheetView>
    <customSheetView guid="{E95B21C1-D936-4435-AF6F-90CF0B6A7506}" showPageBreaks="1" printArea="1" view="pageBreakPreview" topLeftCell="A10">
      <selection activeCell="E7" sqref="E7"/>
      <pageMargins left="0.75" right="0.62" top="0.65" bottom="1" header="0.5" footer="0.5"/>
      <pageSetup orientation="portrait" r:id="rId7"/>
      <headerFooter alignWithMargins="0"/>
    </customSheetView>
    <customSheetView guid="{08A645C4-A23F-4400-B0CE-1685BC312A6F}">
      <selection activeCell="B6" sqref="B6"/>
      <pageMargins left="0.75" right="0.62" top="0.65" bottom="1" header="0.5" footer="0.5"/>
      <pageSetup orientation="portrait" r:id="rId8"/>
      <headerFooter alignWithMargins="0"/>
    </customSheetView>
  </customSheetViews>
  <mergeCells count="1">
    <mergeCell ref="A2:E2"/>
  </mergeCells>
  <phoneticPr fontId="30" type="noConversion"/>
  <pageMargins left="0.75" right="0.62" top="0.65" bottom="1" header="0.5" footer="0.5"/>
  <pageSetup orientation="portrait" r:id="rId9"/>
  <headerFooter alignWithMargins="0"/>
  <drawing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AO69"/>
  <sheetViews>
    <sheetView showZeros="0" view="pageBreakPreview" zoomScaleNormal="100" zoomScaleSheetLayoutView="100" workbookViewId="0">
      <selection activeCell="F45" sqref="F45"/>
    </sheetView>
  </sheetViews>
  <sheetFormatPr defaultColWidth="8" defaultRowHeight="16.5"/>
  <cols>
    <col min="1" max="1" width="9.375" style="109" customWidth="1"/>
    <col min="2" max="2" width="9.375" style="112" customWidth="1"/>
    <col min="3" max="3" width="12.875" style="109" customWidth="1"/>
    <col min="4" max="4" width="18.125" style="109" customWidth="1"/>
    <col min="5" max="5" width="11.125" style="109" customWidth="1"/>
    <col min="6" max="6" width="29.875" style="106" customWidth="1"/>
    <col min="7" max="8" width="8" style="106" customWidth="1"/>
    <col min="9" max="25" width="8" style="107" customWidth="1"/>
    <col min="26" max="27" width="8" style="194" customWidth="1"/>
    <col min="28" max="28" width="17.5" style="194" customWidth="1"/>
    <col min="29" max="29" width="12.125" style="194" customWidth="1"/>
    <col min="30" max="30" width="8" style="194" customWidth="1"/>
    <col min="31" max="31" width="8" style="195" customWidth="1"/>
    <col min="32" max="32" width="12" style="195" customWidth="1"/>
    <col min="33" max="35" width="8" style="194" customWidth="1"/>
    <col min="36" max="36" width="9.125" style="194" customWidth="1"/>
    <col min="37" max="41" width="8" style="194" customWidth="1"/>
    <col min="42" max="16384" width="8" style="107"/>
  </cols>
  <sheetData>
    <row r="1" spans="1:36">
      <c r="A1" s="104" t="str">
        <f>Cover!B3</f>
        <v>Specification No.: ODP/BB/C&amp;M-4155/OT-02/RFx No. 5002004411/25-26</v>
      </c>
      <c r="B1" s="104"/>
      <c r="C1" s="105"/>
      <c r="D1" s="105"/>
      <c r="E1" s="105"/>
      <c r="F1" s="115" t="s">
        <v>309</v>
      </c>
      <c r="Z1" s="194" t="e">
        <f>#REF!</f>
        <v>#REF!</v>
      </c>
      <c r="AE1" s="195">
        <v>1</v>
      </c>
      <c r="AF1" s="195" t="s">
        <v>1</v>
      </c>
      <c r="AI1" s="195">
        <v>1</v>
      </c>
      <c r="AJ1" s="194" t="s">
        <v>5</v>
      </c>
    </row>
    <row r="2" spans="1:36">
      <c r="B2" s="109"/>
      <c r="F2" s="109"/>
      <c r="Z2" s="194" t="e">
        <f>#REF!</f>
        <v>#REF!</v>
      </c>
      <c r="AE2" s="195">
        <v>2</v>
      </c>
      <c r="AF2" s="195" t="s">
        <v>2</v>
      </c>
      <c r="AI2" s="195">
        <v>2</v>
      </c>
      <c r="AJ2" s="194" t="s">
        <v>6</v>
      </c>
    </row>
    <row r="3" spans="1:36" ht="15">
      <c r="A3" s="850" t="s">
        <v>118</v>
      </c>
      <c r="B3" s="850"/>
      <c r="C3" s="850"/>
      <c r="D3" s="850"/>
      <c r="E3" s="850"/>
      <c r="F3" s="850"/>
      <c r="AE3" s="195">
        <v>3</v>
      </c>
      <c r="AF3" s="195" t="s">
        <v>3</v>
      </c>
      <c r="AI3" s="195">
        <v>3</v>
      </c>
      <c r="AJ3" s="194" t="s">
        <v>7</v>
      </c>
    </row>
    <row r="4" spans="1:36" ht="15">
      <c r="A4" s="108"/>
      <c r="B4" s="108"/>
      <c r="C4" s="108"/>
      <c r="D4" s="108"/>
      <c r="E4" s="108"/>
      <c r="F4" s="108"/>
      <c r="AE4" s="195">
        <v>4</v>
      </c>
      <c r="AF4" s="195" t="s">
        <v>4</v>
      </c>
      <c r="AI4" s="195">
        <v>4</v>
      </c>
      <c r="AJ4" s="194" t="s">
        <v>8</v>
      </c>
    </row>
    <row r="5" spans="1:36">
      <c r="A5" s="112" t="s">
        <v>283</v>
      </c>
      <c r="C5" s="851"/>
      <c r="D5" s="852"/>
      <c r="E5" s="852"/>
      <c r="F5" s="852"/>
      <c r="AE5" s="195">
        <v>5</v>
      </c>
      <c r="AF5" s="195" t="s">
        <v>4</v>
      </c>
      <c r="AI5" s="195">
        <v>5</v>
      </c>
      <c r="AJ5" s="194" t="s">
        <v>9</v>
      </c>
    </row>
    <row r="6" spans="1:36">
      <c r="A6" s="112" t="s">
        <v>274</v>
      </c>
      <c r="B6" s="853">
        <f>'Sch-1'!G101</f>
        <v>0</v>
      </c>
      <c r="C6" s="853"/>
      <c r="F6" s="109"/>
      <c r="AE6" s="195">
        <v>6</v>
      </c>
      <c r="AF6" s="195" t="s">
        <v>4</v>
      </c>
      <c r="AG6" s="196">
        <f>DAY(B6)</f>
        <v>0</v>
      </c>
      <c r="AI6" s="195">
        <v>6</v>
      </c>
      <c r="AJ6" s="194" t="s">
        <v>10</v>
      </c>
    </row>
    <row r="7" spans="1:36">
      <c r="A7" s="112"/>
      <c r="B7" s="116"/>
      <c r="C7" s="116"/>
      <c r="F7" s="109"/>
      <c r="AE7" s="195">
        <v>7</v>
      </c>
      <c r="AF7" s="195" t="s">
        <v>4</v>
      </c>
      <c r="AG7" s="196">
        <f>MONTH(B6)</f>
        <v>1</v>
      </c>
      <c r="AI7" s="195">
        <v>7</v>
      </c>
      <c r="AJ7" s="194" t="s">
        <v>11</v>
      </c>
    </row>
    <row r="8" spans="1:36">
      <c r="A8" s="111" t="str">
        <f>'Sch-1'!K6</f>
        <v>To:</v>
      </c>
      <c r="B8" s="110"/>
      <c r="F8" s="113"/>
      <c r="AE8" s="195">
        <v>8</v>
      </c>
      <c r="AF8" s="195" t="s">
        <v>4</v>
      </c>
      <c r="AG8" s="196" t="str">
        <f>LOOKUP(AG7,AI1:AI12,AJ1:AJ12)</f>
        <v>January</v>
      </c>
      <c r="AI8" s="195">
        <v>8</v>
      </c>
      <c r="AJ8" s="194" t="s">
        <v>12</v>
      </c>
    </row>
    <row r="9" spans="1:36">
      <c r="A9" s="111" t="str">
        <f>'Sch-1'!K7</f>
        <v>Sr. GENERAL MANAGER(C&amp;M)</v>
      </c>
      <c r="B9" s="111"/>
      <c r="F9" s="113"/>
      <c r="AE9" s="195">
        <v>9</v>
      </c>
      <c r="AF9" s="195" t="s">
        <v>4</v>
      </c>
      <c r="AG9" s="196">
        <f>YEAR(B6)</f>
        <v>1900</v>
      </c>
      <c r="AI9" s="195">
        <v>9</v>
      </c>
      <c r="AJ9" s="194" t="s">
        <v>13</v>
      </c>
    </row>
    <row r="10" spans="1:36">
      <c r="A10" s="111" t="str">
        <f>'Sch-1'!K8</f>
        <v xml:space="preserve">POWER GRID CORPORATION OF INDIA LIMITED, </v>
      </c>
      <c r="B10" s="111"/>
      <c r="F10" s="113"/>
      <c r="AE10" s="195">
        <v>10</v>
      </c>
      <c r="AF10" s="195" t="s">
        <v>4</v>
      </c>
      <c r="AI10" s="195">
        <v>10</v>
      </c>
      <c r="AJ10" s="194" t="s">
        <v>14</v>
      </c>
    </row>
    <row r="11" spans="1:36">
      <c r="A11" s="111" t="str">
        <f>'Sch-1'!K9</f>
        <v>ODISHA PROJECTS</v>
      </c>
      <c r="B11" s="111"/>
      <c r="F11" s="113"/>
      <c r="AE11" s="195">
        <v>11</v>
      </c>
      <c r="AF11" s="195" t="s">
        <v>4</v>
      </c>
      <c r="AI11" s="195">
        <v>11</v>
      </c>
      <c r="AJ11" s="194" t="s">
        <v>15</v>
      </c>
    </row>
    <row r="12" spans="1:36">
      <c r="A12" s="111" t="str">
        <f>'Sch-1'!K10</f>
        <v>PLOT NO.-4, UNIT-41, NILADRI VIHAR</v>
      </c>
      <c r="B12" s="111"/>
      <c r="F12" s="113"/>
      <c r="AE12" s="195">
        <v>12</v>
      </c>
      <c r="AF12" s="195" t="s">
        <v>4</v>
      </c>
      <c r="AI12" s="195">
        <v>12</v>
      </c>
      <c r="AJ12" s="194" t="s">
        <v>16</v>
      </c>
    </row>
    <row r="13" spans="1:36">
      <c r="A13" s="111" t="str">
        <f>'Sch-1'!K11</f>
        <v>CHANDRASHEKHARPUR, BHUBANESWAR-751021</v>
      </c>
      <c r="B13" s="111"/>
      <c r="F13" s="113"/>
      <c r="AE13" s="195">
        <v>13</v>
      </c>
      <c r="AF13" s="195" t="s">
        <v>4</v>
      </c>
    </row>
    <row r="14" spans="1:36" ht="49.5" customHeight="1">
      <c r="A14" s="112"/>
      <c r="F14" s="113"/>
      <c r="AE14" s="195">
        <v>14</v>
      </c>
      <c r="AF14" s="195" t="s">
        <v>4</v>
      </c>
    </row>
    <row r="15" spans="1:36" ht="64.5" customHeight="1">
      <c r="A15" s="467" t="s">
        <v>284</v>
      </c>
      <c r="B15" s="466"/>
      <c r="C15" s="854" t="str">
        <f>Cover!B2</f>
        <v xml:space="preserve">Diversion of 220kV Budhipadar-Korba S/C line #3 &amp; 765kV Angul-Sundargarh S/C line # 1 due to NH 49 Jharsuguda bypass Road diversion work (Deposit work On Behalf of NHAI).
</v>
      </c>
      <c r="D15" s="854"/>
      <c r="E15" s="854"/>
      <c r="F15" s="854"/>
      <c r="AE15" s="195">
        <v>15</v>
      </c>
      <c r="AF15" s="195" t="s">
        <v>4</v>
      </c>
    </row>
    <row r="16" spans="1:36" ht="33" customHeight="1">
      <c r="A16" s="109" t="s">
        <v>275</v>
      </c>
      <c r="B16" s="109"/>
      <c r="C16" s="113"/>
      <c r="D16" s="113"/>
      <c r="E16" s="113"/>
      <c r="F16" s="113"/>
      <c r="AE16" s="195">
        <v>16</v>
      </c>
      <c r="AF16" s="195" t="s">
        <v>4</v>
      </c>
    </row>
    <row r="17" spans="1:41" ht="120" customHeight="1">
      <c r="A17" s="125">
        <v>1</v>
      </c>
      <c r="B17" s="842"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supply goods as per provision of Technical Specification) under the above-named package in full conformity with the said Bidding Documents for the sum of Rs. 0 (Rs. Zero Only ) or such other sums as may be determined in accordance with the terms and conditions of the Bidding Documents.</v>
      </c>
      <c r="C17" s="842"/>
      <c r="D17" s="842"/>
      <c r="E17" s="842"/>
      <c r="F17" s="842"/>
      <c r="Z17" s="197" t="s">
        <v>406</v>
      </c>
      <c r="AA17" s="198" t="s">
        <v>0</v>
      </c>
      <c r="AB17" s="199">
        <f>'[1]Sch-5 After Discount'!D25</f>
        <v>0</v>
      </c>
      <c r="AC17" s="200" t="str">
        <f>" (" &amp; '[1]N to W'!A4 &amp; ")"</f>
        <v xml:space="preserve"> (Rs. Zero Only )</v>
      </c>
      <c r="AE17" s="195">
        <v>17</v>
      </c>
      <c r="AF17" s="195" t="s">
        <v>4</v>
      </c>
    </row>
    <row r="18" spans="1:41" ht="43.5" customHeight="1">
      <c r="B18" s="855" t="s">
        <v>276</v>
      </c>
      <c r="C18" s="855"/>
      <c r="D18" s="855"/>
      <c r="E18" s="855"/>
      <c r="F18" s="855"/>
      <c r="AE18" s="195">
        <v>18</v>
      </c>
      <c r="AF18" s="195" t="s">
        <v>4</v>
      </c>
    </row>
    <row r="19" spans="1:41" s="106" customFormat="1" ht="33" customHeight="1">
      <c r="A19" s="126">
        <v>2</v>
      </c>
      <c r="B19" s="841" t="s">
        <v>277</v>
      </c>
      <c r="C19" s="841"/>
      <c r="D19" s="841"/>
      <c r="E19" s="841"/>
      <c r="F19" s="841"/>
      <c r="Z19" s="201"/>
      <c r="AA19" s="201"/>
      <c r="AB19" s="201"/>
      <c r="AC19" s="201"/>
      <c r="AD19" s="201"/>
      <c r="AE19" s="195">
        <v>19</v>
      </c>
      <c r="AF19" s="195" t="s">
        <v>4</v>
      </c>
      <c r="AG19" s="201"/>
      <c r="AH19" s="201"/>
      <c r="AI19" s="201"/>
      <c r="AJ19" s="201"/>
      <c r="AK19" s="201"/>
      <c r="AL19" s="201"/>
      <c r="AM19" s="201"/>
      <c r="AN19" s="201"/>
      <c r="AO19" s="201"/>
    </row>
    <row r="20" spans="1:41" ht="45" customHeight="1">
      <c r="A20" s="125">
        <v>2.1</v>
      </c>
      <c r="B20" s="842" t="s">
        <v>278</v>
      </c>
      <c r="C20" s="842"/>
      <c r="D20" s="842"/>
      <c r="E20" s="842"/>
      <c r="F20" s="842"/>
      <c r="AE20" s="195">
        <v>20</v>
      </c>
      <c r="AF20" s="195" t="s">
        <v>4</v>
      </c>
    </row>
    <row r="21" spans="1:41" ht="36.75" customHeight="1">
      <c r="B21" s="317" t="str">
        <f>"Schedule 1("&amp;'Basic Data'!C9 &amp;") "</f>
        <v xml:space="preserve">Schedule 1() </v>
      </c>
      <c r="C21" s="318"/>
      <c r="D21" s="843" t="s">
        <v>450</v>
      </c>
      <c r="E21" s="844"/>
      <c r="F21" s="844"/>
      <c r="AE21" s="195">
        <v>21</v>
      </c>
      <c r="AF21" s="195" t="s">
        <v>1</v>
      </c>
    </row>
    <row r="22" spans="1:41" ht="30.75" customHeight="1">
      <c r="B22" s="317" t="str">
        <f>"Schedule 2("&amp;'Basic Data'!C9 &amp;") "</f>
        <v xml:space="preserve">Schedule 2() </v>
      </c>
      <c r="C22" s="318"/>
      <c r="D22" s="857" t="s">
        <v>476</v>
      </c>
      <c r="E22" s="858"/>
      <c r="F22" s="858"/>
      <c r="AE22" s="195">
        <v>22</v>
      </c>
      <c r="AF22" s="195" t="s">
        <v>4</v>
      </c>
    </row>
    <row r="23" spans="1:41" ht="33" customHeight="1">
      <c r="B23" s="317" t="str">
        <f>"Schedule 3("&amp;'Basic Data'!C9 &amp;") "</f>
        <v xml:space="preserve">Schedule 3() </v>
      </c>
      <c r="C23" s="318"/>
      <c r="D23" s="319" t="s">
        <v>507</v>
      </c>
      <c r="E23" s="318"/>
      <c r="F23" s="320"/>
      <c r="H23" s="173" t="e">
        <f>#REF!</f>
        <v>#REF!</v>
      </c>
      <c r="AE23" s="195">
        <v>23</v>
      </c>
      <c r="AF23" s="195" t="s">
        <v>4</v>
      </c>
    </row>
    <row r="24" spans="1:41" ht="33" customHeight="1">
      <c r="B24" s="317" t="str">
        <f>"Schedule 4("&amp;'Basic Data'!C9 &amp;") "</f>
        <v xml:space="preserve">Schedule 4() </v>
      </c>
      <c r="C24" s="318"/>
      <c r="D24" s="319" t="s">
        <v>477</v>
      </c>
      <c r="E24" s="318"/>
      <c r="F24" s="320"/>
      <c r="AE24" s="195">
        <v>24</v>
      </c>
      <c r="AF24" s="195" t="s">
        <v>4</v>
      </c>
    </row>
    <row r="25" spans="1:41" ht="33" customHeight="1">
      <c r="B25" s="317" t="str">
        <f>"Schedule 5("&amp;'Basic Data'!C9 &amp;") "</f>
        <v xml:space="preserve">Schedule 5() </v>
      </c>
      <c r="C25" s="318"/>
      <c r="D25" s="319" t="s">
        <v>310</v>
      </c>
      <c r="E25" s="318"/>
      <c r="F25" s="320"/>
      <c r="AE25" s="195">
        <v>25</v>
      </c>
      <c r="AF25" s="195" t="s">
        <v>4</v>
      </c>
    </row>
    <row r="26" spans="1:41" ht="104.25" customHeight="1">
      <c r="A26" s="127">
        <v>2.2000000000000002</v>
      </c>
      <c r="B26" s="842" t="s">
        <v>285</v>
      </c>
      <c r="C26" s="842"/>
      <c r="D26" s="842"/>
      <c r="E26" s="842"/>
      <c r="F26" s="842"/>
      <c r="AE26" s="195">
        <v>28</v>
      </c>
      <c r="AF26" s="195" t="s">
        <v>4</v>
      </c>
    </row>
    <row r="27" spans="1:41" ht="67.5" customHeight="1">
      <c r="A27" s="127">
        <v>2.2999999999999998</v>
      </c>
      <c r="B27" s="842" t="s">
        <v>478</v>
      </c>
      <c r="C27" s="842"/>
      <c r="D27" s="842"/>
      <c r="E27" s="842"/>
      <c r="F27" s="842"/>
      <c r="AE27" s="195">
        <v>29</v>
      </c>
      <c r="AF27" s="195" t="s">
        <v>4</v>
      </c>
    </row>
    <row r="28" spans="1:41" ht="149.25" customHeight="1">
      <c r="A28" s="127">
        <v>2.4</v>
      </c>
      <c r="B28" s="842" t="s">
        <v>286</v>
      </c>
      <c r="C28" s="842"/>
      <c r="D28" s="842"/>
      <c r="E28" s="842"/>
      <c r="F28" s="842"/>
      <c r="AE28" s="195">
        <v>30</v>
      </c>
      <c r="AF28" s="195" t="s">
        <v>4</v>
      </c>
    </row>
    <row r="29" spans="1:41" ht="90.75" customHeight="1">
      <c r="A29" s="127">
        <v>2.5</v>
      </c>
      <c r="B29" s="842" t="s">
        <v>479</v>
      </c>
      <c r="C29" s="842"/>
      <c r="D29" s="842"/>
      <c r="E29" s="842"/>
      <c r="F29" s="842"/>
      <c r="AE29" s="195">
        <v>31</v>
      </c>
      <c r="AF29" s="195" t="s">
        <v>1</v>
      </c>
    </row>
    <row r="30" spans="1:41" ht="89.25" customHeight="1">
      <c r="A30" s="125">
        <v>3</v>
      </c>
      <c r="B30" s="842" t="s">
        <v>480</v>
      </c>
      <c r="C30" s="842"/>
      <c r="D30" s="842"/>
      <c r="E30" s="842"/>
      <c r="F30" s="842"/>
    </row>
    <row r="31" spans="1:41" ht="69" customHeight="1">
      <c r="A31" s="127">
        <v>3.1</v>
      </c>
      <c r="B31" s="842" t="s">
        <v>485</v>
      </c>
      <c r="C31" s="842"/>
      <c r="D31" s="842"/>
      <c r="E31" s="842"/>
      <c r="F31" s="842"/>
    </row>
    <row r="32" spans="1:41" ht="81" customHeight="1">
      <c r="A32" s="127">
        <v>3.2</v>
      </c>
      <c r="B32" s="842" t="s">
        <v>493</v>
      </c>
      <c r="C32" s="842"/>
      <c r="D32" s="842"/>
      <c r="E32" s="842"/>
      <c r="F32" s="842"/>
    </row>
    <row r="33" spans="1:41" ht="45.75" customHeight="1">
      <c r="A33" s="127">
        <v>3.3</v>
      </c>
      <c r="B33" s="854" t="s">
        <v>484</v>
      </c>
      <c r="C33" s="854"/>
      <c r="D33" s="854"/>
      <c r="E33" s="854"/>
      <c r="F33" s="854"/>
    </row>
    <row r="34" spans="1:41" ht="70.5" hidden="1" customHeight="1">
      <c r="A34" s="125">
        <v>4</v>
      </c>
      <c r="B34" s="842" t="s">
        <v>481</v>
      </c>
      <c r="C34" s="842"/>
      <c r="D34" s="842"/>
      <c r="E34" s="842"/>
      <c r="F34" s="842"/>
    </row>
    <row r="35" spans="1:41" ht="98.25" customHeight="1">
      <c r="A35" s="125">
        <v>4</v>
      </c>
      <c r="B35" s="842" t="s">
        <v>482</v>
      </c>
      <c r="C35" s="842"/>
      <c r="D35" s="842"/>
      <c r="E35" s="842"/>
      <c r="F35" s="842"/>
    </row>
    <row r="36" spans="1:41" ht="21" customHeight="1">
      <c r="B36" s="28"/>
      <c r="C36" s="28"/>
      <c r="D36" s="28"/>
      <c r="E36" s="117"/>
      <c r="F36" s="117"/>
    </row>
    <row r="37" spans="1:41" ht="21" customHeight="1">
      <c r="B37" s="28" t="s">
        <v>279</v>
      </c>
      <c r="C37" s="76"/>
      <c r="D37" s="83"/>
      <c r="E37" s="83"/>
      <c r="F37" s="83"/>
    </row>
    <row r="38" spans="1:41" ht="21" customHeight="1">
      <c r="B38" s="118"/>
      <c r="C38" s="83"/>
      <c r="D38" s="83"/>
      <c r="E38" s="28"/>
      <c r="F38" s="90" t="s">
        <v>280</v>
      </c>
    </row>
    <row r="39" spans="1:41" ht="21" customHeight="1">
      <c r="B39" s="118"/>
      <c r="C39" s="83"/>
      <c r="D39" s="28"/>
      <c r="E39" s="28"/>
      <c r="F39" s="90" t="str">
        <f>"For and on behalf of " &amp; 'Sch-1'!G8</f>
        <v xml:space="preserve">For and on behalf of </v>
      </c>
    </row>
    <row r="40" spans="1:41" ht="24.95" customHeight="1">
      <c r="A40" s="107"/>
      <c r="B40" s="107"/>
      <c r="C40" s="122"/>
      <c r="D40" s="107"/>
      <c r="E40" s="114"/>
      <c r="F40" s="112"/>
    </row>
    <row r="41" spans="1:41" ht="24.95" customHeight="1">
      <c r="A41" s="141" t="s">
        <v>120</v>
      </c>
      <c r="B41" s="849">
        <f>'Sch-1'!C101</f>
        <v>0</v>
      </c>
      <c r="C41" s="849"/>
      <c r="D41" s="409"/>
      <c r="E41" s="114" t="s">
        <v>281</v>
      </c>
      <c r="F41" s="123" t="str">
        <f>'Sch-1'!M101</f>
        <v/>
      </c>
    </row>
    <row r="42" spans="1:41" ht="24.95" customHeight="1">
      <c r="A42" s="141" t="s">
        <v>121</v>
      </c>
      <c r="B42" s="849">
        <f>'Sch-1'!C102</f>
        <v>0</v>
      </c>
      <c r="C42" s="849"/>
      <c r="D42" s="409"/>
      <c r="E42" s="114" t="s">
        <v>282</v>
      </c>
      <c r="F42" s="123" t="str">
        <f>'Sch-1'!M102</f>
        <v/>
      </c>
    </row>
    <row r="43" spans="1:41" ht="24.95" customHeight="1">
      <c r="B43" s="109"/>
      <c r="D43" s="107"/>
      <c r="E43" s="114"/>
      <c r="F43" s="109"/>
    </row>
    <row r="44" spans="1:41" s="106" customFormat="1" ht="33" customHeight="1">
      <c r="A44" s="138" t="s">
        <v>119</v>
      </c>
      <c r="B44" s="91"/>
      <c r="C44" s="121"/>
      <c r="D44" s="28"/>
      <c r="E44" s="90"/>
      <c r="F44" s="139"/>
      <c r="H44" s="128"/>
      <c r="Z44" s="201"/>
      <c r="AA44" s="201"/>
      <c r="AB44" s="201"/>
      <c r="AC44" s="201"/>
      <c r="AD44" s="201"/>
      <c r="AE44" s="195"/>
      <c r="AF44" s="195"/>
      <c r="AG44" s="201"/>
      <c r="AH44" s="201"/>
      <c r="AI44" s="201"/>
      <c r="AJ44" s="201"/>
      <c r="AK44" s="201"/>
      <c r="AL44" s="201"/>
      <c r="AM44" s="201"/>
      <c r="AN44" s="201"/>
      <c r="AO44" s="201"/>
    </row>
    <row r="45" spans="1:41" s="106" customFormat="1" ht="33" customHeight="1">
      <c r="A45" s="846" t="s">
        <v>143</v>
      </c>
      <c r="B45" s="846"/>
      <c r="C45" s="846"/>
      <c r="D45" s="170"/>
      <c r="E45" s="170"/>
      <c r="F45" s="170"/>
      <c r="H45" s="128"/>
      <c r="Z45" s="201"/>
      <c r="AA45" s="201"/>
      <c r="AB45" s="201"/>
      <c r="AC45" s="201"/>
      <c r="AD45" s="201"/>
      <c r="AE45" s="195"/>
      <c r="AF45" s="195"/>
      <c r="AG45" s="201"/>
      <c r="AH45" s="201"/>
      <c r="AI45" s="201"/>
      <c r="AJ45" s="201"/>
      <c r="AK45" s="201"/>
      <c r="AL45" s="201"/>
      <c r="AM45" s="201"/>
      <c r="AN45" s="201"/>
      <c r="AO45" s="201"/>
    </row>
    <row r="46" spans="1:41" s="106" customFormat="1" ht="33" customHeight="1">
      <c r="A46" s="848"/>
      <c r="B46" s="848"/>
      <c r="C46" s="848"/>
      <c r="D46" s="170"/>
      <c r="E46" s="170"/>
      <c r="F46" s="170"/>
      <c r="H46" s="128"/>
      <c r="Z46" s="201"/>
      <c r="AA46" s="201"/>
      <c r="AB46" s="201"/>
      <c r="AC46" s="201"/>
      <c r="AD46" s="201"/>
      <c r="AE46" s="195"/>
      <c r="AF46" s="195"/>
      <c r="AG46" s="201"/>
      <c r="AH46" s="201"/>
      <c r="AI46" s="201"/>
      <c r="AJ46" s="201"/>
      <c r="AK46" s="201"/>
      <c r="AL46" s="201"/>
      <c r="AM46" s="201"/>
      <c r="AN46" s="201"/>
      <c r="AO46" s="201"/>
    </row>
    <row r="47" spans="1:41" s="106" customFormat="1" ht="33" customHeight="1">
      <c r="A47" s="845"/>
      <c r="B47" s="845"/>
      <c r="C47" s="845"/>
      <c r="D47" s="170"/>
      <c r="E47" s="170"/>
      <c r="F47" s="170"/>
      <c r="H47" s="128"/>
      <c r="Z47" s="201"/>
      <c r="AA47" s="201"/>
      <c r="AB47" s="201"/>
      <c r="AC47" s="201"/>
      <c r="AD47" s="201"/>
      <c r="AE47" s="195"/>
      <c r="AF47" s="195"/>
      <c r="AG47" s="201"/>
      <c r="AH47" s="201"/>
      <c r="AI47" s="201"/>
      <c r="AJ47" s="201"/>
      <c r="AK47" s="201"/>
      <c r="AL47" s="201"/>
      <c r="AM47" s="201"/>
      <c r="AN47" s="201"/>
      <c r="AO47" s="201"/>
    </row>
    <row r="48" spans="1:41" s="106" customFormat="1" ht="33" customHeight="1">
      <c r="A48" s="856" t="s">
        <v>144</v>
      </c>
      <c r="B48" s="856"/>
      <c r="C48" s="856"/>
      <c r="D48" s="170"/>
      <c r="E48" s="170"/>
      <c r="F48" s="170"/>
      <c r="H48" s="128"/>
      <c r="Z48" s="201"/>
      <c r="AA48" s="201"/>
      <c r="AB48" s="201"/>
      <c r="AC48" s="201"/>
      <c r="AD48" s="201"/>
      <c r="AE48" s="195"/>
      <c r="AF48" s="195"/>
      <c r="AG48" s="201"/>
      <c r="AH48" s="201"/>
      <c r="AI48" s="201"/>
      <c r="AJ48" s="201"/>
      <c r="AK48" s="201"/>
      <c r="AL48" s="201"/>
      <c r="AM48" s="201"/>
      <c r="AN48" s="201"/>
      <c r="AO48" s="201"/>
    </row>
    <row r="49" spans="1:41" s="106" customFormat="1" ht="33" customHeight="1">
      <c r="A49" s="856" t="s">
        <v>142</v>
      </c>
      <c r="B49" s="856"/>
      <c r="C49" s="856"/>
      <c r="D49" s="170"/>
      <c r="E49" s="170"/>
      <c r="F49" s="170"/>
      <c r="H49" s="128"/>
      <c r="Z49" s="201"/>
      <c r="AA49" s="201"/>
      <c r="AB49" s="201"/>
      <c r="AC49" s="201"/>
      <c r="AD49" s="201"/>
      <c r="AE49" s="195"/>
      <c r="AF49" s="195"/>
      <c r="AG49" s="201"/>
      <c r="AH49" s="201"/>
      <c r="AI49" s="201"/>
      <c r="AJ49" s="201"/>
      <c r="AK49" s="201"/>
      <c r="AL49" s="201"/>
      <c r="AM49" s="201"/>
      <c r="AN49" s="201"/>
      <c r="AO49" s="201"/>
    </row>
    <row r="50" spans="1:41" s="106" customFormat="1" ht="33" customHeight="1">
      <c r="A50" s="856" t="s">
        <v>145</v>
      </c>
      <c r="B50" s="856"/>
      <c r="C50" s="856"/>
      <c r="D50" s="170"/>
      <c r="E50" s="170"/>
      <c r="F50" s="170"/>
      <c r="H50" s="128"/>
      <c r="Z50" s="201"/>
      <c r="AA50" s="201"/>
      <c r="AB50" s="201"/>
      <c r="AC50" s="201"/>
      <c r="AD50" s="201"/>
      <c r="AE50" s="195"/>
      <c r="AF50" s="195"/>
      <c r="AG50" s="201"/>
      <c r="AH50" s="201"/>
      <c r="AI50" s="201"/>
      <c r="AJ50" s="201"/>
      <c r="AK50" s="201"/>
      <c r="AL50" s="201"/>
      <c r="AM50" s="201"/>
      <c r="AN50" s="201"/>
      <c r="AO50" s="201"/>
    </row>
    <row r="51" spans="1:41" s="106" customFormat="1" ht="33" customHeight="1">
      <c r="A51" s="846" t="s">
        <v>146</v>
      </c>
      <c r="B51" s="846"/>
      <c r="C51" s="846"/>
      <c r="D51" s="170"/>
      <c r="E51" s="170"/>
      <c r="F51" s="170"/>
      <c r="H51" s="128"/>
      <c r="Z51" s="201"/>
      <c r="AA51" s="201"/>
      <c r="AB51" s="201"/>
      <c r="AC51" s="201"/>
      <c r="AD51" s="201"/>
      <c r="AE51" s="195"/>
      <c r="AF51" s="195"/>
      <c r="AG51" s="201"/>
      <c r="AH51" s="201"/>
      <c r="AI51" s="201"/>
      <c r="AJ51" s="201"/>
      <c r="AK51" s="201"/>
      <c r="AL51" s="201"/>
      <c r="AM51" s="201"/>
      <c r="AN51" s="201"/>
      <c r="AO51" s="201"/>
    </row>
    <row r="52" spans="1:41" s="106" customFormat="1" ht="33" customHeight="1">
      <c r="A52" s="848"/>
      <c r="B52" s="848"/>
      <c r="C52" s="848"/>
      <c r="D52" s="170"/>
      <c r="E52" s="170"/>
      <c r="F52" s="170"/>
      <c r="H52" s="128"/>
      <c r="Z52" s="201"/>
      <c r="AA52" s="201"/>
      <c r="AB52" s="201"/>
      <c r="AC52" s="201"/>
      <c r="AD52" s="201"/>
      <c r="AE52" s="195"/>
      <c r="AF52" s="195"/>
      <c r="AG52" s="201"/>
      <c r="AH52" s="201"/>
      <c r="AI52" s="201"/>
      <c r="AJ52" s="201"/>
      <c r="AK52" s="201"/>
      <c r="AL52" s="201"/>
      <c r="AM52" s="201"/>
      <c r="AN52" s="201"/>
      <c r="AO52" s="201"/>
    </row>
    <row r="53" spans="1:41" s="106" customFormat="1" ht="33" customHeight="1">
      <c r="A53" s="845"/>
      <c r="B53" s="845"/>
      <c r="C53" s="845"/>
      <c r="D53" s="847"/>
      <c r="E53" s="847"/>
      <c r="F53" s="847"/>
      <c r="H53" s="128"/>
      <c r="Z53" s="201"/>
      <c r="AA53" s="201"/>
      <c r="AB53" s="201"/>
      <c r="AC53" s="201"/>
      <c r="AD53" s="201"/>
      <c r="AE53" s="195"/>
      <c r="AF53" s="195"/>
      <c r="AG53" s="201"/>
      <c r="AH53" s="201"/>
      <c r="AI53" s="201"/>
      <c r="AJ53" s="201"/>
      <c r="AK53" s="201"/>
      <c r="AL53" s="201"/>
      <c r="AM53" s="201"/>
      <c r="AN53" s="201"/>
      <c r="AO53" s="201"/>
    </row>
    <row r="54" spans="1:41" s="106" customFormat="1" ht="33" customHeight="1">
      <c r="A54" s="138"/>
      <c r="B54" s="138"/>
      <c r="C54" s="138"/>
      <c r="D54" s="140"/>
      <c r="E54" s="140"/>
      <c r="F54" s="140"/>
      <c r="H54" s="128"/>
      <c r="Z54" s="201"/>
      <c r="AA54" s="201"/>
      <c r="AB54" s="201"/>
      <c r="AC54" s="201"/>
      <c r="AD54" s="201"/>
      <c r="AE54" s="195"/>
      <c r="AF54" s="195"/>
      <c r="AG54" s="201"/>
      <c r="AH54" s="201"/>
      <c r="AI54" s="201"/>
      <c r="AJ54" s="201"/>
      <c r="AK54" s="201"/>
      <c r="AL54" s="201"/>
      <c r="AM54" s="201"/>
      <c r="AN54" s="201"/>
      <c r="AO54" s="201"/>
    </row>
    <row r="55" spans="1:41" s="106" customFormat="1" ht="33" customHeight="1">
      <c r="A55" s="128"/>
      <c r="B55" s="112"/>
      <c r="C55" s="109"/>
      <c r="D55" s="109"/>
      <c r="E55" s="109"/>
      <c r="H55" s="128"/>
      <c r="Z55" s="201"/>
      <c r="AA55" s="201"/>
      <c r="AB55" s="201"/>
      <c r="AC55" s="201"/>
      <c r="AD55" s="201"/>
      <c r="AE55" s="195"/>
      <c r="AF55" s="195"/>
      <c r="AG55" s="201"/>
      <c r="AH55" s="201"/>
      <c r="AI55" s="201"/>
      <c r="AJ55" s="201"/>
      <c r="AK55" s="201"/>
      <c r="AL55" s="201"/>
      <c r="AM55" s="201"/>
      <c r="AN55" s="201"/>
      <c r="AO55" s="201"/>
    </row>
    <row r="56" spans="1:41" s="106" customFormat="1" ht="33" customHeight="1">
      <c r="A56" s="128"/>
      <c r="B56" s="112"/>
      <c r="C56" s="109"/>
      <c r="D56" s="109"/>
      <c r="E56" s="109"/>
      <c r="H56" s="128"/>
      <c r="Z56" s="201"/>
      <c r="AA56" s="201"/>
      <c r="AB56" s="201"/>
      <c r="AC56" s="201"/>
      <c r="AD56" s="201"/>
      <c r="AE56" s="195"/>
      <c r="AF56" s="195"/>
      <c r="AG56" s="201"/>
      <c r="AH56" s="201"/>
      <c r="AI56" s="201"/>
      <c r="AJ56" s="201"/>
      <c r="AK56" s="201"/>
      <c r="AL56" s="201"/>
      <c r="AM56" s="201"/>
      <c r="AN56" s="201"/>
      <c r="AO56" s="201"/>
    </row>
    <row r="57" spans="1:41" s="106" customFormat="1" ht="33" customHeight="1">
      <c r="A57" s="128"/>
      <c r="B57" s="112"/>
      <c r="C57" s="109"/>
      <c r="D57" s="109"/>
      <c r="E57" s="109"/>
      <c r="H57" s="128"/>
      <c r="Z57" s="201"/>
      <c r="AA57" s="201"/>
      <c r="AB57" s="201"/>
      <c r="AC57" s="201"/>
      <c r="AD57" s="201"/>
      <c r="AE57" s="195"/>
      <c r="AF57" s="195"/>
      <c r="AG57" s="201"/>
      <c r="AH57" s="201"/>
      <c r="AI57" s="201"/>
      <c r="AJ57" s="201"/>
      <c r="AK57" s="201"/>
      <c r="AL57" s="201"/>
      <c r="AM57" s="201"/>
      <c r="AN57" s="201"/>
      <c r="AO57" s="201"/>
    </row>
    <row r="58" spans="1:41">
      <c r="A58" s="112"/>
    </row>
    <row r="59" spans="1:41">
      <c r="A59" s="112"/>
    </row>
    <row r="60" spans="1:41">
      <c r="A60" s="112"/>
    </row>
    <row r="61" spans="1:41">
      <c r="A61" s="112"/>
    </row>
    <row r="62" spans="1:41">
      <c r="A62" s="112"/>
    </row>
    <row r="63" spans="1:41">
      <c r="A63" s="112"/>
    </row>
    <row r="64" spans="1:41">
      <c r="A64" s="112"/>
    </row>
    <row r="65" spans="1:1">
      <c r="A65" s="112"/>
    </row>
    <row r="66" spans="1:1">
      <c r="A66" s="112"/>
    </row>
    <row r="67" spans="1:1">
      <c r="A67" s="112"/>
    </row>
    <row r="68" spans="1:1">
      <c r="A68" s="112"/>
    </row>
    <row r="69" spans="1:1">
      <c r="A69" s="112"/>
    </row>
  </sheetData>
  <sheetProtection password="84E7" sheet="1" formatColumns="0" formatRows="0" selectLockedCells="1"/>
  <customSheetViews>
    <customSheetView guid="{9CA44E70-650F-49CD-967F-298619682CA2}" zeroValues="0" hiddenRows="1">
      <selection activeCell="F45" sqref="F45"/>
      <rowBreaks count="2" manualBreakCount="2">
        <brk id="26" max="5" man="1"/>
        <brk id="33" max="5" man="1"/>
      </rowBreaks>
      <pageMargins left="0.75" right="0.77" top="0.73" bottom="0.75" header="0.52" footer="0.45"/>
      <pageSetup scale="95" orientation="portrait" r:id="rId1"/>
      <headerFooter alignWithMargins="0"/>
    </customSheetView>
    <customSheetView guid="{C39F923C-6CD3-45D8-86F8-6C4D806DDD7E}" zeroValues="0" hiddenRows="1">
      <selection activeCell="F45" sqref="F45"/>
      <rowBreaks count="2" manualBreakCount="2">
        <brk id="26" max="5" man="1"/>
        <brk id="33" max="5" man="1"/>
      </rowBreaks>
      <pageMargins left="0.75" right="0.77" top="0.73" bottom="0.75" header="0.52" footer="0.45"/>
      <pageSetup scale="95" orientation="portrait" r:id="rId2"/>
      <headerFooter alignWithMargins="0"/>
    </customSheetView>
    <customSheetView guid="{B1277D53-29D6-4226-81E2-084FB62977B6}" zeroValues="0" hiddenRows="1">
      <selection activeCell="D54" sqref="D54:F54"/>
      <rowBreaks count="2" manualBreakCount="2">
        <brk id="26" max="5" man="1"/>
        <brk id="33" max="5" man="1"/>
      </rowBreaks>
      <pageMargins left="0.75" right="0.77" top="0.73" bottom="0.75" header="0.52" footer="0.45"/>
      <pageSetup scale="95" orientation="portrait" r:id="rId3"/>
      <headerFooter alignWithMargins="0">
        <oddFooter>&amp;L&amp;8Tower Package-P238-TW04, TL associated with Phase-I Generation Project in Orissa (Part-C)&amp;R&amp;"Book Antiqua,Bold"&amp;8Attachment-13 TW04  / Page &amp;P of &amp;N</oddFooter>
      </headerFooter>
    </customSheetView>
    <customSheetView guid="{58D82F59-8CF6-455F-B9F4-081499FDF243}"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4"/>
      <headerFooter alignWithMargins="0">
        <oddFooter>&amp;L&amp;8Tower Package-P238-TW04, TL associated with Phase-I Generation Project in Orissa (Part-C)&amp;R&amp;"Book Antiqua,Bold"&amp;8Attachment-13 TW04  / Page &amp;P of &amp;N</oddFooter>
      </headerFooter>
    </customSheetView>
    <customSheetView guid="{696D9240-6693-44E8-B9A4-2BFADD101EE2}" zeroValues="0" hiddenRows="1">
      <selection activeCell="C5" sqref="C5:F5"/>
      <pageMargins left="0.75" right="0.77" top="0.73" bottom="0.75" header="0.52" footer="0.45"/>
      <pageSetup orientation="portrait" r:id="rId5"/>
      <headerFooter alignWithMargins="0">
        <oddFooter>&amp;L&amp;8Tower Package-P238-TW04, TL associated with Phase-I Generation Project in Orissa (Part-C)&amp;R&amp;"Book Antiqua,Bold"&amp;8Attachment-13 TW04  / Page &amp;P of &amp;N</oddFooter>
      </headerFooter>
    </customSheetView>
    <customSheetView guid="{B0EE7D76-5806-4718-BDAD-3A3EA691E5E4}"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6"/>
      <headerFooter alignWithMargins="0">
        <oddFooter>&amp;L&amp;8Tower Package-P238-TW04, TL associated with Phase-I Generation Project in Orissa (Part-C)&amp;R&amp;"Book Antiqua,Bold"&amp;8Attachment-13 TW04  / Page &amp;P of &amp;N</oddFooter>
      </headerFooter>
    </customSheetView>
    <customSheetView guid="{E95B21C1-D936-4435-AF6F-90CF0B6A7506}" zeroValues="0" hiddenRows="1">
      <selection activeCell="D54" sqref="D54:F54"/>
      <rowBreaks count="2" manualBreakCount="2">
        <brk id="26" max="5" man="1"/>
        <brk id="33" max="5" man="1"/>
      </rowBreaks>
      <pageMargins left="0.75" right="0.77" top="0.73" bottom="0.75" header="0.52" footer="0.45"/>
      <pageSetup scale="95" orientation="portrait" r:id="rId7"/>
      <headerFooter alignWithMargins="0">
        <oddFooter>&amp;L&amp;8Tower Package-P238-TW04, TL associated with Phase-I Generation Project in Orissa (Part-C)&amp;R&amp;"Book Antiqua,Bold"&amp;8Attachment-13 TW04  / Page &amp;P of &amp;N</oddFooter>
      </headerFooter>
    </customSheetView>
    <customSheetView guid="{08A645C4-A23F-4400-B0CE-1685BC312A6F}" zeroValues="0" printArea="1" hiddenRows="1">
      <selection activeCell="F45" sqref="F45"/>
      <rowBreaks count="2" manualBreakCount="2">
        <brk id="26" max="5" man="1"/>
        <brk id="33" max="5" man="1"/>
      </rowBreaks>
      <pageMargins left="0.75" right="0.77" top="0.73" bottom="0.75" header="0.52" footer="0.45"/>
      <pageSetup scale="95" orientation="portrait" r:id="rId8"/>
      <headerFooter alignWithMargins="0"/>
    </customSheetView>
  </customSheetViews>
  <mergeCells count="32">
    <mergeCell ref="B18:F18"/>
    <mergeCell ref="A52:C52"/>
    <mergeCell ref="B31:F31"/>
    <mergeCell ref="A49:C49"/>
    <mergeCell ref="A47:C47"/>
    <mergeCell ref="A51:C51"/>
    <mergeCell ref="A50:C50"/>
    <mergeCell ref="B33:F33"/>
    <mergeCell ref="B29:F29"/>
    <mergeCell ref="B41:C41"/>
    <mergeCell ref="B35:F35"/>
    <mergeCell ref="D22:F22"/>
    <mergeCell ref="B27:F27"/>
    <mergeCell ref="A48:C48"/>
    <mergeCell ref="B26:F26"/>
    <mergeCell ref="B28:F28"/>
    <mergeCell ref="A3:F3"/>
    <mergeCell ref="C5:F5"/>
    <mergeCell ref="B6:C6"/>
    <mergeCell ref="C15:F15"/>
    <mergeCell ref="B17:F17"/>
    <mergeCell ref="B19:F19"/>
    <mergeCell ref="B20:F20"/>
    <mergeCell ref="D21:F21"/>
    <mergeCell ref="A53:C53"/>
    <mergeCell ref="B30:F30"/>
    <mergeCell ref="B32:F32"/>
    <mergeCell ref="A45:C45"/>
    <mergeCell ref="D53:F53"/>
    <mergeCell ref="A46:C46"/>
    <mergeCell ref="B34:F34"/>
    <mergeCell ref="B42:C42"/>
  </mergeCells>
  <phoneticPr fontId="34" type="noConversion"/>
  <pageMargins left="0.75" right="0.77" top="0.73" bottom="0.75" header="0.52" footer="0.45"/>
  <pageSetup scale="92" orientation="portrait" r:id="rId9"/>
  <headerFooter alignWithMargins="0"/>
  <rowBreaks count="2" manualBreakCount="2">
    <brk id="25" max="5" man="1"/>
    <brk id="32" max="5" man="1"/>
  </rowBreak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sheetPr>
  <dimension ref="A1:J17"/>
  <sheetViews>
    <sheetView showGridLines="0" zoomScaleNormal="100" zoomScaleSheetLayoutView="100" workbookViewId="0">
      <selection activeCell="C5" sqref="C5:E5"/>
    </sheetView>
  </sheetViews>
  <sheetFormatPr defaultColWidth="8" defaultRowHeight="13.5"/>
  <cols>
    <col min="1" max="1" width="8.625" style="8" customWidth="1"/>
    <col min="2" max="2" width="11.125" style="8" customWidth="1"/>
    <col min="3" max="4" width="38.625" style="8" customWidth="1"/>
    <col min="5" max="5" width="14.875" style="8" customWidth="1"/>
    <col min="6" max="6" width="8.625" style="19" customWidth="1"/>
    <col min="7" max="9" width="8" style="19" customWidth="1"/>
    <col min="10" max="16384" width="8" style="12"/>
  </cols>
  <sheetData>
    <row r="1" spans="1:10" ht="30.75" customHeight="1">
      <c r="B1" s="695" t="s">
        <v>163</v>
      </c>
      <c r="C1" s="696"/>
      <c r="D1" s="696"/>
      <c r="E1" s="697"/>
      <c r="F1" s="9"/>
      <c r="G1" s="10"/>
      <c r="H1" s="10"/>
      <c r="I1" s="10"/>
      <c r="J1" s="11"/>
    </row>
    <row r="2" spans="1:10" ht="50.1" customHeight="1">
      <c r="A2" s="13"/>
      <c r="B2" s="698" t="str">
        <f>'Basic Data'!C5</f>
        <v xml:space="preserve">Diversion of 220kV Budhipadar-Korba S/C line #3 &amp; 765kV Angul-Sundargarh S/C line # 1 due to NH 49 Jharsuguda bypass Road diversion work (Deposit work On Behalf of NHAI).
</v>
      </c>
      <c r="C2" s="699"/>
      <c r="D2" s="699"/>
      <c r="E2" s="700"/>
      <c r="F2" s="10"/>
      <c r="G2" s="10"/>
      <c r="H2" s="10"/>
      <c r="I2" s="10"/>
      <c r="J2" s="11"/>
    </row>
    <row r="3" spans="1:10" ht="23.25" customHeight="1">
      <c r="A3" s="13"/>
      <c r="B3" s="701" t="str">
        <f>"Specification No.: " &amp; 'Basic Data'!C7</f>
        <v>Specification No.: ODP/BB/C&amp;M-4155/OT-02/RFx No. 5002004411/25-26</v>
      </c>
      <c r="C3" s="702"/>
      <c r="D3" s="702"/>
      <c r="E3" s="703"/>
      <c r="F3" s="10"/>
      <c r="G3" s="10"/>
      <c r="H3" s="10"/>
      <c r="I3" s="10"/>
      <c r="J3" s="11"/>
    </row>
    <row r="4" spans="1:10" ht="30" customHeight="1">
      <c r="A4" s="13"/>
      <c r="B4" s="179">
        <v>1</v>
      </c>
      <c r="C4" s="687" t="s">
        <v>516</v>
      </c>
      <c r="D4" s="687"/>
      <c r="E4" s="688"/>
      <c r="F4" s="10"/>
      <c r="G4" s="16"/>
      <c r="H4" s="16"/>
      <c r="I4" s="10"/>
      <c r="J4" s="11"/>
    </row>
    <row r="5" spans="1:10" ht="30" customHeight="1">
      <c r="A5" s="13"/>
      <c r="B5" s="179">
        <v>2</v>
      </c>
      <c r="C5" s="687" t="s">
        <v>317</v>
      </c>
      <c r="D5" s="687"/>
      <c r="E5" s="688"/>
      <c r="F5" s="10"/>
      <c r="G5" s="10"/>
      <c r="H5" s="10"/>
      <c r="I5" s="10"/>
      <c r="J5" s="11"/>
    </row>
    <row r="6" spans="1:10" s="19" customFormat="1" ht="30" customHeight="1">
      <c r="A6" s="13"/>
      <c r="B6" s="179">
        <v>3</v>
      </c>
      <c r="C6" s="687" t="s">
        <v>140</v>
      </c>
      <c r="D6" s="687"/>
      <c r="E6" s="688"/>
      <c r="F6" s="10"/>
      <c r="G6" s="10"/>
      <c r="H6" s="10"/>
      <c r="I6" s="10"/>
      <c r="J6" s="10"/>
    </row>
    <row r="7" spans="1:10" ht="52.5" hidden="1" customHeight="1">
      <c r="A7" s="13"/>
      <c r="B7" s="180">
        <v>4</v>
      </c>
      <c r="C7" s="687" t="s">
        <v>243</v>
      </c>
      <c r="D7" s="687"/>
      <c r="E7" s="688"/>
      <c r="F7" s="10"/>
      <c r="G7" s="10"/>
      <c r="H7" s="10"/>
      <c r="I7" s="10"/>
      <c r="J7" s="11"/>
    </row>
    <row r="8" spans="1:10" ht="12" customHeight="1">
      <c r="A8" s="13"/>
      <c r="B8" s="14"/>
      <c r="C8" s="13"/>
      <c r="D8" s="13"/>
      <c r="E8" s="15"/>
      <c r="F8" s="10"/>
      <c r="G8" s="10"/>
      <c r="H8" s="10"/>
      <c r="I8" s="10"/>
      <c r="J8" s="11"/>
    </row>
    <row r="9" spans="1:10" ht="20.25" customHeight="1">
      <c r="A9" s="13"/>
      <c r="B9" s="684"/>
      <c r="C9" s="685"/>
      <c r="D9" s="685"/>
      <c r="E9" s="686"/>
      <c r="F9" s="10"/>
      <c r="G9" s="10"/>
      <c r="H9" s="10"/>
      <c r="I9" s="10"/>
      <c r="J9" s="11"/>
    </row>
    <row r="10" spans="1:10" ht="33.75" hidden="1" customHeight="1">
      <c r="A10" s="13"/>
      <c r="B10" s="14"/>
      <c r="C10" s="13"/>
      <c r="D10" s="13"/>
      <c r="E10" s="17"/>
      <c r="F10" s="10"/>
      <c r="G10" s="10"/>
      <c r="H10" s="10"/>
      <c r="I10" s="10"/>
      <c r="J10" s="11"/>
    </row>
    <row r="11" spans="1:10" ht="24" customHeight="1">
      <c r="B11" s="691"/>
      <c r="C11" s="692"/>
      <c r="D11" s="692"/>
      <c r="E11" s="18"/>
    </row>
    <row r="12" spans="1:10" ht="15.95" customHeight="1">
      <c r="B12" s="689"/>
      <c r="C12" s="690"/>
      <c r="D12" s="690"/>
      <c r="E12" s="20"/>
      <c r="G12" s="10"/>
      <c r="H12" s="10"/>
      <c r="I12" s="10"/>
      <c r="J12" s="11"/>
    </row>
    <row r="13" spans="1:10" ht="24" customHeight="1">
      <c r="B13" s="691"/>
      <c r="C13" s="692"/>
      <c r="D13" s="692"/>
      <c r="E13" s="18"/>
      <c r="F13" s="21"/>
      <c r="G13" s="22"/>
      <c r="H13" s="22"/>
      <c r="I13" s="22"/>
      <c r="J13" s="22"/>
    </row>
    <row r="14" spans="1:10" ht="15.95" customHeight="1">
      <c r="B14" s="693"/>
      <c r="C14" s="694"/>
      <c r="D14" s="694"/>
      <c r="E14" s="23"/>
      <c r="F14" s="21"/>
      <c r="G14" s="22"/>
      <c r="H14" s="22"/>
      <c r="I14" s="22"/>
      <c r="J14" s="22"/>
    </row>
    <row r="15" spans="1:10" ht="15.75">
      <c r="A15" s="13"/>
      <c r="B15" s="24"/>
      <c r="C15" s="24"/>
      <c r="D15" s="24"/>
      <c r="E15" s="24"/>
      <c r="F15" s="10"/>
      <c r="G15" s="10"/>
      <c r="H15" s="10"/>
      <c r="I15" s="10"/>
      <c r="J15" s="11"/>
    </row>
    <row r="16" spans="1:10" ht="15.75">
      <c r="A16" s="13"/>
      <c r="B16" s="13"/>
      <c r="C16" s="13"/>
      <c r="D16" s="13"/>
      <c r="E16" s="13"/>
      <c r="F16" s="10"/>
      <c r="G16" s="10"/>
      <c r="H16" s="10"/>
      <c r="I16" s="10"/>
      <c r="J16" s="11"/>
    </row>
    <row r="17" spans="1:10" ht="15.75">
      <c r="A17" s="13"/>
      <c r="B17" s="13"/>
      <c r="C17" s="13"/>
      <c r="D17" s="13"/>
      <c r="E17" s="13"/>
      <c r="F17" s="10"/>
      <c r="G17" s="10"/>
      <c r="H17" s="10"/>
      <c r="I17" s="10"/>
      <c r="J17" s="11"/>
    </row>
  </sheetData>
  <sheetProtection password="84E7" sheet="1" formatColumns="0" formatRows="0" selectLockedCells="1"/>
  <customSheetViews>
    <customSheetView guid="{9CA44E70-650F-49CD-967F-298619682CA2}" showPageBreaks="1" showGridLines="0" printArea="1" hiddenRows="1">
      <selection activeCell="F45" sqref="F45"/>
      <pageMargins left="0.15748031496062992" right="0.23622047244094491" top="0.78740157480314965" bottom="0.98425196850393704" header="0.35433070866141736" footer="0.51181102362204722"/>
      <printOptions horizontalCentered="1"/>
      <pageSetup paperSize="9" orientation="landscape" r:id="rId1"/>
      <headerFooter alignWithMargins="0"/>
    </customSheetView>
    <customSheetView guid="{C39F923C-6CD3-45D8-86F8-6C4D806DDD7E}" showGridLines="0" hiddenRows="1">
      <selection activeCell="F45" sqref="F45"/>
      <pageMargins left="0.15748031496062992" right="0.23622047244094491" top="0.78740157480314965" bottom="0.98425196850393704" header="0.35433070866141736" footer="0.51181102362204722"/>
      <printOptions horizontalCentered="1"/>
      <pageSetup paperSize="9" orientation="landscape" r:id="rId2"/>
      <headerFooter alignWithMargins="0"/>
    </customSheetView>
    <customSheetView guid="{B1277D53-29D6-4226-81E2-084FB62977B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3"/>
      <headerFooter alignWithMargins="0"/>
    </customSheetView>
    <customSheetView guid="{58D82F59-8CF6-455F-B9F4-081499FDF243}"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4"/>
      <headerFooter alignWithMargins="0"/>
    </customSheetView>
    <customSheetView guid="{4F65FF32-EC61-4022-A399-2986D7B6B8B3}" showGridLines="0" showRuler="0">
      <selection activeCell="B2" sqref="B2:E2"/>
      <pageMargins left="0.15748031496062992" right="0.23622047244094491" top="0.51181102362204722" bottom="0.98425196850393704" header="0.35433070866141736" footer="0.51181102362204722"/>
      <pageSetup paperSize="9" orientation="landscape" r:id="rId5"/>
      <headerFooter alignWithMargins="0"/>
    </customSheetView>
    <customSheetView guid="{696D9240-6693-44E8-B9A4-2BFADD101EE2}"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6"/>
      <headerFooter alignWithMargins="0"/>
    </customSheetView>
    <customSheetView guid="{B0EE7D76-5806-4718-BDAD-3A3EA691E5E4}"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7"/>
      <headerFooter alignWithMargins="0"/>
    </customSheetView>
    <customSheetView guid="{E95B21C1-D936-4435-AF6F-90CF0B6A7506}" showPageBreaks="1" showGridLines="0" printArea="1"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8"/>
      <headerFooter alignWithMargins="0"/>
    </customSheetView>
    <customSheetView guid="{08A645C4-A23F-4400-B0CE-1685BC312A6F}" showGridLines="0" hiddenRows="1">
      <selection activeCell="B14" sqref="B14:D14"/>
      <pageMargins left="0.15748031496062992" right="0.23622047244094491" top="0.78740157480314965" bottom="0.98425196850393704" header="0.35433070866141736" footer="0.51181102362204722"/>
      <printOptions horizontalCentered="1"/>
      <pageSetup paperSize="9" orientation="landscape" r:id="rId9"/>
      <headerFooter alignWithMargins="0"/>
    </customSheetView>
  </customSheetViews>
  <mergeCells count="12">
    <mergeCell ref="C6:E6"/>
    <mergeCell ref="B1:E1"/>
    <mergeCell ref="C4:E4"/>
    <mergeCell ref="C5:E5"/>
    <mergeCell ref="B2:E2"/>
    <mergeCell ref="B3:E3"/>
    <mergeCell ref="B9:E9"/>
    <mergeCell ref="C7:E7"/>
    <mergeCell ref="B12:D12"/>
    <mergeCell ref="B13:D13"/>
    <mergeCell ref="B14:D14"/>
    <mergeCell ref="B11:D11"/>
  </mergeCells>
  <phoneticPr fontId="3" type="noConversion"/>
  <printOptions horizontalCentered="1"/>
  <pageMargins left="0.15748031496062992" right="0.23622047244094491" top="0.78740157480314965" bottom="0.98425196850393704" header="0.35433070866141736" footer="0.51181102362204722"/>
  <pageSetup paperSize="9" orientation="landscape" r:id="rId10"/>
  <headerFooter alignWithMargins="0"/>
  <drawing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
  <dimension ref="A1:L46"/>
  <sheetViews>
    <sheetView view="pageBreakPreview" topLeftCell="A31" zoomScaleNormal="100" zoomScaleSheetLayoutView="100" workbookViewId="0">
      <selection activeCell="H12" sqref="H12"/>
    </sheetView>
  </sheetViews>
  <sheetFormatPr defaultColWidth="8" defaultRowHeight="16.5"/>
  <cols>
    <col min="1" max="1" width="7.5" style="323" customWidth="1"/>
    <col min="2" max="2" width="46.875" style="323" customWidth="1"/>
    <col min="3" max="3" width="2.25" style="323" customWidth="1"/>
    <col min="4" max="4" width="17.625" style="383" customWidth="1"/>
    <col min="5" max="5" width="4.125" style="383" customWidth="1"/>
    <col min="6" max="6" width="17.625" style="383" customWidth="1"/>
    <col min="7" max="7" width="29.625" style="326" customWidth="1"/>
    <col min="8" max="8" width="15.25" style="326" customWidth="1"/>
    <col min="9" max="9" width="8.875" style="326" bestFit="1" customWidth="1"/>
    <col min="10" max="11" width="8" style="326"/>
    <col min="12" max="12" width="14" style="326" customWidth="1"/>
    <col min="13" max="16384" width="8" style="326"/>
  </cols>
  <sheetData>
    <row r="1" spans="1:8" ht="15.95" customHeight="1">
      <c r="B1" s="869" t="s">
        <v>335</v>
      </c>
      <c r="C1" s="870"/>
      <c r="D1" s="870"/>
      <c r="E1" s="870"/>
      <c r="F1" s="870"/>
    </row>
    <row r="2" spans="1:8" ht="15.95" customHeight="1">
      <c r="B2" s="324"/>
      <c r="C2" s="325"/>
      <c r="D2" s="327"/>
      <c r="E2" s="327"/>
      <c r="F2" s="327"/>
    </row>
    <row r="3" spans="1:8" s="328" customFormat="1" ht="15.95" customHeight="1">
      <c r="A3" s="323"/>
      <c r="B3" s="323"/>
      <c r="C3" s="323"/>
      <c r="D3" s="871" t="s">
        <v>336</v>
      </c>
      <c r="E3" s="871"/>
      <c r="F3" s="871"/>
    </row>
    <row r="4" spans="1:8" s="328" customFormat="1" ht="20.25" customHeight="1">
      <c r="A4" s="872" t="s">
        <v>337</v>
      </c>
      <c r="B4" s="872"/>
      <c r="C4" s="872"/>
      <c r="D4" s="873">
        <f>'Sch-1'!G8</f>
        <v>0</v>
      </c>
      <c r="E4" s="873"/>
      <c r="F4" s="873"/>
    </row>
    <row r="5" spans="1:8" s="334" customFormat="1" ht="21" customHeight="1">
      <c r="A5" s="330" t="s">
        <v>200</v>
      </c>
      <c r="B5" s="876" t="s">
        <v>338</v>
      </c>
      <c r="C5" s="877"/>
      <c r="D5" s="331" t="s">
        <v>339</v>
      </c>
      <c r="E5" s="878" t="s">
        <v>340</v>
      </c>
      <c r="F5" s="879"/>
    </row>
    <row r="6" spans="1:8" s="328" customFormat="1" ht="36" customHeight="1">
      <c r="A6" s="335">
        <v>1</v>
      </c>
      <c r="B6" s="336" t="s">
        <v>341</v>
      </c>
      <c r="C6" s="337"/>
      <c r="D6" s="338">
        <f>'Sch-5'!D15</f>
        <v>0</v>
      </c>
      <c r="E6" s="339" t="s">
        <v>342</v>
      </c>
      <c r="F6" s="340">
        <f>D6</f>
        <v>0</v>
      </c>
      <c r="G6" s="341"/>
    </row>
    <row r="7" spans="1:8" s="328" customFormat="1" ht="34.5" customHeight="1">
      <c r="A7" s="335">
        <v>2</v>
      </c>
      <c r="B7" s="336" t="s">
        <v>343</v>
      </c>
      <c r="C7" s="337"/>
      <c r="D7" s="338">
        <f>'Sch-5'!D17</f>
        <v>0</v>
      </c>
      <c r="E7" s="339"/>
      <c r="F7" s="340">
        <f>D7</f>
        <v>0</v>
      </c>
      <c r="G7" s="341"/>
    </row>
    <row r="8" spans="1:8" s="328" customFormat="1" ht="21" customHeight="1">
      <c r="A8" s="335">
        <v>3</v>
      </c>
      <c r="B8" s="336" t="s">
        <v>344</v>
      </c>
      <c r="C8" s="337"/>
      <c r="D8" s="342">
        <f>'Sch-5'!D19</f>
        <v>0</v>
      </c>
      <c r="E8" s="332"/>
      <c r="F8" s="333">
        <f>D8</f>
        <v>0</v>
      </c>
      <c r="G8" s="341"/>
    </row>
    <row r="9" spans="1:8" s="328" customFormat="1" ht="21" customHeight="1">
      <c r="A9" s="335">
        <v>4</v>
      </c>
      <c r="B9" s="336" t="s">
        <v>345</v>
      </c>
      <c r="C9" s="337"/>
      <c r="D9" s="342" t="s">
        <v>257</v>
      </c>
      <c r="E9" s="339"/>
      <c r="F9" s="333" t="str">
        <f>D9</f>
        <v>Not Applicable</v>
      </c>
    </row>
    <row r="10" spans="1:8" s="328" customFormat="1" ht="21" customHeight="1">
      <c r="A10" s="335">
        <v>5</v>
      </c>
      <c r="B10" s="336" t="s">
        <v>346</v>
      </c>
      <c r="C10" s="337"/>
      <c r="D10" s="343">
        <f>SUM(D6,D7,D8)</f>
        <v>0</v>
      </c>
      <c r="E10" s="339"/>
      <c r="F10" s="344">
        <f>SUM(F6,F7,F8)</f>
        <v>0</v>
      </c>
    </row>
    <row r="11" spans="1:8" s="328" customFormat="1" ht="21" customHeight="1">
      <c r="A11" s="335">
        <v>6</v>
      </c>
      <c r="B11" s="345" t="s">
        <v>347</v>
      </c>
      <c r="C11" s="346" t="s">
        <v>342</v>
      </c>
      <c r="D11" s="338" t="e">
        <f>H11</f>
        <v>#REF!</v>
      </c>
      <c r="E11" s="347" t="s">
        <v>342</v>
      </c>
      <c r="F11" s="340" t="e">
        <f>D11</f>
        <v>#REF!</v>
      </c>
      <c r="H11" s="348" t="e">
        <f>ROUND(('Sch-1'!#REF!-'Sch-1 Dis'!G23)+('Sch-2'!G90-'Sch-2 Dis'!G17),0)</f>
        <v>#REF!</v>
      </c>
    </row>
    <row r="12" spans="1:8" s="328" customFormat="1" ht="21.95" customHeight="1">
      <c r="A12" s="335">
        <v>7</v>
      </c>
      <c r="B12" s="345" t="s">
        <v>348</v>
      </c>
      <c r="C12" s="337"/>
      <c r="D12" s="331" t="e">
        <f>D10-D11</f>
        <v>#REF!</v>
      </c>
      <c r="E12" s="339"/>
      <c r="F12" s="344" t="e">
        <f>F10-F11</f>
        <v>#REF!</v>
      </c>
      <c r="G12" s="349"/>
    </row>
    <row r="13" spans="1:8" s="328" customFormat="1" ht="21.95" customHeight="1">
      <c r="A13" s="335">
        <v>8</v>
      </c>
      <c r="B13" s="336" t="s">
        <v>349</v>
      </c>
      <c r="C13" s="337"/>
      <c r="D13" s="338"/>
      <c r="E13" s="339"/>
      <c r="F13" s="340"/>
    </row>
    <row r="14" spans="1:8" s="328" customFormat="1" ht="21.95" customHeight="1">
      <c r="A14" s="335" t="s">
        <v>342</v>
      </c>
      <c r="B14" s="336" t="s">
        <v>350</v>
      </c>
      <c r="C14" s="350"/>
      <c r="D14" s="351" t="e">
        <f>'Sch-4 Dis'!D14:E14</f>
        <v>#REF!</v>
      </c>
      <c r="E14" s="352"/>
      <c r="F14" s="333">
        <f>F32</f>
        <v>0</v>
      </c>
      <c r="G14" s="341"/>
    </row>
    <row r="15" spans="1:8" s="328" customFormat="1" ht="21.95" customHeight="1">
      <c r="A15" s="335"/>
      <c r="B15" s="336" t="s">
        <v>351</v>
      </c>
      <c r="C15" s="337"/>
      <c r="D15" s="351" t="e">
        <f>'Sch-4 Dis'!D17:E17</f>
        <v>#REF!</v>
      </c>
      <c r="E15" s="353"/>
      <c r="F15" s="333" t="e">
        <f>F34</f>
        <v>#REF!</v>
      </c>
      <c r="G15" s="341"/>
    </row>
    <row r="16" spans="1:8" s="328" customFormat="1" ht="21.95" customHeight="1">
      <c r="A16" s="335"/>
      <c r="B16" s="336" t="s">
        <v>352</v>
      </c>
      <c r="C16" s="337"/>
      <c r="D16" s="351" t="e">
        <f>'Sch-4 Dis'!D22:E22</f>
        <v>#REF!</v>
      </c>
      <c r="E16" s="353"/>
      <c r="F16" s="333" t="e">
        <f>F35</f>
        <v>#REF!</v>
      </c>
      <c r="G16" s="341"/>
    </row>
    <row r="17" spans="1:12" s="328" customFormat="1" ht="21.95" customHeight="1">
      <c r="A17" s="335"/>
      <c r="B17" s="336" t="s">
        <v>353</v>
      </c>
      <c r="C17" s="337"/>
      <c r="D17" s="351">
        <f>SUM('Sch-4 Dis'!D27:E27,'Sch-4 Dis'!D30:E30)</f>
        <v>0</v>
      </c>
      <c r="E17" s="353"/>
      <c r="F17" s="333" t="e">
        <f>F38</f>
        <v>#REF!</v>
      </c>
      <c r="G17" s="341"/>
    </row>
    <row r="18" spans="1:12" s="328" customFormat="1" ht="21.95" customHeight="1">
      <c r="A18" s="335"/>
      <c r="B18" s="336" t="s">
        <v>354</v>
      </c>
      <c r="C18" s="337"/>
      <c r="D18" s="342" t="str">
        <f>'Sch-4'!D31</f>
        <v/>
      </c>
      <c r="E18" s="332"/>
      <c r="F18" s="333" t="str">
        <f>F36</f>
        <v/>
      </c>
    </row>
    <row r="19" spans="1:12" s="328" customFormat="1" ht="27" customHeight="1">
      <c r="A19" s="335"/>
      <c r="B19" s="336" t="s">
        <v>355</v>
      </c>
      <c r="C19" s="354"/>
      <c r="D19" s="355" t="e">
        <f>SUM(D14,D15,D16,D17,D18)</f>
        <v>#REF!</v>
      </c>
      <c r="E19" s="356"/>
      <c r="F19" s="354" t="e">
        <f>SUM(F14:F18)</f>
        <v>#REF!</v>
      </c>
      <c r="G19" s="341"/>
    </row>
    <row r="20" spans="1:12" s="328" customFormat="1" ht="33.75" customHeight="1">
      <c r="A20" s="335">
        <v>8</v>
      </c>
      <c r="B20" s="336" t="s">
        <v>356</v>
      </c>
      <c r="C20" s="337"/>
      <c r="D20" s="331" t="e">
        <f>D10+D19</f>
        <v>#REF!</v>
      </c>
      <c r="E20" s="357" t="s">
        <v>342</v>
      </c>
      <c r="F20" s="358" t="e">
        <f>F10+F19</f>
        <v>#REF!</v>
      </c>
      <c r="G20" s="341"/>
    </row>
    <row r="21" spans="1:12" s="328" customFormat="1" ht="51" customHeight="1">
      <c r="A21" s="335">
        <v>9</v>
      </c>
      <c r="B21" s="336" t="s">
        <v>357</v>
      </c>
      <c r="C21" s="337"/>
      <c r="D21" s="338" t="e">
        <f>'Sch-1'!#REF!</f>
        <v>#REF!</v>
      </c>
      <c r="E21" s="339"/>
      <c r="F21" s="340" t="e">
        <f>D21</f>
        <v>#REF!</v>
      </c>
    </row>
    <row r="22" spans="1:12" s="328" customFormat="1" ht="23.25" customHeight="1">
      <c r="A22" s="359" t="s">
        <v>342</v>
      </c>
      <c r="B22" s="360" t="s">
        <v>342</v>
      </c>
      <c r="C22" s="360"/>
      <c r="D22" s="361"/>
      <c r="E22" s="362"/>
      <c r="F22" s="363"/>
    </row>
    <row r="23" spans="1:12" s="328" customFormat="1" ht="18.75" customHeight="1">
      <c r="A23" s="364" t="s">
        <v>358</v>
      </c>
      <c r="B23" s="859" t="s">
        <v>359</v>
      </c>
      <c r="C23" s="859"/>
      <c r="D23" s="859"/>
      <c r="E23" s="859"/>
      <c r="F23" s="880"/>
    </row>
    <row r="24" spans="1:12" s="328" customFormat="1" ht="18.75" customHeight="1">
      <c r="A24" s="364"/>
      <c r="B24" s="863" t="e">
        <f>H24&amp;" "&amp;G24&amp;" "&amp;I24&amp;" "&amp;J24&amp;"%"&amp; " as"&amp;" "&amp;K24&amp; " "&amp;L24</f>
        <v>#REF!</v>
      </c>
      <c r="C24" s="864"/>
      <c r="D24" s="864"/>
      <c r="E24" s="864"/>
      <c r="F24" s="865"/>
      <c r="G24" s="366">
        <f>IF('Sch-4'!D15=0,"",'Sch-4'!D15)</f>
        <v>9.1799999999999979E-2</v>
      </c>
      <c r="H24" s="367" t="s">
        <v>360</v>
      </c>
      <c r="I24" s="367" t="e">
        <f>IF(J24="","","@")</f>
        <v>#REF!</v>
      </c>
      <c r="J24" s="368" t="e">
        <f>IF('Sch-4'!#REF!*100=0,"",'Sch-4'!#REF!*100)</f>
        <v>#REF!</v>
      </c>
      <c r="K24" s="369" t="e">
        <f>IF(OR(L24=0,L24=""),"","Rs.")</f>
        <v>#REF!</v>
      </c>
      <c r="L24" s="370" t="e">
        <f>IF(D14=0,"",D14)</f>
        <v>#REF!</v>
      </c>
    </row>
    <row r="25" spans="1:12" s="328" customFormat="1" ht="19.5" customHeight="1">
      <c r="B25" s="863" t="e">
        <f>H25&amp;" "&amp;G25&amp;" "&amp;I25&amp;" "&amp;J25&amp;"%"&amp; " as"&amp;" "&amp;K25&amp; " "&amp;L25</f>
        <v>#REF!</v>
      </c>
      <c r="C25" s="864"/>
      <c r="D25" s="864"/>
      <c r="E25" s="864"/>
      <c r="F25" s="865"/>
      <c r="G25" s="366">
        <f>IF('Sch-4'!D17=0,"",'Sch-4'!D17)</f>
        <v>6.4800000000000038E-2</v>
      </c>
      <c r="H25" s="367" t="s">
        <v>361</v>
      </c>
      <c r="I25" s="367" t="e">
        <f>IF(J25="","","@")</f>
        <v>#REF!</v>
      </c>
      <c r="J25" s="368" t="e">
        <f>IF('Sch-4'!#REF!*100=0,"",'Sch-4'!#REF!*100)</f>
        <v>#REF!</v>
      </c>
      <c r="K25" s="369" t="e">
        <f>IF(OR(L25=0,L25=""),"","Rs.")</f>
        <v>#REF!</v>
      </c>
      <c r="L25" s="370" t="e">
        <f>IF(D15=0,"",D15)</f>
        <v>#REF!</v>
      </c>
    </row>
    <row r="26" spans="1:12" s="328" customFormat="1" ht="19.5" customHeight="1">
      <c r="B26" s="863" t="e">
        <f>H26&amp;" "&amp;G26&amp;" "&amp;I26&amp;" "&amp;J26&amp;"%"&amp; " as"&amp;" "&amp;K26&amp; " "&amp;L26</f>
        <v>#REF!</v>
      </c>
      <c r="C26" s="864"/>
      <c r="D26" s="864"/>
      <c r="E26" s="864"/>
      <c r="F26" s="865"/>
      <c r="G26" s="366" t="str">
        <f>IF('Sch-4'!D21=0,"",'Sch-4'!D21)</f>
        <v/>
      </c>
      <c r="H26" s="367" t="s">
        <v>362</v>
      </c>
      <c r="I26" s="367" t="str">
        <f>IF(J26="","","@")</f>
        <v/>
      </c>
      <c r="J26" s="368" t="str">
        <f>IF('Sch-4'!C24*100=0,"",'Sch-4'!C24*100)</f>
        <v/>
      </c>
      <c r="K26" s="369" t="e">
        <f>IF(OR(L26=0,L26=""),"","Rs.")</f>
        <v>#REF!</v>
      </c>
      <c r="L26" s="370" t="e">
        <f>IF(D16=0,"",D16)</f>
        <v>#REF!</v>
      </c>
    </row>
    <row r="27" spans="1:12" s="328" customFormat="1" ht="19.5" customHeight="1">
      <c r="B27" s="863" t="str">
        <f>H27&amp;" "&amp;G27&amp;" "&amp;I27&amp;" "&amp;J27&amp; " as"&amp;" "&amp;K27&amp; " "&amp;L27</f>
        <v xml:space="preserve">Entry Tax/ Octroi NOT APPLICABLE   as  </v>
      </c>
      <c r="C27" s="864"/>
      <c r="D27" s="864"/>
      <c r="E27" s="864"/>
      <c r="F27" s="865"/>
      <c r="G27" s="366" t="str">
        <f>IF('Sch-4'!D29=0,"",'Sch-4'!D29)</f>
        <v>NOT APPLICABLE</v>
      </c>
      <c r="H27" s="367" t="s">
        <v>363</v>
      </c>
      <c r="I27" s="367"/>
      <c r="J27" s="371"/>
      <c r="K27" s="369" t="str">
        <f>IF(OR(L27=0,L27=""),"","Rs.")</f>
        <v/>
      </c>
      <c r="L27" s="370" t="str">
        <f>IF(D17=0,"",D17)</f>
        <v/>
      </c>
    </row>
    <row r="28" spans="1:12" s="328" customFormat="1" ht="19.5" customHeight="1">
      <c r="B28" s="863" t="str">
        <f>H28&amp;" "&amp;G28&amp;" "&amp;I28&amp;" "&amp;J28&amp; " as"&amp;" "&amp;K28&amp; " "&amp;L28</f>
        <v xml:space="preserve">Others     as  </v>
      </c>
      <c r="C28" s="864"/>
      <c r="D28" s="864"/>
      <c r="E28" s="864"/>
      <c r="F28" s="865"/>
      <c r="G28" s="366" t="str">
        <f>IF('Sch-4'!D32=0,"",'Sch-4'!D32)</f>
        <v/>
      </c>
      <c r="H28" s="365" t="s">
        <v>364</v>
      </c>
      <c r="I28" s="365"/>
      <c r="J28" s="365"/>
      <c r="K28" s="365" t="str">
        <f>IF(OR(L28=0,L28=""),"","Rs.")</f>
        <v/>
      </c>
      <c r="L28" s="372" t="str">
        <f>IF(D18=0,"",D18)</f>
        <v/>
      </c>
    </row>
    <row r="29" spans="1:12" s="328" customFormat="1" ht="19.5" customHeight="1">
      <c r="B29" s="874"/>
      <c r="C29" s="874"/>
      <c r="D29" s="874"/>
      <c r="E29" s="874"/>
      <c r="F29" s="875"/>
    </row>
    <row r="30" spans="1:12" ht="59.25" customHeight="1">
      <c r="A30" s="373" t="s">
        <v>365</v>
      </c>
      <c r="B30" s="866" t="s">
        <v>366</v>
      </c>
      <c r="C30" s="867"/>
      <c r="D30" s="867"/>
      <c r="E30" s="867"/>
      <c r="F30" s="868"/>
    </row>
    <row r="31" spans="1:12" s="328" customFormat="1" ht="19.5" customHeight="1">
      <c r="A31" s="374" t="s">
        <v>367</v>
      </c>
      <c r="B31" s="859" t="s">
        <v>368</v>
      </c>
      <c r="C31" s="859"/>
      <c r="D31" s="859"/>
      <c r="E31" s="365" t="s">
        <v>369</v>
      </c>
      <c r="F31" s="370">
        <f>'Sch-1'!M95</f>
        <v>0</v>
      </c>
    </row>
    <row r="32" spans="1:12" s="328" customFormat="1" ht="19.5" customHeight="1">
      <c r="A32" s="374" t="s">
        <v>370</v>
      </c>
      <c r="B32" s="367" t="s">
        <v>371</v>
      </c>
      <c r="C32" s="375"/>
      <c r="D32" s="376">
        <v>0.10299999999999999</v>
      </c>
      <c r="E32" s="365" t="s">
        <v>369</v>
      </c>
      <c r="F32" s="370">
        <f>ROUND(D32*F31,0)</f>
        <v>0</v>
      </c>
      <c r="H32" s="859"/>
      <c r="I32" s="859"/>
      <c r="J32" s="859"/>
    </row>
    <row r="33" spans="1:10" s="328" customFormat="1" ht="19.5" customHeight="1">
      <c r="A33" s="377" t="s">
        <v>372</v>
      </c>
      <c r="B33" s="367" t="s">
        <v>330</v>
      </c>
      <c r="C33" s="375"/>
      <c r="D33" s="378" t="e">
        <f>'Sch-4 Dis'!C19</f>
        <v>#REF!</v>
      </c>
      <c r="E33" s="365"/>
      <c r="F33" s="370" t="e">
        <f>D33</f>
        <v>#REF!</v>
      </c>
      <c r="H33" s="365"/>
      <c r="I33" s="365"/>
      <c r="J33" s="365"/>
    </row>
    <row r="34" spans="1:10" s="328" customFormat="1" ht="19.5" customHeight="1">
      <c r="A34" s="377" t="s">
        <v>373</v>
      </c>
      <c r="B34" s="367" t="s">
        <v>374</v>
      </c>
      <c r="D34" s="376">
        <v>0</v>
      </c>
      <c r="E34" s="365" t="s">
        <v>369</v>
      </c>
      <c r="F34" s="370" t="e">
        <f>ROUND((F33+(F33*D32))*D34,0)</f>
        <v>#REF!</v>
      </c>
    </row>
    <row r="35" spans="1:10" s="328" customFormat="1" ht="19.5" customHeight="1">
      <c r="A35" s="377" t="s">
        <v>375</v>
      </c>
      <c r="B35" s="367" t="s">
        <v>376</v>
      </c>
      <c r="C35" s="365"/>
      <c r="D35" s="376">
        <v>0</v>
      </c>
      <c r="E35" s="365"/>
      <c r="F35" s="370" t="e">
        <f>ROUND(((F31-F33)+((F31-F33)*D32))*D35,0)</f>
        <v>#REF!</v>
      </c>
    </row>
    <row r="36" spans="1:10" s="328" customFormat="1" ht="19.5" customHeight="1">
      <c r="A36" s="377" t="s">
        <v>377</v>
      </c>
      <c r="B36" s="369" t="s">
        <v>378</v>
      </c>
      <c r="C36" s="365"/>
      <c r="D36" s="365"/>
      <c r="E36" s="365" t="s">
        <v>369</v>
      </c>
      <c r="F36" s="379" t="str">
        <f>L28</f>
        <v/>
      </c>
    </row>
    <row r="37" spans="1:10" s="328" customFormat="1" ht="19.5" customHeight="1">
      <c r="A37" s="377" t="s">
        <v>379</v>
      </c>
      <c r="B37" s="859" t="s">
        <v>380</v>
      </c>
      <c r="C37" s="859"/>
      <c r="D37" s="859"/>
      <c r="E37" s="365" t="s">
        <v>369</v>
      </c>
      <c r="F37" s="380" t="e">
        <f>SUM(F31,F32,F34,F35,F36)</f>
        <v>#REF!</v>
      </c>
    </row>
    <row r="38" spans="1:10" s="328" customFormat="1" ht="19.5" customHeight="1">
      <c r="A38" s="377" t="s">
        <v>381</v>
      </c>
      <c r="B38" s="369" t="s">
        <v>382</v>
      </c>
      <c r="C38" s="365"/>
      <c r="D38" s="376"/>
      <c r="E38" s="365" t="s">
        <v>369</v>
      </c>
      <c r="F38" s="379" t="e">
        <f>ROUND(D38*F37,0)</f>
        <v>#REF!</v>
      </c>
    </row>
    <row r="39" spans="1:10" s="328" customFormat="1" ht="19.5" customHeight="1">
      <c r="A39" s="374"/>
      <c r="B39" s="365"/>
      <c r="C39" s="365"/>
      <c r="D39" s="365"/>
      <c r="E39" s="365"/>
      <c r="F39" s="381"/>
    </row>
    <row r="40" spans="1:10" s="328" customFormat="1" ht="15" customHeight="1">
      <c r="A40" s="374"/>
      <c r="B40" s="365"/>
      <c r="C40" s="365"/>
      <c r="D40" s="365"/>
      <c r="E40" s="365"/>
      <c r="F40" s="381"/>
    </row>
    <row r="41" spans="1:10" s="328" customFormat="1" ht="15" customHeight="1">
      <c r="A41" s="374"/>
      <c r="B41" s="365"/>
      <c r="C41" s="365"/>
      <c r="D41" s="365"/>
      <c r="E41" s="365"/>
      <c r="F41" s="381"/>
    </row>
    <row r="42" spans="1:10" s="328" customFormat="1" ht="19.5" customHeight="1">
      <c r="A42" s="374"/>
      <c r="B42" s="365"/>
      <c r="C42" s="365"/>
      <c r="D42" s="365"/>
      <c r="E42" s="365"/>
      <c r="F42" s="381"/>
    </row>
    <row r="43" spans="1:10" ht="49.5" customHeight="1">
      <c r="A43" s="860" t="str">
        <f>Cover!B2</f>
        <v xml:space="preserve">Diversion of 220kV Budhipadar-Korba S/C line #3 &amp; 765kV Angul-Sundargarh S/C line # 1 due to NH 49 Jharsuguda bypass Road diversion work (Deposit work On Behalf of NHAI).
</v>
      </c>
      <c r="B43" s="860"/>
      <c r="C43" s="860"/>
      <c r="D43" s="861" t="s">
        <v>383</v>
      </c>
      <c r="E43" s="862"/>
      <c r="F43" s="329" t="s">
        <v>384</v>
      </c>
    </row>
    <row r="46" spans="1:10">
      <c r="A46" s="382"/>
    </row>
  </sheetData>
  <sheetProtection selectLockedCells="1" selectUnlockedCells="1"/>
  <customSheetViews>
    <customSheetView guid="{9CA44E70-650F-49CD-967F-298619682CA2}"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1"/>
      <headerFooter alignWithMargins="0">
        <oddFooter xml:space="preserve">&amp;R
</oddFooter>
      </headerFooter>
    </customSheetView>
    <customSheetView guid="{C39F923C-6CD3-45D8-86F8-6C4D806DDD7E}"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2"/>
      <headerFooter alignWithMargins="0">
        <oddFooter xml:space="preserve">&amp;R
</oddFooter>
      </headerFooter>
    </customSheetView>
    <customSheetView guid="{B1277D53-29D6-4226-81E2-084FB62977B6}"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3"/>
      <headerFooter alignWithMargins="0">
        <oddFooter xml:space="preserve">&amp;R
</oddFooter>
      </headerFooter>
    </customSheetView>
    <customSheetView guid="{E95B21C1-D936-4435-AF6F-90CF0B6A7506}"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4"/>
      <headerFooter alignWithMargins="0">
        <oddFooter xml:space="preserve">&amp;R
</oddFooter>
      </headerFooter>
    </customSheetView>
    <customSheetView guid="{08A645C4-A23F-4400-B0CE-1685BC312A6F}" showPageBreaks="1" printArea="1" state="hidden" view="pageBreakPreview" topLeftCell="A25">
      <selection activeCell="F21" sqref="F21"/>
      <pageMargins left="0.79" right="0.37" top="0.65" bottom="0.45" header="0.38" footer="0"/>
      <printOptions horizontalCentered="1"/>
      <pageSetup paperSize="9" scale="87" fitToHeight="0" orientation="portrait" horizontalDpi="1200" verticalDpi="1200" r:id="rId5"/>
      <headerFooter alignWithMargins="0">
        <oddFooter xml:space="preserve">&amp;R
</oddFooter>
      </headerFooter>
    </customSheetView>
  </customSheetViews>
  <mergeCells count="19">
    <mergeCell ref="B1:F1"/>
    <mergeCell ref="D3:F3"/>
    <mergeCell ref="A4:C4"/>
    <mergeCell ref="D4:F4"/>
    <mergeCell ref="H32:J32"/>
    <mergeCell ref="B29:F29"/>
    <mergeCell ref="B5:C5"/>
    <mergeCell ref="E5:F5"/>
    <mergeCell ref="B23:F23"/>
    <mergeCell ref="B24:F24"/>
    <mergeCell ref="B25:F25"/>
    <mergeCell ref="B37:D37"/>
    <mergeCell ref="A43:C43"/>
    <mergeCell ref="D43:E43"/>
    <mergeCell ref="B26:F26"/>
    <mergeCell ref="B27:F27"/>
    <mergeCell ref="B28:F28"/>
    <mergeCell ref="B30:F30"/>
    <mergeCell ref="B31:D31"/>
  </mergeCells>
  <phoneticPr fontId="30" type="noConversion"/>
  <printOptions horizontalCentered="1"/>
  <pageMargins left="0.79" right="0.37" top="0.65" bottom="0.45" header="0.38" footer="0"/>
  <pageSetup paperSize="9" scale="87" fitToHeight="0" orientation="portrait" horizontalDpi="1200" verticalDpi="1200" r:id="rId6"/>
  <headerFooter alignWithMargins="0">
    <oddFooter xml:space="preserve">&amp;R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L26"/>
  <sheetViews>
    <sheetView view="pageBreakPreview" topLeftCell="B7" zoomScale="80" zoomScaleNormal="100" zoomScaleSheetLayoutView="80" workbookViewId="0">
      <selection activeCell="I10" sqref="I10"/>
    </sheetView>
  </sheetViews>
  <sheetFormatPr defaultRowHeight="16.5"/>
  <cols>
    <col min="1" max="1" width="7.5" customWidth="1"/>
    <col min="2" max="2" width="13" customWidth="1"/>
    <col min="3" max="3" width="44.625" style="384" customWidth="1"/>
    <col min="4" max="4" width="34.625" customWidth="1"/>
    <col min="5" max="5" width="26.5" customWidth="1"/>
    <col min="7" max="7" width="15.25" customWidth="1"/>
    <col min="12" max="12" width="18.25" customWidth="1"/>
  </cols>
  <sheetData>
    <row r="1" spans="1:12" ht="33">
      <c r="G1" s="385">
        <f>'Q &amp; C'!G24</f>
        <v>9.1799999999999979E-2</v>
      </c>
      <c r="H1" s="367" t="str">
        <f>'Q &amp; C'!H24</f>
        <v xml:space="preserve">Excise Duty </v>
      </c>
      <c r="I1" s="367" t="e">
        <f>'Q &amp; C'!I24</f>
        <v>#REF!</v>
      </c>
      <c r="J1" s="371" t="e">
        <f>'Q &amp; C'!J24</f>
        <v>#REF!</v>
      </c>
      <c r="K1" s="365" t="e">
        <f>'Q &amp; C'!K24</f>
        <v>#REF!</v>
      </c>
      <c r="L1" s="370" t="e">
        <f>'Q &amp; C'!L24</f>
        <v>#REF!</v>
      </c>
    </row>
    <row r="2" spans="1:12">
      <c r="A2" s="386" t="s">
        <v>200</v>
      </c>
      <c r="B2" s="386" t="s">
        <v>385</v>
      </c>
      <c r="C2" s="387" t="s">
        <v>386</v>
      </c>
      <c r="D2" s="386" t="s">
        <v>387</v>
      </c>
      <c r="E2" s="386" t="s">
        <v>388</v>
      </c>
      <c r="G2" s="388">
        <f>'Q &amp; C'!G25</f>
        <v>6.4800000000000038E-2</v>
      </c>
      <c r="H2" s="388" t="str">
        <f>'Q &amp; C'!H25</f>
        <v xml:space="preserve">CST </v>
      </c>
      <c r="I2" s="388" t="e">
        <f>'Q &amp; C'!I25</f>
        <v>#REF!</v>
      </c>
      <c r="J2" s="388" t="e">
        <f>'Q &amp; C'!J25</f>
        <v>#REF!</v>
      </c>
      <c r="K2" s="388" t="e">
        <f>'Q &amp; C'!K25</f>
        <v>#REF!</v>
      </c>
      <c r="L2" s="388" t="e">
        <f>'Q &amp; C'!L25</f>
        <v>#REF!</v>
      </c>
    </row>
    <row r="3" spans="1:12" ht="23.25" customHeight="1">
      <c r="A3" s="389">
        <v>1</v>
      </c>
      <c r="B3" s="390" t="s">
        <v>389</v>
      </c>
      <c r="C3" s="391" t="s">
        <v>390</v>
      </c>
      <c r="D3" s="392"/>
      <c r="E3" s="392"/>
      <c r="G3" s="388" t="str">
        <f>'Q &amp; C'!G26</f>
        <v/>
      </c>
      <c r="H3" s="388" t="str">
        <f>'Q &amp; C'!H26</f>
        <v xml:space="preserve">VAT </v>
      </c>
      <c r="I3" s="388" t="str">
        <f>'Q &amp; C'!I26</f>
        <v/>
      </c>
      <c r="J3" s="388" t="str">
        <f>'Q &amp; C'!J26</f>
        <v/>
      </c>
      <c r="K3" s="388" t="e">
        <f>'Q &amp; C'!K26</f>
        <v>#REF!</v>
      </c>
      <c r="L3" s="388" t="e">
        <f>'Q &amp; C'!L26</f>
        <v>#REF!</v>
      </c>
    </row>
    <row r="4" spans="1:12" ht="30" customHeight="1">
      <c r="A4" s="392"/>
      <c r="B4" s="392"/>
      <c r="C4" s="393" t="s">
        <v>391</v>
      </c>
      <c r="D4" s="390" t="e">
        <f>H1&amp;" "&amp;G1&amp;" "&amp;I1&amp;" "&amp;J1&amp;"%"&amp; " as"&amp;" "&amp;K1&amp; " "&amp;L1</f>
        <v>#REF!</v>
      </c>
      <c r="E4" s="390"/>
      <c r="G4" s="388" t="str">
        <f>'Q &amp; C'!G27</f>
        <v>NOT APPLICABLE</v>
      </c>
      <c r="H4" s="388" t="str">
        <f>'Q &amp; C'!H27</f>
        <v>Entry Tax/ Octroi</v>
      </c>
      <c r="K4" s="388" t="str">
        <f>'Q &amp; C'!K27</f>
        <v/>
      </c>
      <c r="L4" s="388" t="str">
        <f>'Q &amp; C'!L27</f>
        <v/>
      </c>
    </row>
    <row r="5" spans="1:12" ht="40.5" customHeight="1">
      <c r="A5" s="392"/>
      <c r="B5" s="392"/>
      <c r="C5" s="393" t="s">
        <v>392</v>
      </c>
      <c r="D5" s="390" t="e">
        <f>H2&amp;" "&amp;G2&amp;" "&amp;I2&amp;" "&amp;J2&amp;"%"&amp; " as"&amp;" "&amp;K2&amp; " "&amp;L2</f>
        <v>#REF!</v>
      </c>
      <c r="E5" s="390"/>
      <c r="G5" s="388" t="str">
        <f>'Q &amp; C'!G28</f>
        <v/>
      </c>
      <c r="H5" s="388" t="str">
        <f>'Q &amp; C'!H28</f>
        <v xml:space="preserve">Others </v>
      </c>
      <c r="K5" s="388" t="str">
        <f>'Q &amp; C'!K28</f>
        <v/>
      </c>
      <c r="L5" s="388" t="str">
        <f>'Q &amp; C'!L28</f>
        <v/>
      </c>
    </row>
    <row r="6" spans="1:12" ht="42" customHeight="1">
      <c r="A6" s="392"/>
      <c r="B6" s="392"/>
      <c r="C6" s="393" t="s">
        <v>393</v>
      </c>
      <c r="D6" s="390" t="e">
        <f>H3&amp;" "&amp;G3&amp;" "&amp;I3&amp;" "&amp;J3&amp;"%"&amp; " as"&amp;" "&amp;K3&amp; " "&amp;L3</f>
        <v>#REF!</v>
      </c>
      <c r="E6" s="390"/>
      <c r="G6" s="388"/>
      <c r="H6" s="388"/>
      <c r="I6" s="388"/>
      <c r="J6" s="388"/>
      <c r="K6" s="388"/>
      <c r="L6" s="388"/>
    </row>
    <row r="7" spans="1:12" ht="59.25" customHeight="1">
      <c r="A7" s="392"/>
      <c r="B7" s="392"/>
      <c r="C7" s="393" t="s">
        <v>394</v>
      </c>
      <c r="D7" s="390" t="str">
        <f>H4&amp;" "&amp;G4&amp;" "&amp;I4&amp;" "&amp;J4&amp; " as"&amp;" "&amp;K4&amp; " "&amp;L4</f>
        <v xml:space="preserve">Entry Tax/ Octroi NOT APPLICABLE   as  </v>
      </c>
      <c r="E7" s="390"/>
    </row>
    <row r="8" spans="1:12" ht="27">
      <c r="A8" s="392"/>
      <c r="B8" s="392"/>
      <c r="C8" s="393" t="s">
        <v>395</v>
      </c>
      <c r="D8" s="390" t="str">
        <f>H5&amp;" "&amp;G5&amp;" "&amp;I5&amp;" "&amp;J5&amp; " as"&amp;" "&amp;K5&amp; " "&amp;L5</f>
        <v xml:space="preserve">Others     as  </v>
      </c>
      <c r="E8" s="390"/>
    </row>
    <row r="9" spans="1:12" ht="40.5">
      <c r="A9" s="392"/>
      <c r="B9" s="392"/>
      <c r="C9" s="393" t="s">
        <v>396</v>
      </c>
      <c r="D9" s="390"/>
      <c r="E9" s="390"/>
    </row>
    <row r="10" spans="1:12" ht="94.5">
      <c r="A10" s="392"/>
      <c r="B10" s="392"/>
      <c r="C10" s="393" t="s">
        <v>397</v>
      </c>
      <c r="D10" s="390"/>
      <c r="E10" s="390"/>
    </row>
    <row r="11" spans="1:12" ht="67.5">
      <c r="A11" s="392"/>
      <c r="B11" s="392"/>
      <c r="C11" s="393" t="s">
        <v>398</v>
      </c>
      <c r="D11" s="390"/>
      <c r="E11" s="390"/>
    </row>
    <row r="12" spans="1:12" ht="99">
      <c r="A12" s="394">
        <v>2</v>
      </c>
      <c r="B12" s="395" t="s">
        <v>399</v>
      </c>
      <c r="C12" s="396" t="s">
        <v>400</v>
      </c>
      <c r="D12" s="395"/>
      <c r="E12" s="395"/>
    </row>
    <row r="13" spans="1:12">
      <c r="C13" s="397"/>
      <c r="D13" s="397"/>
      <c r="E13" s="397"/>
    </row>
    <row r="14" spans="1:12">
      <c r="C14" s="397"/>
      <c r="D14" s="397"/>
      <c r="E14" s="397"/>
    </row>
    <row r="15" spans="1:12">
      <c r="C15" s="397"/>
      <c r="D15" s="397"/>
      <c r="E15" s="397"/>
    </row>
    <row r="16" spans="1:12">
      <c r="C16" s="397"/>
      <c r="D16" s="397"/>
      <c r="E16" s="397"/>
    </row>
    <row r="17" spans="3:5">
      <c r="C17" s="397"/>
      <c r="D17" s="397"/>
      <c r="E17" s="398"/>
    </row>
    <row r="18" spans="3:5">
      <c r="C18" s="397"/>
      <c r="D18" s="397"/>
      <c r="E18" s="397"/>
    </row>
    <row r="19" spans="3:5">
      <c r="C19" s="397"/>
      <c r="D19" s="397"/>
      <c r="E19" s="397"/>
    </row>
    <row r="20" spans="3:5">
      <c r="C20" s="397"/>
      <c r="D20" s="397"/>
      <c r="E20" s="397"/>
    </row>
    <row r="21" spans="3:5">
      <c r="C21" s="397"/>
      <c r="D21" s="397"/>
      <c r="E21" s="397"/>
    </row>
    <row r="22" spans="3:5">
      <c r="C22" s="397"/>
      <c r="D22" s="397"/>
      <c r="E22" s="397"/>
    </row>
    <row r="23" spans="3:5">
      <c r="C23" s="397"/>
      <c r="D23" s="397"/>
      <c r="E23" s="397"/>
    </row>
    <row r="24" spans="3:5">
      <c r="C24" s="397"/>
      <c r="D24" s="397"/>
      <c r="E24" s="397"/>
    </row>
    <row r="25" spans="3:5">
      <c r="C25" s="397"/>
      <c r="D25" s="397"/>
      <c r="E25" s="397"/>
    </row>
    <row r="26" spans="3:5">
      <c r="C26" s="397"/>
      <c r="D26" s="397"/>
      <c r="E26" s="397"/>
    </row>
  </sheetData>
  <customSheetViews>
    <customSheetView guid="{9CA44E70-650F-49CD-967F-298619682CA2}" scale="80" showPageBreaks="1" printArea="1" state="hidden" view="pageBreakPreview" topLeftCell="B7">
      <selection activeCell="I10" sqref="I10"/>
      <pageMargins left="0.7" right="0.7" top="0.75" bottom="0.75" header="0.3" footer="0.3"/>
      <pageSetup scale="99" orientation="landscape" r:id="rId1"/>
    </customSheetView>
    <customSheetView guid="{C39F923C-6CD3-45D8-86F8-6C4D806DDD7E}" scale="80" showPageBreaks="1" printArea="1" state="hidden" view="pageBreakPreview" topLeftCell="B7">
      <selection activeCell="I10" sqref="I10"/>
      <pageMargins left="0.7" right="0.7" top="0.75" bottom="0.75" header="0.3" footer="0.3"/>
      <pageSetup scale="99" orientation="landscape" r:id="rId2"/>
    </customSheetView>
    <customSheetView guid="{B1277D53-29D6-4226-81E2-084FB62977B6}" scale="80" showPageBreaks="1" printArea="1" state="hidden" view="pageBreakPreview" topLeftCell="B7">
      <selection activeCell="I10" sqref="I10"/>
      <pageMargins left="0.7" right="0.7" top="0.75" bottom="0.75" header="0.3" footer="0.3"/>
      <pageSetup scale="99" orientation="landscape" r:id="rId3"/>
    </customSheetView>
    <customSheetView guid="{E95B21C1-D936-4435-AF6F-90CF0B6A7506}" scale="80" showPageBreaks="1" printArea="1" state="hidden" view="pageBreakPreview" topLeftCell="B7">
      <selection activeCell="I10" sqref="I10"/>
      <pageMargins left="0.7" right="0.7" top="0.75" bottom="0.75" header="0.3" footer="0.3"/>
      <pageSetup scale="99" orientation="landscape" r:id="rId4"/>
    </customSheetView>
    <customSheetView guid="{08A645C4-A23F-4400-B0CE-1685BC312A6F}" scale="80" showPageBreaks="1" printArea="1" state="hidden" view="pageBreakPreview" topLeftCell="B7">
      <selection activeCell="I10" sqref="I10"/>
      <pageMargins left="0.7" right="0.7" top="0.75" bottom="0.75" header="0.3" footer="0.3"/>
      <pageSetup scale="99" orientation="landscape" r:id="rId5"/>
    </customSheetView>
  </customSheetViews>
  <phoneticPr fontId="30" type="noConversion"/>
  <pageMargins left="0.7" right="0.7" top="0.75" bottom="0.75" header="0.3" footer="0.3"/>
  <pageSetup scale="99" orientation="landscape"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indexed="8"/>
  </sheetPr>
  <dimension ref="A1:D112"/>
  <sheetViews>
    <sheetView workbookViewId="0">
      <selection activeCell="E8" sqref="E8"/>
    </sheetView>
  </sheetViews>
  <sheetFormatPr defaultColWidth="8" defaultRowHeight="12.75"/>
  <cols>
    <col min="1" max="1" width="11.625" style="133" customWidth="1"/>
    <col min="2" max="2" width="10.375" style="133" customWidth="1"/>
    <col min="3" max="16384" width="8" style="133"/>
  </cols>
  <sheetData>
    <row r="1" spans="1:4" s="131" customFormat="1" ht="30" customHeight="1">
      <c r="A1" s="881">
        <f>'Bid Form 2nd Envelope'!AB17</f>
        <v>0</v>
      </c>
      <c r="B1" s="881"/>
    </row>
    <row r="2" spans="1:4" s="131" customFormat="1" ht="30" customHeight="1">
      <c r="A2" s="132"/>
    </row>
    <row r="3" spans="1:4">
      <c r="A3" s="132"/>
    </row>
    <row r="4" spans="1:4">
      <c r="A4" s="130" t="str">
        <f>IF(OR((A1&gt;9999999999),(A1&lt;0)),"Invalid Entry - More than 1000 crore OR -ve value",IF(A1=0, "Rs. Zero Only ",+CONCATENATE("Rs. ", B11,D11,B10,D10,B9,D9,B8,D8,B7,D7,B6," Only")))</f>
        <v xml:space="preserve">Rs. Zero Only </v>
      </c>
    </row>
    <row r="5" spans="1:4">
      <c r="A5" s="132"/>
    </row>
    <row r="6" spans="1:4">
      <c r="A6" s="129">
        <f>-INT(A1/100)*100+ROUND(A1,0)</f>
        <v>0</v>
      </c>
      <c r="B6" s="133" t="str">
        <f t="shared" ref="B6:B11" si="0">IF(A6=0,"",LOOKUP(A6,$A$13:$A$112,$B$13:$B$112))</f>
        <v/>
      </c>
      <c r="D6" s="130"/>
    </row>
    <row r="7" spans="1:4">
      <c r="A7" s="129">
        <f>-INT(A1/1000)*10+INT(A1/100)</f>
        <v>0</v>
      </c>
      <c r="B7" s="133" t="str">
        <f t="shared" si="0"/>
        <v/>
      </c>
      <c r="D7" s="130" t="str">
        <f>+IF(B7="",""," Hundred ")</f>
        <v/>
      </c>
    </row>
    <row r="8" spans="1:4">
      <c r="A8" s="129">
        <f>-INT(A1/100000)*100+INT(A1/1000)</f>
        <v>0</v>
      </c>
      <c r="B8" s="133" t="str">
        <f t="shared" si="0"/>
        <v/>
      </c>
      <c r="D8" s="130" t="str">
        <f>IF((B8=""),IF(C8="",""," Thousand ")," Thousand ")</f>
        <v/>
      </c>
    </row>
    <row r="9" spans="1:4">
      <c r="A9" s="129">
        <f>-INT(A1/10000000)*100+INT(A1/100000)</f>
        <v>0</v>
      </c>
      <c r="B9" s="133" t="str">
        <f t="shared" si="0"/>
        <v/>
      </c>
      <c r="D9" s="130" t="str">
        <f>IF((B9=""),IF(C9="",""," Lac ")," Lac ")</f>
        <v/>
      </c>
    </row>
    <row r="10" spans="1:4">
      <c r="A10" s="129">
        <f>-INT(A1/1000000000)*100+INT(A1/10000000)</f>
        <v>0</v>
      </c>
      <c r="B10" s="134" t="str">
        <f t="shared" si="0"/>
        <v/>
      </c>
      <c r="D10" s="130" t="str">
        <f>IF((B10=""),IF(C10="",""," Crore ")," Crore ")</f>
        <v/>
      </c>
    </row>
    <row r="11" spans="1:4">
      <c r="A11" s="135">
        <f>-INT(A1/10000000000)*1000+INT(A1/1000000000)</f>
        <v>0</v>
      </c>
      <c r="B11" s="134" t="str">
        <f t="shared" si="0"/>
        <v/>
      </c>
      <c r="D11" s="130" t="str">
        <f>IF((B11=""),IF(C11="",""," Hundred ")," Hundred ")</f>
        <v/>
      </c>
    </row>
    <row r="13" spans="1:4">
      <c r="A13" s="136">
        <v>1</v>
      </c>
      <c r="B13" s="137" t="s">
        <v>17</v>
      </c>
    </row>
    <row r="14" spans="1:4">
      <c r="A14" s="136">
        <v>2</v>
      </c>
      <c r="B14" s="137" t="s">
        <v>18</v>
      </c>
    </row>
    <row r="15" spans="1:4">
      <c r="A15" s="136">
        <v>3</v>
      </c>
      <c r="B15" s="137" t="s">
        <v>19</v>
      </c>
    </row>
    <row r="16" spans="1:4">
      <c r="A16" s="136">
        <v>4</v>
      </c>
      <c r="B16" s="137" t="s">
        <v>20</v>
      </c>
    </row>
    <row r="17" spans="1:2">
      <c r="A17" s="136">
        <v>5</v>
      </c>
      <c r="B17" s="137" t="s">
        <v>21</v>
      </c>
    </row>
    <row r="18" spans="1:2">
      <c r="A18" s="136">
        <v>6</v>
      </c>
      <c r="B18" s="137" t="s">
        <v>22</v>
      </c>
    </row>
    <row r="19" spans="1:2">
      <c r="A19" s="136">
        <v>7</v>
      </c>
      <c r="B19" s="137" t="s">
        <v>23</v>
      </c>
    </row>
    <row r="20" spans="1:2">
      <c r="A20" s="136">
        <v>8</v>
      </c>
      <c r="B20" s="137" t="s">
        <v>24</v>
      </c>
    </row>
    <row r="21" spans="1:2">
      <c r="A21" s="136">
        <v>9</v>
      </c>
      <c r="B21" s="137" t="s">
        <v>25</v>
      </c>
    </row>
    <row r="22" spans="1:2">
      <c r="A22" s="136">
        <v>10</v>
      </c>
      <c r="B22" s="137" t="s">
        <v>26</v>
      </c>
    </row>
    <row r="23" spans="1:2">
      <c r="A23" s="136">
        <v>11</v>
      </c>
      <c r="B23" s="137" t="s">
        <v>27</v>
      </c>
    </row>
    <row r="24" spans="1:2">
      <c r="A24" s="136">
        <v>12</v>
      </c>
      <c r="B24" s="137" t="s">
        <v>28</v>
      </c>
    </row>
    <row r="25" spans="1:2">
      <c r="A25" s="136">
        <v>13</v>
      </c>
      <c r="B25" s="137" t="s">
        <v>29</v>
      </c>
    </row>
    <row r="26" spans="1:2">
      <c r="A26" s="136">
        <v>14</v>
      </c>
      <c r="B26" s="137" t="s">
        <v>30</v>
      </c>
    </row>
    <row r="27" spans="1:2">
      <c r="A27" s="136">
        <v>15</v>
      </c>
      <c r="B27" s="137" t="s">
        <v>31</v>
      </c>
    </row>
    <row r="28" spans="1:2">
      <c r="A28" s="136">
        <v>16</v>
      </c>
      <c r="B28" s="137" t="s">
        <v>32</v>
      </c>
    </row>
    <row r="29" spans="1:2">
      <c r="A29" s="136">
        <v>17</v>
      </c>
      <c r="B29" s="137" t="s">
        <v>33</v>
      </c>
    </row>
    <row r="30" spans="1:2">
      <c r="A30" s="136">
        <v>18</v>
      </c>
      <c r="B30" s="137" t="s">
        <v>34</v>
      </c>
    </row>
    <row r="31" spans="1:2">
      <c r="A31" s="136">
        <v>19</v>
      </c>
      <c r="B31" s="137" t="s">
        <v>35</v>
      </c>
    </row>
    <row r="32" spans="1:2">
      <c r="A32" s="136">
        <v>20</v>
      </c>
      <c r="B32" s="137" t="s">
        <v>36</v>
      </c>
    </row>
    <row r="33" spans="1:2">
      <c r="A33" s="136">
        <v>21</v>
      </c>
      <c r="B33" s="137" t="s">
        <v>38</v>
      </c>
    </row>
    <row r="34" spans="1:2">
      <c r="A34" s="136">
        <v>22</v>
      </c>
      <c r="B34" s="137" t="s">
        <v>37</v>
      </c>
    </row>
    <row r="35" spans="1:2">
      <c r="A35" s="136">
        <v>23</v>
      </c>
      <c r="B35" s="137" t="s">
        <v>39</v>
      </c>
    </row>
    <row r="36" spans="1:2">
      <c r="A36" s="136">
        <v>24</v>
      </c>
      <c r="B36" s="137" t="s">
        <v>40</v>
      </c>
    </row>
    <row r="37" spans="1:2">
      <c r="A37" s="136">
        <v>25</v>
      </c>
      <c r="B37" s="137" t="s">
        <v>42</v>
      </c>
    </row>
    <row r="38" spans="1:2">
      <c r="A38" s="136">
        <v>26</v>
      </c>
      <c r="B38" s="137" t="s">
        <v>41</v>
      </c>
    </row>
    <row r="39" spans="1:2">
      <c r="A39" s="136">
        <v>27</v>
      </c>
      <c r="B39" s="137" t="s">
        <v>43</v>
      </c>
    </row>
    <row r="40" spans="1:2">
      <c r="A40" s="136">
        <v>28</v>
      </c>
      <c r="B40" s="137" t="s">
        <v>44</v>
      </c>
    </row>
    <row r="41" spans="1:2">
      <c r="A41" s="136">
        <v>29</v>
      </c>
      <c r="B41" s="137" t="s">
        <v>45</v>
      </c>
    </row>
    <row r="42" spans="1:2">
      <c r="A42" s="136">
        <v>30</v>
      </c>
      <c r="B42" s="137" t="s">
        <v>46</v>
      </c>
    </row>
    <row r="43" spans="1:2">
      <c r="A43" s="136">
        <v>31</v>
      </c>
      <c r="B43" s="137" t="s">
        <v>47</v>
      </c>
    </row>
    <row r="44" spans="1:2">
      <c r="A44" s="136">
        <v>32</v>
      </c>
      <c r="B44" s="137" t="s">
        <v>48</v>
      </c>
    </row>
    <row r="45" spans="1:2">
      <c r="A45" s="136">
        <v>33</v>
      </c>
      <c r="B45" s="137" t="s">
        <v>49</v>
      </c>
    </row>
    <row r="46" spans="1:2">
      <c r="A46" s="136">
        <v>34</v>
      </c>
      <c r="B46" s="137" t="s">
        <v>50</v>
      </c>
    </row>
    <row r="47" spans="1:2">
      <c r="A47" s="136">
        <v>35</v>
      </c>
      <c r="B47" s="137" t="s">
        <v>51</v>
      </c>
    </row>
    <row r="48" spans="1:2">
      <c r="A48" s="136">
        <v>36</v>
      </c>
      <c r="B48" s="137" t="s">
        <v>52</v>
      </c>
    </row>
    <row r="49" spans="1:2">
      <c r="A49" s="136">
        <v>37</v>
      </c>
      <c r="B49" s="137" t="s">
        <v>53</v>
      </c>
    </row>
    <row r="50" spans="1:2">
      <c r="A50" s="136">
        <v>38</v>
      </c>
      <c r="B50" s="137" t="s">
        <v>54</v>
      </c>
    </row>
    <row r="51" spans="1:2">
      <c r="A51" s="136">
        <v>39</v>
      </c>
      <c r="B51" s="137" t="s">
        <v>55</v>
      </c>
    </row>
    <row r="52" spans="1:2">
      <c r="A52" s="136">
        <v>40</v>
      </c>
      <c r="B52" s="137" t="s">
        <v>56</v>
      </c>
    </row>
    <row r="53" spans="1:2">
      <c r="A53" s="136">
        <v>41</v>
      </c>
      <c r="B53" s="137" t="s">
        <v>57</v>
      </c>
    </row>
    <row r="54" spans="1:2">
      <c r="A54" s="136">
        <v>42</v>
      </c>
      <c r="B54" s="137" t="s">
        <v>58</v>
      </c>
    </row>
    <row r="55" spans="1:2">
      <c r="A55" s="136">
        <v>43</v>
      </c>
      <c r="B55" s="137" t="s">
        <v>59</v>
      </c>
    </row>
    <row r="56" spans="1:2">
      <c r="A56" s="136">
        <v>44</v>
      </c>
      <c r="B56" s="137" t="s">
        <v>60</v>
      </c>
    </row>
    <row r="57" spans="1:2">
      <c r="A57" s="136">
        <v>45</v>
      </c>
      <c r="B57" s="137" t="s">
        <v>61</v>
      </c>
    </row>
    <row r="58" spans="1:2">
      <c r="A58" s="136">
        <v>46</v>
      </c>
      <c r="B58" s="137" t="s">
        <v>62</v>
      </c>
    </row>
    <row r="59" spans="1:2">
      <c r="A59" s="136">
        <v>47</v>
      </c>
      <c r="B59" s="137" t="s">
        <v>63</v>
      </c>
    </row>
    <row r="60" spans="1:2">
      <c r="A60" s="136">
        <v>48</v>
      </c>
      <c r="B60" s="137" t="s">
        <v>64</v>
      </c>
    </row>
    <row r="61" spans="1:2">
      <c r="A61" s="136">
        <v>49</v>
      </c>
      <c r="B61" s="137" t="s">
        <v>65</v>
      </c>
    </row>
    <row r="62" spans="1:2">
      <c r="A62" s="136">
        <v>50</v>
      </c>
      <c r="B62" s="137" t="s">
        <v>66</v>
      </c>
    </row>
    <row r="63" spans="1:2">
      <c r="A63" s="136">
        <v>51</v>
      </c>
      <c r="B63" s="137" t="s">
        <v>67</v>
      </c>
    </row>
    <row r="64" spans="1:2">
      <c r="A64" s="136">
        <v>52</v>
      </c>
      <c r="B64" s="137" t="s">
        <v>68</v>
      </c>
    </row>
    <row r="65" spans="1:2">
      <c r="A65" s="136">
        <v>53</v>
      </c>
      <c r="B65" s="137" t="s">
        <v>69</v>
      </c>
    </row>
    <row r="66" spans="1:2">
      <c r="A66" s="136">
        <v>54</v>
      </c>
      <c r="B66" s="137" t="s">
        <v>70</v>
      </c>
    </row>
    <row r="67" spans="1:2">
      <c r="A67" s="136">
        <v>55</v>
      </c>
      <c r="B67" s="137" t="s">
        <v>71</v>
      </c>
    </row>
    <row r="68" spans="1:2">
      <c r="A68" s="136">
        <v>56</v>
      </c>
      <c r="B68" s="137" t="s">
        <v>72</v>
      </c>
    </row>
    <row r="69" spans="1:2">
      <c r="A69" s="136">
        <v>57</v>
      </c>
      <c r="B69" s="137" t="s">
        <v>73</v>
      </c>
    </row>
    <row r="70" spans="1:2">
      <c r="A70" s="136">
        <v>58</v>
      </c>
      <c r="B70" s="137" t="s">
        <v>74</v>
      </c>
    </row>
    <row r="71" spans="1:2">
      <c r="A71" s="136">
        <v>59</v>
      </c>
      <c r="B71" s="137" t="s">
        <v>75</v>
      </c>
    </row>
    <row r="72" spans="1:2">
      <c r="A72" s="136">
        <v>60</v>
      </c>
      <c r="B72" s="137" t="s">
        <v>76</v>
      </c>
    </row>
    <row r="73" spans="1:2">
      <c r="A73" s="136">
        <v>61</v>
      </c>
      <c r="B73" s="137" t="s">
        <v>77</v>
      </c>
    </row>
    <row r="74" spans="1:2">
      <c r="A74" s="136">
        <v>62</v>
      </c>
      <c r="B74" s="137" t="s">
        <v>78</v>
      </c>
    </row>
    <row r="75" spans="1:2">
      <c r="A75" s="136">
        <v>63</v>
      </c>
      <c r="B75" s="137" t="s">
        <v>79</v>
      </c>
    </row>
    <row r="76" spans="1:2">
      <c r="A76" s="136">
        <v>64</v>
      </c>
      <c r="B76" s="137" t="s">
        <v>80</v>
      </c>
    </row>
    <row r="77" spans="1:2">
      <c r="A77" s="136">
        <v>65</v>
      </c>
      <c r="B77" s="137" t="s">
        <v>81</v>
      </c>
    </row>
    <row r="78" spans="1:2">
      <c r="A78" s="136">
        <v>66</v>
      </c>
      <c r="B78" s="137" t="s">
        <v>82</v>
      </c>
    </row>
    <row r="79" spans="1:2">
      <c r="A79" s="136">
        <v>67</v>
      </c>
      <c r="B79" s="137" t="s">
        <v>83</v>
      </c>
    </row>
    <row r="80" spans="1:2">
      <c r="A80" s="136">
        <v>68</v>
      </c>
      <c r="B80" s="137" t="s">
        <v>84</v>
      </c>
    </row>
    <row r="81" spans="1:2">
      <c r="A81" s="136">
        <v>69</v>
      </c>
      <c r="B81" s="137" t="s">
        <v>85</v>
      </c>
    </row>
    <row r="82" spans="1:2">
      <c r="A82" s="136">
        <v>70</v>
      </c>
      <c r="B82" s="137" t="s">
        <v>86</v>
      </c>
    </row>
    <row r="83" spans="1:2">
      <c r="A83" s="136">
        <v>71</v>
      </c>
      <c r="B83" s="137" t="s">
        <v>87</v>
      </c>
    </row>
    <row r="84" spans="1:2">
      <c r="A84" s="136">
        <v>72</v>
      </c>
      <c r="B84" s="137" t="s">
        <v>88</v>
      </c>
    </row>
    <row r="85" spans="1:2">
      <c r="A85" s="136">
        <v>73</v>
      </c>
      <c r="B85" s="137" t="s">
        <v>89</v>
      </c>
    </row>
    <row r="86" spans="1:2">
      <c r="A86" s="136">
        <v>74</v>
      </c>
      <c r="B86" s="137" t="s">
        <v>90</v>
      </c>
    </row>
    <row r="87" spans="1:2">
      <c r="A87" s="136">
        <v>75</v>
      </c>
      <c r="B87" s="137" t="s">
        <v>91</v>
      </c>
    </row>
    <row r="88" spans="1:2">
      <c r="A88" s="136">
        <v>76</v>
      </c>
      <c r="B88" s="137" t="s">
        <v>92</v>
      </c>
    </row>
    <row r="89" spans="1:2">
      <c r="A89" s="136">
        <v>77</v>
      </c>
      <c r="B89" s="137" t="s">
        <v>93</v>
      </c>
    </row>
    <row r="90" spans="1:2">
      <c r="A90" s="136">
        <v>78</v>
      </c>
      <c r="B90" s="137" t="s">
        <v>94</v>
      </c>
    </row>
    <row r="91" spans="1:2">
      <c r="A91" s="136">
        <v>79</v>
      </c>
      <c r="B91" s="137" t="s">
        <v>95</v>
      </c>
    </row>
    <row r="92" spans="1:2">
      <c r="A92" s="136">
        <v>80</v>
      </c>
      <c r="B92" s="137" t="s">
        <v>96</v>
      </c>
    </row>
    <row r="93" spans="1:2">
      <c r="A93" s="136">
        <v>81</v>
      </c>
      <c r="B93" s="137" t="s">
        <v>97</v>
      </c>
    </row>
    <row r="94" spans="1:2">
      <c r="A94" s="136">
        <v>82</v>
      </c>
      <c r="B94" s="137" t="s">
        <v>98</v>
      </c>
    </row>
    <row r="95" spans="1:2">
      <c r="A95" s="136">
        <v>83</v>
      </c>
      <c r="B95" s="137" t="s">
        <v>99</v>
      </c>
    </row>
    <row r="96" spans="1:2">
      <c r="A96" s="136">
        <v>84</v>
      </c>
      <c r="B96" s="137" t="s">
        <v>100</v>
      </c>
    </row>
    <row r="97" spans="1:2">
      <c r="A97" s="136">
        <v>85</v>
      </c>
      <c r="B97" s="137" t="s">
        <v>101</v>
      </c>
    </row>
    <row r="98" spans="1:2">
      <c r="A98" s="136">
        <v>86</v>
      </c>
      <c r="B98" s="137" t="s">
        <v>102</v>
      </c>
    </row>
    <row r="99" spans="1:2">
      <c r="A99" s="136">
        <v>87</v>
      </c>
      <c r="B99" s="137" t="s">
        <v>103</v>
      </c>
    </row>
    <row r="100" spans="1:2">
      <c r="A100" s="136">
        <v>88</v>
      </c>
      <c r="B100" s="137" t="s">
        <v>104</v>
      </c>
    </row>
    <row r="101" spans="1:2">
      <c r="A101" s="136">
        <v>89</v>
      </c>
      <c r="B101" s="137" t="s">
        <v>105</v>
      </c>
    </row>
    <row r="102" spans="1:2">
      <c r="A102" s="136">
        <v>90</v>
      </c>
      <c r="B102" s="137" t="s">
        <v>106</v>
      </c>
    </row>
    <row r="103" spans="1:2">
      <c r="A103" s="136">
        <v>91</v>
      </c>
      <c r="B103" s="137" t="s">
        <v>107</v>
      </c>
    </row>
    <row r="104" spans="1:2">
      <c r="A104" s="136">
        <v>92</v>
      </c>
      <c r="B104" s="137" t="s">
        <v>108</v>
      </c>
    </row>
    <row r="105" spans="1:2">
      <c r="A105" s="136">
        <v>93</v>
      </c>
      <c r="B105" s="137" t="s">
        <v>109</v>
      </c>
    </row>
    <row r="106" spans="1:2">
      <c r="A106" s="136">
        <v>94</v>
      </c>
      <c r="B106" s="137" t="s">
        <v>110</v>
      </c>
    </row>
    <row r="107" spans="1:2">
      <c r="A107" s="136">
        <v>95</v>
      </c>
      <c r="B107" s="137" t="s">
        <v>111</v>
      </c>
    </row>
    <row r="108" spans="1:2">
      <c r="A108" s="136">
        <v>96</v>
      </c>
      <c r="B108" s="137" t="s">
        <v>112</v>
      </c>
    </row>
    <row r="109" spans="1:2">
      <c r="A109" s="136">
        <v>97</v>
      </c>
      <c r="B109" s="137" t="s">
        <v>113</v>
      </c>
    </row>
    <row r="110" spans="1:2">
      <c r="A110" s="136">
        <v>98</v>
      </c>
      <c r="B110" s="137" t="s">
        <v>114</v>
      </c>
    </row>
    <row r="111" spans="1:2">
      <c r="A111" s="136">
        <v>99</v>
      </c>
      <c r="B111" s="137" t="s">
        <v>115</v>
      </c>
    </row>
    <row r="112" spans="1:2">
      <c r="A112" s="136">
        <v>100</v>
      </c>
      <c r="B112" s="137" t="s">
        <v>116</v>
      </c>
    </row>
  </sheetData>
  <sheetProtection password="E848" sheet="1" objects="1" selectLockedCells="1" selectUnlockedCells="1"/>
  <customSheetViews>
    <customSheetView guid="{9CA44E70-650F-49CD-967F-298619682CA2}" state="hidden">
      <selection activeCell="E8" sqref="E8"/>
      <pageMargins left="0.75" right="0.75" top="1" bottom="1" header="0.5" footer="0.5"/>
      <pageSetup orientation="portrait" r:id="rId1"/>
      <headerFooter alignWithMargins="0"/>
    </customSheetView>
    <customSheetView guid="{C39F923C-6CD3-45D8-86F8-6C4D806DDD7E}" state="hidden">
      <selection activeCell="E8" sqref="E8"/>
      <pageMargins left="0.75" right="0.75" top="1" bottom="1" header="0.5" footer="0.5"/>
      <pageSetup orientation="portrait" r:id="rId2"/>
      <headerFooter alignWithMargins="0"/>
    </customSheetView>
    <customSheetView guid="{B1277D53-29D6-4226-81E2-084FB62977B6}" state="hidden">
      <selection activeCell="E8" sqref="E8"/>
      <pageMargins left="0.75" right="0.75" top="1" bottom="1" header="0.5" footer="0.5"/>
      <pageSetup orientation="portrait" r:id="rId3"/>
      <headerFooter alignWithMargins="0"/>
    </customSheetView>
    <customSheetView guid="{58D82F59-8CF6-455F-B9F4-081499FDF243}" state="hidden">
      <selection activeCell="E8" sqref="E8"/>
      <pageMargins left="0.75" right="0.75" top="1" bottom="1" header="0.5" footer="0.5"/>
      <pageSetup orientation="portrait" r:id="rId4"/>
      <headerFooter alignWithMargins="0"/>
    </customSheetView>
    <customSheetView guid="{696D9240-6693-44E8-B9A4-2BFADD101EE2}" state="hidden">
      <selection activeCell="E8" sqref="E8"/>
      <pageMargins left="0.75" right="0.75" top="1" bottom="1" header="0.5" footer="0.5"/>
      <pageSetup orientation="portrait" r:id="rId5"/>
      <headerFooter alignWithMargins="0"/>
    </customSheetView>
    <customSheetView guid="{B0EE7D76-5806-4718-BDAD-3A3EA691E5E4}" state="hidden">
      <selection activeCell="E8" sqref="E8"/>
      <pageMargins left="0.75" right="0.75" top="1" bottom="1" header="0.5" footer="0.5"/>
      <pageSetup orientation="portrait" r:id="rId6"/>
      <headerFooter alignWithMargins="0"/>
    </customSheetView>
    <customSheetView guid="{E95B21C1-D936-4435-AF6F-90CF0B6A7506}" state="hidden">
      <selection activeCell="E8" sqref="E8"/>
      <pageMargins left="0.75" right="0.75" top="1" bottom="1" header="0.5" footer="0.5"/>
      <pageSetup orientation="portrait" r:id="rId7"/>
      <headerFooter alignWithMargins="0"/>
    </customSheetView>
    <customSheetView guid="{08A645C4-A23F-4400-B0CE-1685BC312A6F}" state="hidden">
      <selection activeCell="E8" sqref="E8"/>
      <pageMargins left="0.75" right="0.75" top="1" bottom="1" header="0.5" footer="0.5"/>
      <pageSetup orientation="portrait" r:id="rId8"/>
      <headerFooter alignWithMargins="0"/>
    </customSheetView>
  </customSheetViews>
  <mergeCells count="1">
    <mergeCell ref="A1:B1"/>
  </mergeCells>
  <phoneticPr fontId="3" type="noConversion"/>
  <pageMargins left="0.75" right="0.75" top="1" bottom="1" header="0.5" footer="0.5"/>
  <pageSetup orientation="portrait"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dimension ref="A1:K133"/>
  <sheetViews>
    <sheetView showGridLines="0" zoomScaleNormal="100" workbookViewId="0">
      <selection activeCell="C5" sqref="C5"/>
    </sheetView>
  </sheetViews>
  <sheetFormatPr defaultRowHeight="16.5"/>
  <cols>
    <col min="1" max="1" width="9" style="441"/>
    <col min="2" max="2" width="9" style="440"/>
    <col min="3" max="3" width="72.625" style="440" customWidth="1"/>
    <col min="4" max="4" width="66.125" style="439" customWidth="1"/>
    <col min="5" max="16384" width="9" style="76"/>
  </cols>
  <sheetData>
    <row r="1" spans="1:11" ht="88.5" customHeight="1">
      <c r="A1" s="708" t="str">
        <f>"General Instruction to the Bidders for filling up this workbook of Price Schedules for Package " &amp; 'Basic Data'!C5</f>
        <v xml:space="preserve">General Instruction to the Bidders for filling up this workbook of Price Schedules for Package Diversion of 220kV Budhipadar-Korba S/C line #3 &amp; 765kV Angul-Sundargarh S/C line # 1 due to NH 49 Jharsuguda bypass Road diversion work (Deposit work On Behalf of NHAI).
</v>
      </c>
      <c r="B1" s="708"/>
      <c r="C1" s="708"/>
      <c r="D1" s="458"/>
      <c r="E1" s="457"/>
      <c r="F1" s="457"/>
      <c r="G1" s="457"/>
      <c r="H1" s="457"/>
      <c r="I1" s="457"/>
      <c r="J1" s="457"/>
      <c r="K1" s="457"/>
    </row>
    <row r="2" spans="1:11" ht="18" customHeight="1">
      <c r="D2" s="456"/>
      <c r="E2" s="455"/>
      <c r="F2" s="455"/>
      <c r="G2" s="455"/>
      <c r="H2" s="455"/>
      <c r="I2" s="455"/>
      <c r="J2" s="455"/>
      <c r="K2" s="455"/>
    </row>
    <row r="3" spans="1:11" ht="18" customHeight="1">
      <c r="A3" s="453" t="s">
        <v>441</v>
      </c>
      <c r="B3" s="440" t="s">
        <v>440</v>
      </c>
      <c r="D3" s="447"/>
      <c r="E3" s="446"/>
      <c r="F3" s="446"/>
      <c r="G3" s="446"/>
      <c r="H3" s="446"/>
      <c r="I3" s="446"/>
      <c r="J3" s="446"/>
      <c r="K3" s="446"/>
    </row>
    <row r="4" spans="1:11" ht="18" customHeight="1">
      <c r="B4" s="454" t="s">
        <v>439</v>
      </c>
      <c r="C4" s="448" t="s">
        <v>438</v>
      </c>
      <c r="D4" s="447"/>
      <c r="E4" s="446"/>
      <c r="F4" s="446"/>
      <c r="G4" s="446"/>
      <c r="H4" s="446"/>
      <c r="I4" s="446"/>
      <c r="J4" s="446"/>
      <c r="K4" s="446"/>
    </row>
    <row r="5" spans="1:11" ht="38.1" customHeight="1">
      <c r="B5" s="454" t="s">
        <v>437</v>
      </c>
      <c r="C5" s="448" t="s">
        <v>436</v>
      </c>
      <c r="D5" s="447"/>
      <c r="E5" s="446"/>
      <c r="F5" s="446"/>
      <c r="G5" s="446"/>
      <c r="H5" s="446"/>
      <c r="I5" s="446"/>
      <c r="J5" s="446"/>
      <c r="K5" s="446"/>
    </row>
    <row r="6" spans="1:11" ht="18" customHeight="1">
      <c r="B6" s="454" t="s">
        <v>435</v>
      </c>
      <c r="C6" s="448" t="s">
        <v>434</v>
      </c>
      <c r="D6" s="447"/>
      <c r="E6" s="446"/>
      <c r="F6" s="446"/>
      <c r="G6" s="446"/>
      <c r="H6" s="446"/>
      <c r="I6" s="446"/>
      <c r="J6" s="446"/>
      <c r="K6" s="446"/>
    </row>
    <row r="7" spans="1:11" ht="18" customHeight="1">
      <c r="B7" s="454" t="s">
        <v>433</v>
      </c>
      <c r="C7" s="448" t="s">
        <v>432</v>
      </c>
      <c r="D7" s="447"/>
      <c r="E7" s="446"/>
      <c r="F7" s="446"/>
      <c r="G7" s="446"/>
      <c r="H7" s="446"/>
      <c r="I7" s="446"/>
      <c r="J7" s="446"/>
      <c r="K7" s="446"/>
    </row>
    <row r="8" spans="1:11" ht="18" customHeight="1">
      <c r="B8" s="454" t="s">
        <v>431</v>
      </c>
      <c r="C8" s="448" t="s">
        <v>430</v>
      </c>
      <c r="D8" s="447"/>
      <c r="E8" s="446"/>
      <c r="F8" s="446"/>
      <c r="G8" s="446"/>
      <c r="H8" s="446"/>
      <c r="I8" s="446"/>
      <c r="J8" s="446"/>
      <c r="K8" s="446"/>
    </row>
    <row r="9" spans="1:11" ht="18" customHeight="1">
      <c r="B9" s="454" t="s">
        <v>429</v>
      </c>
      <c r="C9" s="448" t="s">
        <v>428</v>
      </c>
      <c r="D9" s="447"/>
      <c r="E9" s="446"/>
      <c r="F9" s="446"/>
      <c r="G9" s="446"/>
      <c r="H9" s="446"/>
      <c r="I9" s="446"/>
      <c r="J9" s="446"/>
      <c r="K9" s="446"/>
    </row>
    <row r="10" spans="1:11" ht="18" customHeight="1">
      <c r="B10" s="454"/>
      <c r="C10" s="448"/>
      <c r="D10" s="447"/>
      <c r="E10" s="446"/>
      <c r="F10" s="446"/>
      <c r="G10" s="446"/>
      <c r="H10" s="446"/>
      <c r="I10" s="446"/>
      <c r="J10" s="446"/>
      <c r="K10" s="446"/>
    </row>
    <row r="11" spans="1:11" ht="18" customHeight="1">
      <c r="A11" s="453" t="s">
        <v>427</v>
      </c>
      <c r="B11" s="440" t="s">
        <v>426</v>
      </c>
      <c r="D11" s="447"/>
      <c r="E11" s="446"/>
      <c r="F11" s="446"/>
      <c r="G11" s="446"/>
      <c r="H11" s="446"/>
      <c r="I11" s="446"/>
      <c r="J11" s="446"/>
      <c r="K11" s="446"/>
    </row>
    <row r="12" spans="1:11" ht="18" customHeight="1">
      <c r="B12" s="706" t="s">
        <v>425</v>
      </c>
      <c r="C12" s="706"/>
      <c r="D12" s="450"/>
      <c r="E12" s="446"/>
      <c r="F12" s="446"/>
      <c r="G12" s="446"/>
      <c r="H12" s="446"/>
      <c r="I12" s="446"/>
      <c r="J12" s="446"/>
      <c r="K12" s="446"/>
    </row>
    <row r="13" spans="1:11" ht="18" customHeight="1">
      <c r="B13" s="452"/>
      <c r="C13" s="448" t="s">
        <v>424</v>
      </c>
      <c r="D13" s="447"/>
      <c r="E13" s="446"/>
      <c r="F13" s="446"/>
      <c r="G13" s="446"/>
      <c r="H13" s="446"/>
      <c r="I13" s="446"/>
      <c r="J13" s="446"/>
      <c r="K13" s="446"/>
    </row>
    <row r="14" spans="1:11" ht="18" customHeight="1">
      <c r="B14" s="706" t="s">
        <v>423</v>
      </c>
      <c r="C14" s="706"/>
      <c r="D14" s="450"/>
      <c r="E14" s="446"/>
      <c r="F14" s="446"/>
      <c r="G14" s="446"/>
      <c r="H14" s="446"/>
      <c r="I14" s="446"/>
      <c r="J14" s="446"/>
      <c r="K14" s="446"/>
    </row>
    <row r="15" spans="1:11" ht="67.5" customHeight="1">
      <c r="B15" s="449" t="s">
        <v>411</v>
      </c>
      <c r="C15" s="448" t="s">
        <v>442</v>
      </c>
      <c r="D15" s="447"/>
      <c r="E15" s="446"/>
      <c r="F15" s="446"/>
      <c r="G15" s="446"/>
      <c r="H15" s="446"/>
      <c r="I15" s="446"/>
      <c r="J15" s="446"/>
      <c r="K15" s="446"/>
    </row>
    <row r="16" spans="1:11" ht="24.75" hidden="1" customHeight="1">
      <c r="B16" s="449" t="s">
        <v>411</v>
      </c>
      <c r="C16" s="451" t="s">
        <v>422</v>
      </c>
      <c r="D16" s="447"/>
      <c r="E16" s="446"/>
      <c r="F16" s="446"/>
      <c r="G16" s="446"/>
      <c r="H16" s="446"/>
      <c r="I16" s="446"/>
      <c r="J16" s="446"/>
      <c r="K16" s="446"/>
    </row>
    <row r="17" spans="2:11" ht="42" hidden="1" customHeight="1">
      <c r="B17" s="449" t="s">
        <v>411</v>
      </c>
      <c r="C17" s="451" t="s">
        <v>421</v>
      </c>
      <c r="D17" s="447"/>
      <c r="E17" s="446"/>
      <c r="F17" s="446"/>
      <c r="G17" s="446"/>
      <c r="H17" s="446"/>
      <c r="I17" s="446"/>
      <c r="J17" s="446"/>
      <c r="K17" s="446"/>
    </row>
    <row r="18" spans="2:11" ht="18" customHeight="1">
      <c r="B18" s="449" t="s">
        <v>411</v>
      </c>
      <c r="C18" s="448" t="s">
        <v>443</v>
      </c>
      <c r="D18" s="447"/>
      <c r="E18" s="446"/>
      <c r="F18" s="446"/>
      <c r="G18" s="446"/>
      <c r="H18" s="446"/>
      <c r="I18" s="446"/>
      <c r="J18" s="446"/>
      <c r="K18" s="446"/>
    </row>
    <row r="19" spans="2:11" ht="18" customHeight="1">
      <c r="B19" s="449" t="s">
        <v>411</v>
      </c>
      <c r="C19" s="448" t="s">
        <v>420</v>
      </c>
      <c r="D19" s="447"/>
      <c r="E19" s="446"/>
      <c r="F19" s="446"/>
      <c r="G19" s="446"/>
      <c r="H19" s="446"/>
      <c r="I19" s="446"/>
      <c r="J19" s="446"/>
      <c r="K19" s="446"/>
    </row>
    <row r="20" spans="2:11" ht="27" customHeight="1">
      <c r="B20" s="449" t="s">
        <v>411</v>
      </c>
      <c r="C20" s="448" t="s">
        <v>419</v>
      </c>
      <c r="D20" s="447"/>
      <c r="E20" s="446"/>
      <c r="F20" s="446"/>
      <c r="G20" s="446"/>
      <c r="H20" s="446"/>
      <c r="I20" s="446"/>
      <c r="J20" s="446"/>
      <c r="K20" s="446"/>
    </row>
    <row r="21" spans="2:11" ht="18" customHeight="1">
      <c r="B21" s="706" t="s">
        <v>418</v>
      </c>
      <c r="C21" s="706"/>
      <c r="D21" s="450"/>
      <c r="E21" s="446"/>
      <c r="F21" s="446"/>
      <c r="G21" s="446"/>
      <c r="H21" s="446"/>
      <c r="I21" s="446"/>
      <c r="J21" s="446"/>
      <c r="K21" s="446"/>
    </row>
    <row r="22" spans="2:11" ht="54" customHeight="1">
      <c r="B22" s="449" t="s">
        <v>411</v>
      </c>
      <c r="C22" s="481" t="s">
        <v>416</v>
      </c>
      <c r="D22" s="447"/>
      <c r="E22" s="446"/>
      <c r="F22" s="446"/>
      <c r="G22" s="446"/>
      <c r="H22" s="446"/>
      <c r="I22" s="446"/>
      <c r="J22" s="446"/>
      <c r="K22" s="446"/>
    </row>
    <row r="23" spans="2:11" ht="72" customHeight="1">
      <c r="B23" s="449" t="s">
        <v>411</v>
      </c>
      <c r="C23" s="481" t="s">
        <v>489</v>
      </c>
      <c r="D23" s="447"/>
      <c r="E23" s="446"/>
      <c r="F23" s="446"/>
      <c r="G23" s="446"/>
      <c r="H23" s="446"/>
      <c r="I23" s="446"/>
      <c r="J23" s="446"/>
      <c r="K23" s="446"/>
    </row>
    <row r="24" spans="2:11" ht="18" customHeight="1">
      <c r="B24" s="449" t="s">
        <v>411</v>
      </c>
      <c r="C24" s="448" t="s">
        <v>415</v>
      </c>
      <c r="D24" s="447"/>
      <c r="E24" s="446"/>
      <c r="F24" s="446"/>
      <c r="G24" s="446"/>
      <c r="H24" s="446"/>
      <c r="I24" s="446"/>
      <c r="J24" s="446"/>
      <c r="K24" s="446"/>
    </row>
    <row r="25" spans="2:11" ht="6.75" customHeight="1">
      <c r="B25" s="449"/>
      <c r="C25" s="448"/>
      <c r="D25" s="447"/>
      <c r="E25" s="446"/>
      <c r="F25" s="446"/>
      <c r="G25" s="446"/>
      <c r="H25" s="446"/>
      <c r="I25" s="446"/>
      <c r="J25" s="446"/>
      <c r="K25" s="446"/>
    </row>
    <row r="26" spans="2:11" ht="18" customHeight="1">
      <c r="B26" s="706" t="s">
        <v>417</v>
      </c>
      <c r="C26" s="706"/>
      <c r="D26" s="450"/>
      <c r="E26" s="446"/>
      <c r="F26" s="446"/>
      <c r="G26" s="446"/>
      <c r="H26" s="446"/>
      <c r="I26" s="446"/>
      <c r="J26" s="446"/>
      <c r="K26" s="446"/>
    </row>
    <row r="27" spans="2:11" ht="54" customHeight="1">
      <c r="B27" s="449" t="s">
        <v>411</v>
      </c>
      <c r="C27" s="448" t="s">
        <v>416</v>
      </c>
      <c r="D27" s="447"/>
      <c r="E27" s="446"/>
      <c r="F27" s="446"/>
      <c r="G27" s="446"/>
      <c r="H27" s="446"/>
      <c r="I27" s="446"/>
      <c r="J27" s="446"/>
      <c r="K27" s="446"/>
    </row>
    <row r="28" spans="2:11" ht="18" customHeight="1">
      <c r="B28" s="449" t="s">
        <v>411</v>
      </c>
      <c r="C28" s="448" t="s">
        <v>415</v>
      </c>
      <c r="D28" s="447"/>
      <c r="E28" s="446"/>
      <c r="F28" s="446"/>
      <c r="G28" s="446"/>
      <c r="H28" s="446"/>
      <c r="I28" s="446"/>
      <c r="J28" s="446"/>
      <c r="K28" s="446"/>
    </row>
    <row r="29" spans="2:11" ht="18" customHeight="1">
      <c r="B29" s="706" t="s">
        <v>506</v>
      </c>
      <c r="C29" s="706"/>
      <c r="D29" s="450"/>
    </row>
    <row r="30" spans="2:11" ht="46.5" customHeight="1">
      <c r="B30" s="449" t="s">
        <v>411</v>
      </c>
      <c r="C30" s="448" t="s">
        <v>416</v>
      </c>
      <c r="D30" s="447"/>
      <c r="E30" s="446"/>
      <c r="F30" s="446"/>
      <c r="G30" s="446"/>
      <c r="H30" s="446"/>
      <c r="I30" s="446"/>
      <c r="J30" s="446"/>
      <c r="K30" s="446"/>
    </row>
    <row r="31" spans="2:11" ht="30.75" customHeight="1">
      <c r="B31" s="449" t="s">
        <v>411</v>
      </c>
      <c r="C31" s="448" t="s">
        <v>415</v>
      </c>
      <c r="D31" s="447"/>
    </row>
    <row r="32" spans="2:11" ht="18" customHeight="1">
      <c r="B32" s="706" t="s">
        <v>448</v>
      </c>
      <c r="C32" s="706"/>
      <c r="D32" s="450"/>
    </row>
    <row r="33" spans="1:11" ht="37.5" customHeight="1">
      <c r="B33" s="449" t="s">
        <v>411</v>
      </c>
      <c r="C33" s="480" t="s">
        <v>486</v>
      </c>
      <c r="D33" s="447"/>
      <c r="E33" s="446"/>
      <c r="F33" s="446"/>
      <c r="G33" s="446"/>
      <c r="H33" s="446"/>
      <c r="I33" s="446"/>
      <c r="J33" s="446"/>
      <c r="K33" s="446"/>
    </row>
    <row r="34" spans="1:11" ht="33" customHeight="1">
      <c r="B34" s="449" t="s">
        <v>411</v>
      </c>
      <c r="C34" s="480" t="s">
        <v>414</v>
      </c>
      <c r="D34" s="447"/>
      <c r="E34" s="446"/>
      <c r="F34" s="446"/>
      <c r="G34" s="446"/>
      <c r="H34" s="446"/>
      <c r="I34" s="446"/>
      <c r="J34" s="446"/>
      <c r="K34" s="446"/>
    </row>
    <row r="35" spans="1:11" ht="18" customHeight="1">
      <c r="B35" s="706" t="s">
        <v>449</v>
      </c>
      <c r="C35" s="706"/>
    </row>
    <row r="36" spans="1:11" ht="38.1" customHeight="1">
      <c r="B36" s="449" t="s">
        <v>411</v>
      </c>
      <c r="C36" s="480" t="s">
        <v>488</v>
      </c>
    </row>
    <row r="37" spans="1:11" ht="28.15" customHeight="1">
      <c r="B37" s="449" t="s">
        <v>411</v>
      </c>
      <c r="C37" s="480" t="s">
        <v>414</v>
      </c>
    </row>
    <row r="38" spans="1:11" hidden="1">
      <c r="B38" s="706" t="s">
        <v>510</v>
      </c>
      <c r="C38" s="706"/>
    </row>
    <row r="39" spans="1:11" ht="47.25" hidden="1">
      <c r="B39" s="449" t="s">
        <v>411</v>
      </c>
      <c r="C39" s="448" t="s">
        <v>416</v>
      </c>
    </row>
    <row r="40" spans="1:11" hidden="1">
      <c r="B40" s="449" t="s">
        <v>411</v>
      </c>
      <c r="C40" s="448" t="s">
        <v>415</v>
      </c>
    </row>
    <row r="41" spans="1:11" ht="18" customHeight="1">
      <c r="B41" s="706" t="s">
        <v>413</v>
      </c>
      <c r="C41" s="706"/>
    </row>
    <row r="42" spans="1:11" ht="18" customHeight="1">
      <c r="B42" s="449" t="s">
        <v>411</v>
      </c>
      <c r="C42" s="448" t="s">
        <v>412</v>
      </c>
      <c r="D42" s="447"/>
      <c r="E42" s="446"/>
      <c r="F42" s="446"/>
      <c r="G42" s="446"/>
      <c r="H42" s="446"/>
      <c r="I42" s="446"/>
      <c r="J42" s="446"/>
      <c r="K42" s="446"/>
    </row>
    <row r="43" spans="1:11" ht="18" customHeight="1">
      <c r="B43" s="449" t="s">
        <v>411</v>
      </c>
      <c r="C43" s="481" t="s">
        <v>487</v>
      </c>
      <c r="D43" s="447"/>
      <c r="E43" s="446"/>
      <c r="F43" s="446"/>
      <c r="G43" s="446"/>
      <c r="H43" s="446"/>
      <c r="I43" s="446"/>
      <c r="J43" s="446"/>
      <c r="K43" s="446"/>
    </row>
    <row r="44" spans="1:11" ht="18" customHeight="1">
      <c r="B44" s="449" t="s">
        <v>411</v>
      </c>
      <c r="C44" s="448" t="s">
        <v>410</v>
      </c>
      <c r="D44" s="447"/>
      <c r="E44" s="446"/>
      <c r="F44" s="446"/>
      <c r="G44" s="446"/>
      <c r="H44" s="446"/>
      <c r="I44" s="446"/>
      <c r="J44" s="446"/>
      <c r="K44" s="446"/>
    </row>
    <row r="45" spans="1:11" ht="18" customHeight="1">
      <c r="A45" s="440"/>
      <c r="C45" s="442"/>
    </row>
    <row r="46" spans="1:11" ht="18" customHeight="1">
      <c r="A46" s="707"/>
      <c r="B46" s="707"/>
      <c r="C46" s="707"/>
      <c r="D46" s="445"/>
    </row>
    <row r="47" spans="1:11" ht="18" customHeight="1">
      <c r="A47" s="704" t="s">
        <v>409</v>
      </c>
      <c r="B47" s="704"/>
      <c r="C47" s="704"/>
      <c r="D47" s="445"/>
    </row>
    <row r="48" spans="1:11" ht="36" customHeight="1">
      <c r="A48" s="705" t="s">
        <v>408</v>
      </c>
      <c r="B48" s="705"/>
      <c r="C48" s="705"/>
    </row>
    <row r="49" spans="2:3" ht="18" customHeight="1">
      <c r="B49" s="444"/>
      <c r="C49" s="444"/>
    </row>
    <row r="50" spans="2:3" ht="18" customHeight="1">
      <c r="C50" s="443"/>
    </row>
    <row r="51" spans="2:3" ht="18" customHeight="1">
      <c r="C51" s="442"/>
    </row>
    <row r="52" spans="2:3" ht="18" customHeight="1">
      <c r="C52" s="443"/>
    </row>
    <row r="53" spans="2:3" ht="18" customHeight="1">
      <c r="B53" s="442"/>
      <c r="C53" s="442"/>
    </row>
    <row r="54" spans="2:3" ht="18" customHeight="1">
      <c r="B54" s="442"/>
      <c r="C54" s="442"/>
    </row>
    <row r="55" spans="2:3" ht="18" customHeight="1">
      <c r="B55" s="442"/>
      <c r="C55" s="442"/>
    </row>
    <row r="56" spans="2:3" ht="18" customHeight="1">
      <c r="B56" s="442"/>
      <c r="C56" s="442"/>
    </row>
    <row r="57" spans="2:3" ht="18" customHeight="1">
      <c r="B57" s="442"/>
      <c r="C57" s="442"/>
    </row>
    <row r="58" spans="2:3" ht="18" customHeight="1">
      <c r="B58" s="442"/>
      <c r="C58" s="442"/>
    </row>
    <row r="59" spans="2:3" ht="18" customHeight="1"/>
    <row r="60" spans="2:3" ht="18" customHeight="1"/>
    <row r="61" spans="2:3" ht="18" customHeight="1"/>
    <row r="62" spans="2:3" ht="18" customHeight="1"/>
    <row r="63" spans="2:3" ht="18" customHeight="1"/>
    <row r="64" spans="2: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sheetData>
  <sheetProtection password="84E7" sheet="1" selectLockedCells="1"/>
  <customSheetViews>
    <customSheetView guid="{08A645C4-A23F-4400-B0CE-1685BC312A6F}" showGridLines="0" printArea="1" hiddenRows="1">
      <selection activeCell="A62" sqref="A62:C62"/>
      <pageMargins left="0.75" right="0.75" top="0.55000000000000004" bottom="0.47" header="0.32" footer="0.25"/>
      <pageSetup orientation="portrait" r:id="rId1"/>
      <headerFooter alignWithMargins="0">
        <oddFooter>&amp;RPage &amp;P of &amp;N</oddFooter>
      </headerFooter>
    </customSheetView>
  </customSheetViews>
  <mergeCells count="13">
    <mergeCell ref="B26:C26"/>
    <mergeCell ref="B29:C29"/>
    <mergeCell ref="A1:C1"/>
    <mergeCell ref="B12:C12"/>
    <mergeCell ref="B14:C14"/>
    <mergeCell ref="B21:C21"/>
    <mergeCell ref="A47:C47"/>
    <mergeCell ref="A48:C48"/>
    <mergeCell ref="B32:C32"/>
    <mergeCell ref="B35:C35"/>
    <mergeCell ref="B38:C38"/>
    <mergeCell ref="B41:C41"/>
    <mergeCell ref="A46:C46"/>
  </mergeCells>
  <phoneticPr fontId="30" type="noConversion"/>
  <pageMargins left="0.75" right="0.75" top="0.55000000000000004" bottom="0.47" header="0.32" footer="0.25"/>
  <pageSetup orientation="portrait" r:id="rId2"/>
  <headerFooter alignWithMargins="0">
    <oddFooter>&amp;RPage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22"/>
  <sheetViews>
    <sheetView view="pageBreakPreview" topLeftCell="B1" zoomScale="90" zoomScaleNormal="100" zoomScaleSheetLayoutView="90" workbookViewId="0">
      <selection activeCell="B6" sqref="B6"/>
    </sheetView>
  </sheetViews>
  <sheetFormatPr defaultRowHeight="16.5"/>
  <cols>
    <col min="1" max="1" width="0" hidden="1" customWidth="1"/>
    <col min="2" max="2" width="27.875" style="28" customWidth="1"/>
    <col min="3" max="3" width="11.25" style="28" customWidth="1"/>
    <col min="4" max="4" width="48.75" style="28" customWidth="1"/>
  </cols>
  <sheetData>
    <row r="1" spans="2:4" ht="75.75" customHeight="1">
      <c r="B1" s="709" t="str">
        <f>'Basic Data'!C5</f>
        <v xml:space="preserve">Diversion of 220kV Budhipadar-Korba S/C line #3 &amp; 765kV Angul-Sundargarh S/C line # 1 due to NH 49 Jharsuguda bypass Road diversion work (Deposit work On Behalf of NHAI).
</v>
      </c>
      <c r="C1" s="709"/>
      <c r="D1" s="709"/>
    </row>
    <row r="2" spans="2:4">
      <c r="B2" s="710" t="str">
        <f>'Basic Data'!C7</f>
        <v>ODP/BB/C&amp;M-4155/OT-02/RFx No. 5002004411/25-26</v>
      </c>
      <c r="C2" s="710"/>
      <c r="D2" s="710"/>
    </row>
    <row r="3" spans="2:4">
      <c r="B3" s="143"/>
      <c r="C3" s="143"/>
      <c r="D3" s="143"/>
    </row>
    <row r="4" spans="2:4">
      <c r="B4" s="711" t="s">
        <v>135</v>
      </c>
      <c r="C4" s="711"/>
      <c r="D4" s="711"/>
    </row>
    <row r="5" spans="2:4">
      <c r="B5" s="83"/>
      <c r="C5" s="83"/>
    </row>
    <row r="6" spans="2:4" ht="48.75" customHeight="1">
      <c r="B6" s="532" t="s">
        <v>511</v>
      </c>
      <c r="C6" s="533"/>
      <c r="D6" s="535"/>
    </row>
    <row r="7" spans="2:4">
      <c r="B7" s="532" t="str">
        <f>IF(D6= "JV (Joint Venture)", "Total Nos. of  Partners in the JV [excluding the Lead Partner]", "")</f>
        <v/>
      </c>
      <c r="C7" s="534"/>
      <c r="D7" s="84"/>
    </row>
    <row r="8" spans="2:4">
      <c r="B8" s="224"/>
      <c r="C8" s="224"/>
      <c r="D8" s="84"/>
    </row>
    <row r="9" spans="2:4">
      <c r="B9" s="536" t="s">
        <v>512</v>
      </c>
      <c r="C9" s="537"/>
      <c r="D9" s="535"/>
    </row>
    <row r="10" spans="2:4">
      <c r="B10" s="538" t="s">
        <v>513</v>
      </c>
      <c r="C10" s="539"/>
      <c r="D10" s="535"/>
    </row>
    <row r="11" spans="2:4">
      <c r="B11" s="540"/>
      <c r="C11" s="541"/>
      <c r="D11" s="535"/>
    </row>
    <row r="12" spans="2:4">
      <c r="B12" s="542"/>
      <c r="C12" s="543"/>
      <c r="D12" s="535"/>
    </row>
    <row r="13" spans="2:4">
      <c r="B13" s="536"/>
      <c r="C13" s="537"/>
      <c r="D13" s="535"/>
    </row>
    <row r="14" spans="2:4">
      <c r="B14" s="538" t="s">
        <v>513</v>
      </c>
      <c r="C14" s="539"/>
      <c r="D14" s="535"/>
    </row>
    <row r="15" spans="2:4">
      <c r="B15" s="540"/>
      <c r="C15" s="541"/>
      <c r="D15" s="535"/>
    </row>
    <row r="16" spans="2:4">
      <c r="B16" s="542"/>
      <c r="C16" s="543"/>
      <c r="D16" s="535"/>
    </row>
    <row r="18" spans="2:4">
      <c r="B18" s="544" t="s">
        <v>136</v>
      </c>
      <c r="C18" s="545"/>
      <c r="D18" s="535"/>
    </row>
    <row r="19" spans="2:4">
      <c r="B19" s="544" t="s">
        <v>137</v>
      </c>
      <c r="C19" s="545"/>
      <c r="D19" s="546"/>
    </row>
    <row r="20" spans="2:4">
      <c r="B20" s="63"/>
      <c r="C20" s="63"/>
      <c r="D20" s="63"/>
    </row>
    <row r="21" spans="2:4">
      <c r="B21" s="544" t="s">
        <v>274</v>
      </c>
      <c r="C21" s="545"/>
      <c r="D21" s="547"/>
    </row>
    <row r="22" spans="2:4">
      <c r="B22" s="544" t="s">
        <v>326</v>
      </c>
      <c r="C22" s="545"/>
      <c r="D22" s="546"/>
    </row>
  </sheetData>
  <sheetProtection algorithmName="SHA-512" hashValue="pC7MrEgn5IVlqFLbRyBKQ1mrjOXgYC9IlqGwa7/Cv/F1B8UgOAUdkIgB/nQJvzIjCLhHYNXjGjYheHn6jXZFwA==" saltValue="b5Ai5Ondm126lafC/iO+hg==" spinCount="100000" sheet="1"/>
  <mergeCells count="3">
    <mergeCell ref="B1:D1"/>
    <mergeCell ref="B2:D2"/>
    <mergeCell ref="B4:D4"/>
  </mergeCells>
  <conditionalFormatting sqref="B7:C7">
    <cfRule type="expression" dxfId="1" priority="6" stopIfTrue="1">
      <formula>$D$6="Sole Bidder"</formula>
    </cfRule>
  </conditionalFormatting>
  <conditionalFormatting sqref="D7:D8">
    <cfRule type="expression" dxfId="0" priority="5" stopIfTrue="1">
      <formula>$AA$6=0</formula>
    </cfRule>
  </conditionalFormatting>
  <dataValidations count="2">
    <dataValidation type="list" allowBlank="1" showInputMessage="1" showErrorMessage="1" sqref="D6" xr:uid="{00000000-0002-0000-0300-000000000000}">
      <formula1>"Individual Firm"</formula1>
    </dataValidation>
    <dataValidation type="list" allowBlank="1" showInputMessage="1" showErrorMessage="1" sqref="D7" xr:uid="{00000000-0002-0000-0300-000001000000}">
      <formula1>$AB$2:$AB$3</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2"/>
  </sheetPr>
  <dimension ref="A1:U114"/>
  <sheetViews>
    <sheetView topLeftCell="A62" zoomScale="60" zoomScaleNormal="60" zoomScaleSheetLayoutView="100" workbookViewId="0">
      <selection activeCell="D76" sqref="D76"/>
    </sheetView>
  </sheetViews>
  <sheetFormatPr defaultRowHeight="23.25"/>
  <cols>
    <col min="1" max="1" width="10.875" style="559" customWidth="1"/>
    <col min="2" max="2" width="22.5" style="559" hidden="1" customWidth="1"/>
    <col min="3" max="3" width="69.25" style="562" customWidth="1"/>
    <col min="4" max="4" width="26" style="562" customWidth="1"/>
    <col min="5" max="5" width="12.875" style="561" customWidth="1"/>
    <col min="6" max="6" width="13.75" style="561" customWidth="1"/>
    <col min="7" max="7" width="23.125" style="559" customWidth="1"/>
    <col min="8" max="8" width="21.25" style="559" customWidth="1"/>
    <col min="9" max="9" width="13.5" style="559" customWidth="1"/>
    <col min="10" max="10" width="35.375" style="559" customWidth="1"/>
    <col min="11" max="11" width="22.375" style="557" customWidth="1"/>
    <col min="12" max="12" width="25.625" style="557" customWidth="1"/>
    <col min="13" max="13" width="29.5" style="557" customWidth="1"/>
    <col min="14" max="14" width="13.875" style="557" hidden="1" customWidth="1"/>
    <col min="15" max="15" width="10.125" style="557" bestFit="1" customWidth="1"/>
    <col min="16" max="16" width="12" style="557" customWidth="1"/>
    <col min="17" max="17" width="10.25" style="557" customWidth="1"/>
    <col min="18" max="18" width="9" style="557" customWidth="1"/>
    <col min="19" max="19" width="12.875" style="557" hidden="1" customWidth="1"/>
    <col min="20" max="20" width="9" style="557" hidden="1" customWidth="1"/>
    <col min="21" max="21" width="18.375" style="557" hidden="1" customWidth="1"/>
    <col min="22" max="16384" width="9" style="557"/>
  </cols>
  <sheetData>
    <row r="1" spans="1:19" ht="27.75" customHeight="1">
      <c r="A1" s="550" t="str">
        <f>Cover!B3</f>
        <v>Specification No.: ODP/BB/C&amp;M-4155/OT-02/RFx No. 5002004411/25-26</v>
      </c>
      <c r="B1" s="551"/>
      <c r="C1" s="552"/>
      <c r="D1" s="552"/>
      <c r="E1" s="551"/>
      <c r="F1" s="551"/>
      <c r="G1" s="553"/>
      <c r="H1" s="554"/>
      <c r="I1" s="554"/>
      <c r="J1" s="554"/>
      <c r="K1" s="555"/>
      <c r="L1" s="555"/>
      <c r="M1" s="555"/>
      <c r="N1" s="556" t="s">
        <v>242</v>
      </c>
    </row>
    <row r="2" spans="1:19" ht="18" customHeight="1">
      <c r="A2" s="558"/>
      <c r="C2" s="560"/>
      <c r="D2" s="560"/>
      <c r="H2" s="558"/>
      <c r="I2" s="558"/>
      <c r="J2" s="558"/>
    </row>
    <row r="3" spans="1:19" ht="48" customHeight="1">
      <c r="A3" s="725" t="str">
        <f>Cover!$B$2</f>
        <v xml:space="preserve">Diversion of 220kV Budhipadar-Korba S/C line #3 &amp; 765kV Angul-Sundargarh S/C line # 1 due to NH 49 Jharsuguda bypass Road diversion work (Deposit work On Behalf of NHAI).
</v>
      </c>
      <c r="B3" s="725"/>
      <c r="C3" s="725"/>
      <c r="D3" s="725"/>
      <c r="E3" s="725"/>
      <c r="F3" s="725"/>
      <c r="G3" s="725"/>
      <c r="H3" s="725"/>
      <c r="I3" s="725"/>
      <c r="J3" s="725"/>
      <c r="K3" s="725"/>
      <c r="L3" s="725"/>
      <c r="M3" s="725"/>
      <c r="N3" s="725"/>
    </row>
    <row r="4" spans="1:19" ht="21.95" customHeight="1">
      <c r="A4" s="726" t="s">
        <v>461</v>
      </c>
      <c r="B4" s="726"/>
      <c r="C4" s="726"/>
      <c r="D4" s="726"/>
      <c r="E4" s="726"/>
      <c r="F4" s="726"/>
      <c r="G4" s="726"/>
      <c r="H4" s="726"/>
      <c r="I4" s="726"/>
      <c r="J4" s="726"/>
      <c r="K4" s="726"/>
      <c r="L4" s="726"/>
      <c r="M4" s="726"/>
      <c r="N4" s="726"/>
    </row>
    <row r="5" spans="1:19" ht="18" customHeight="1"/>
    <row r="6" spans="1:19" ht="31.5" customHeight="1">
      <c r="A6" s="563" t="s">
        <v>164</v>
      </c>
      <c r="B6" s="564"/>
      <c r="C6" s="565"/>
      <c r="D6" s="565"/>
      <c r="E6" s="564"/>
      <c r="F6" s="564"/>
      <c r="G6" s="566"/>
      <c r="H6" s="567"/>
      <c r="I6" s="567"/>
      <c r="J6" s="567"/>
      <c r="K6" s="558" t="s">
        <v>216</v>
      </c>
      <c r="L6" s="558"/>
      <c r="N6" s="567"/>
    </row>
    <row r="7" spans="1:19" ht="31.5" customHeight="1">
      <c r="A7" s="563" t="str">
        <f>"Bidder as "&amp; 'Names of Bidder'!D6</f>
        <v xml:space="preserve">Bidder as </v>
      </c>
      <c r="B7" s="564"/>
      <c r="C7" s="565"/>
      <c r="D7" s="565"/>
      <c r="E7" s="564"/>
      <c r="F7" s="564"/>
      <c r="K7" s="568" t="s">
        <v>515</v>
      </c>
      <c r="L7" s="568"/>
      <c r="N7" s="567"/>
      <c r="O7" s="558"/>
    </row>
    <row r="8" spans="1:19" ht="28.5" customHeight="1">
      <c r="A8" s="563" t="s">
        <v>217</v>
      </c>
      <c r="B8" s="564"/>
      <c r="C8" s="724" t="str">
        <f>IF('Names of Bidder'!D9=0, "", 'Names of Bidder'!D9)</f>
        <v/>
      </c>
      <c r="D8" s="724"/>
      <c r="E8" s="724"/>
      <c r="F8" s="724"/>
      <c r="G8" s="724"/>
      <c r="H8" s="724"/>
      <c r="I8" s="724"/>
      <c r="J8" s="724"/>
      <c r="K8" s="568" t="s">
        <v>407</v>
      </c>
      <c r="L8" s="568"/>
      <c r="N8" s="567"/>
      <c r="O8" s="558"/>
    </row>
    <row r="9" spans="1:19">
      <c r="A9" s="563" t="s">
        <v>219</v>
      </c>
      <c r="B9" s="564"/>
      <c r="C9" s="724" t="str">
        <f>IF('Names of Bidder'!D10=0, "", 'Names of Bidder'!D10)</f>
        <v/>
      </c>
      <c r="D9" s="724"/>
      <c r="E9" s="724"/>
      <c r="F9" s="724"/>
      <c r="G9" s="724"/>
      <c r="H9" s="724"/>
      <c r="I9" s="724"/>
      <c r="J9" s="724"/>
      <c r="K9" s="568" t="s">
        <v>451</v>
      </c>
      <c r="L9" s="568"/>
      <c r="N9" s="567"/>
      <c r="O9" s="558"/>
    </row>
    <row r="10" spans="1:19">
      <c r="A10" s="567"/>
      <c r="B10" s="566"/>
      <c r="C10" s="724" t="str">
        <f>IF('Names of Bidder'!D11=0, "", 'Names of Bidder'!D11)</f>
        <v/>
      </c>
      <c r="D10" s="724"/>
      <c r="E10" s="724"/>
      <c r="F10" s="724"/>
      <c r="G10" s="724"/>
      <c r="H10" s="724"/>
      <c r="I10" s="724"/>
      <c r="J10" s="724"/>
      <c r="K10" s="568" t="s">
        <v>452</v>
      </c>
      <c r="L10" s="568"/>
      <c r="N10" s="567"/>
      <c r="O10" s="558"/>
    </row>
    <row r="11" spans="1:19">
      <c r="A11" s="567"/>
      <c r="B11" s="566"/>
      <c r="C11" s="724" t="str">
        <f>IF('Names of Bidder'!D12=0, "", 'Names of Bidder'!D12)</f>
        <v/>
      </c>
      <c r="D11" s="724"/>
      <c r="E11" s="724"/>
      <c r="F11" s="724"/>
      <c r="G11" s="724"/>
      <c r="H11" s="724"/>
      <c r="I11" s="724"/>
      <c r="J11" s="724"/>
      <c r="K11" s="568" t="s">
        <v>453</v>
      </c>
      <c r="L11" s="568"/>
      <c r="N11" s="567"/>
      <c r="O11" s="558"/>
    </row>
    <row r="12" spans="1:19" ht="18" customHeight="1">
      <c r="A12" s="567"/>
      <c r="B12" s="566"/>
      <c r="C12" s="569"/>
      <c r="D12" s="569"/>
      <c r="E12" s="564"/>
      <c r="F12" s="564"/>
      <c r="G12" s="564"/>
      <c r="H12" s="563"/>
      <c r="I12" s="563"/>
      <c r="J12" s="563"/>
      <c r="K12" s="570"/>
      <c r="L12" s="570"/>
      <c r="N12" s="567"/>
    </row>
    <row r="13" spans="1:19" ht="18" customHeight="1">
      <c r="A13" s="567"/>
      <c r="B13" s="566"/>
      <c r="C13" s="569"/>
      <c r="D13" s="569"/>
      <c r="E13" s="564"/>
      <c r="F13" s="564"/>
      <c r="G13" s="566"/>
      <c r="H13" s="567"/>
      <c r="I13" s="567"/>
      <c r="J13" s="567"/>
      <c r="K13" s="563"/>
      <c r="L13" s="563"/>
    </row>
    <row r="14" spans="1:19" ht="42" customHeight="1">
      <c r="K14" s="571"/>
      <c r="L14" s="571"/>
      <c r="M14" s="572" t="s">
        <v>463</v>
      </c>
      <c r="N14" s="556" t="s">
        <v>190</v>
      </c>
      <c r="S14" s="557" t="e">
        <f>Discount!O18</f>
        <v>#REF!</v>
      </c>
    </row>
    <row r="15" spans="1:19" ht="196.5" customHeight="1">
      <c r="A15" s="573" t="s">
        <v>191</v>
      </c>
      <c r="B15" s="573" t="s">
        <v>494</v>
      </c>
      <c r="C15" s="573" t="s">
        <v>215</v>
      </c>
      <c r="D15" s="573" t="s">
        <v>509</v>
      </c>
      <c r="E15" s="574" t="s">
        <v>189</v>
      </c>
      <c r="F15" s="574" t="s">
        <v>192</v>
      </c>
      <c r="G15" s="573" t="s">
        <v>456</v>
      </c>
      <c r="H15" s="573" t="s">
        <v>490</v>
      </c>
      <c r="I15" s="573" t="s">
        <v>464</v>
      </c>
      <c r="J15" s="573" t="s">
        <v>491</v>
      </c>
      <c r="K15" s="573" t="s">
        <v>457</v>
      </c>
      <c r="L15" s="575" t="s">
        <v>483</v>
      </c>
      <c r="M15" s="573" t="s">
        <v>458</v>
      </c>
      <c r="N15" s="573" t="s">
        <v>455</v>
      </c>
      <c r="S15" s="557" t="e">
        <f>Discount!O19</f>
        <v>#REF!</v>
      </c>
    </row>
    <row r="16" spans="1:19" ht="30.75" customHeight="1">
      <c r="A16" s="574">
        <v>1</v>
      </c>
      <c r="B16" s="574">
        <v>2</v>
      </c>
      <c r="C16" s="574">
        <v>2</v>
      </c>
      <c r="D16" s="573">
        <v>3</v>
      </c>
      <c r="E16" s="574">
        <v>4</v>
      </c>
      <c r="F16" s="574">
        <v>5</v>
      </c>
      <c r="G16" s="574">
        <v>6</v>
      </c>
      <c r="H16" s="574">
        <v>7</v>
      </c>
      <c r="I16" s="574">
        <v>8</v>
      </c>
      <c r="J16" s="574">
        <v>9</v>
      </c>
      <c r="K16" s="574">
        <v>10</v>
      </c>
      <c r="L16" s="574">
        <v>11</v>
      </c>
      <c r="M16" s="574">
        <v>12</v>
      </c>
      <c r="N16" s="574">
        <v>8</v>
      </c>
    </row>
    <row r="17" spans="1:14" ht="18" customHeight="1">
      <c r="A17" s="576"/>
      <c r="B17" s="574"/>
      <c r="C17" s="577"/>
      <c r="D17" s="577"/>
      <c r="E17" s="574"/>
      <c r="F17" s="574"/>
      <c r="G17" s="574"/>
      <c r="H17" s="576"/>
      <c r="I17" s="576"/>
      <c r="J17" s="576"/>
      <c r="K17" s="574"/>
      <c r="L17" s="574"/>
      <c r="M17" s="574"/>
      <c r="N17" s="574"/>
    </row>
    <row r="18" spans="1:14" ht="33.75" customHeight="1">
      <c r="A18" s="712" t="s">
        <v>611</v>
      </c>
      <c r="B18" s="713"/>
      <c r="C18" s="713"/>
      <c r="D18" s="713"/>
      <c r="E18" s="713"/>
      <c r="F18" s="713"/>
      <c r="G18" s="713"/>
      <c r="H18" s="713"/>
      <c r="I18" s="713"/>
      <c r="J18" s="713"/>
      <c r="K18" s="713"/>
      <c r="L18" s="713"/>
      <c r="M18" s="714"/>
      <c r="N18" s="579"/>
    </row>
    <row r="19" spans="1:14">
      <c r="A19" s="636" t="s">
        <v>579</v>
      </c>
      <c r="B19" s="578"/>
      <c r="C19" s="657" t="s">
        <v>566</v>
      </c>
      <c r="D19" s="577"/>
      <c r="E19" s="581"/>
      <c r="F19" s="581"/>
      <c r="G19" s="582"/>
      <c r="H19" s="582"/>
      <c r="I19" s="582"/>
      <c r="J19" s="582"/>
      <c r="K19" s="582"/>
      <c r="L19" s="582"/>
      <c r="M19" s="582"/>
      <c r="N19" s="579"/>
    </row>
    <row r="20" spans="1:14" ht="105">
      <c r="A20" s="636" t="s">
        <v>555</v>
      </c>
      <c r="B20" s="578"/>
      <c r="C20" s="658" t="s">
        <v>525</v>
      </c>
      <c r="D20" s="577"/>
      <c r="E20" s="581"/>
      <c r="F20" s="581"/>
      <c r="G20" s="582"/>
      <c r="H20" s="582"/>
      <c r="I20" s="582"/>
      <c r="J20" s="582"/>
      <c r="K20" s="582"/>
      <c r="L20" s="582"/>
      <c r="M20" s="582"/>
      <c r="N20" s="579"/>
    </row>
    <row r="21" spans="1:14">
      <c r="A21" s="636" t="s">
        <v>367</v>
      </c>
      <c r="B21" s="578"/>
      <c r="C21" s="658" t="s">
        <v>526</v>
      </c>
      <c r="D21" s="583"/>
      <c r="E21" s="581" t="s">
        <v>514</v>
      </c>
      <c r="F21" s="581">
        <v>33.378999999999998</v>
      </c>
      <c r="G21" s="582">
        <v>73082011</v>
      </c>
      <c r="H21" s="585" t="s">
        <v>475</v>
      </c>
      <c r="I21" s="586">
        <v>18</v>
      </c>
      <c r="J21" s="585" t="s">
        <v>475</v>
      </c>
      <c r="K21" s="587"/>
      <c r="L21" s="644">
        <f t="shared" ref="L21" si="0">IF( OR( J21="",J21="Confirmed"), I21*M21%, J21*M21%)</f>
        <v>1.8000000000000002E-3</v>
      </c>
      <c r="M21" s="645" t="str">
        <f t="shared" ref="M21" si="1">IF(K21=0,"0.01",K21*F21)</f>
        <v>0.01</v>
      </c>
      <c r="N21" s="579"/>
    </row>
    <row r="22" spans="1:14">
      <c r="A22" s="636" t="s">
        <v>370</v>
      </c>
      <c r="B22" s="578"/>
      <c r="C22" s="658" t="s">
        <v>527</v>
      </c>
      <c r="D22" s="583"/>
      <c r="E22" s="581" t="s">
        <v>514</v>
      </c>
      <c r="F22" s="581">
        <v>37.551000000000002</v>
      </c>
      <c r="G22" s="582">
        <v>73082011</v>
      </c>
      <c r="H22" s="585" t="s">
        <v>475</v>
      </c>
      <c r="I22" s="586">
        <v>18</v>
      </c>
      <c r="J22" s="585" t="s">
        <v>475</v>
      </c>
      <c r="K22" s="587"/>
      <c r="L22" s="644">
        <f t="shared" ref="L22:L54" si="2">IF( OR( J22="",J22="Confirmed"), I22*M22%, J22*M22%)</f>
        <v>1.8000000000000002E-3</v>
      </c>
      <c r="M22" s="645" t="str">
        <f t="shared" ref="M22:M54" si="3">IF(K22=0,"0.01",K22*F22)</f>
        <v>0.01</v>
      </c>
      <c r="N22" s="579"/>
    </row>
    <row r="23" spans="1:14" ht="63">
      <c r="A23" s="636" t="s">
        <v>557</v>
      </c>
      <c r="B23" s="578"/>
      <c r="C23" s="658" t="s">
        <v>528</v>
      </c>
      <c r="D23" s="577"/>
      <c r="E23" s="581"/>
      <c r="F23" s="581"/>
      <c r="G23" s="582"/>
      <c r="H23" s="582"/>
      <c r="I23" s="582"/>
      <c r="J23" s="582"/>
      <c r="K23" s="582"/>
      <c r="L23" s="582"/>
      <c r="M23" s="582"/>
      <c r="N23" s="579"/>
    </row>
    <row r="24" spans="1:14">
      <c r="A24" s="636" t="s">
        <v>367</v>
      </c>
      <c r="B24" s="578"/>
      <c r="C24" s="658" t="s">
        <v>526</v>
      </c>
      <c r="D24" s="583"/>
      <c r="E24" s="581" t="s">
        <v>514</v>
      </c>
      <c r="F24" s="581">
        <v>2.3180000000000001</v>
      </c>
      <c r="G24" s="582">
        <v>73082011</v>
      </c>
      <c r="H24" s="585" t="s">
        <v>475</v>
      </c>
      <c r="I24" s="586">
        <v>18</v>
      </c>
      <c r="J24" s="585" t="s">
        <v>475</v>
      </c>
      <c r="K24" s="587"/>
      <c r="L24" s="644">
        <f t="shared" si="2"/>
        <v>1.8000000000000002E-3</v>
      </c>
      <c r="M24" s="645" t="str">
        <f t="shared" si="3"/>
        <v>0.01</v>
      </c>
      <c r="N24" s="579"/>
    </row>
    <row r="25" spans="1:14">
      <c r="A25" s="636" t="s">
        <v>370</v>
      </c>
      <c r="B25" s="578"/>
      <c r="C25" s="658" t="s">
        <v>527</v>
      </c>
      <c r="D25" s="583"/>
      <c r="E25" s="581" t="s">
        <v>514</v>
      </c>
      <c r="F25" s="581">
        <v>0.99399999999999999</v>
      </c>
      <c r="G25" s="582">
        <v>73082011</v>
      </c>
      <c r="H25" s="585" t="s">
        <v>475</v>
      </c>
      <c r="I25" s="586">
        <v>18</v>
      </c>
      <c r="J25" s="585" t="s">
        <v>475</v>
      </c>
      <c r="K25" s="587"/>
      <c r="L25" s="644">
        <f t="shared" si="2"/>
        <v>1.8000000000000002E-3</v>
      </c>
      <c r="M25" s="645" t="str">
        <f t="shared" si="3"/>
        <v>0.01</v>
      </c>
      <c r="N25" s="579"/>
    </row>
    <row r="26" spans="1:14" ht="42">
      <c r="A26" s="636">
        <v>1.3</v>
      </c>
      <c r="B26" s="578"/>
      <c r="C26" s="658" t="s">
        <v>529</v>
      </c>
      <c r="D26" s="577"/>
      <c r="E26" s="581"/>
      <c r="F26" s="581"/>
      <c r="G26" s="582"/>
      <c r="H26" s="582"/>
      <c r="I26" s="582"/>
      <c r="J26" s="582"/>
      <c r="K26" s="582"/>
      <c r="L26" s="582"/>
      <c r="M26" s="582"/>
      <c r="N26" s="579"/>
    </row>
    <row r="27" spans="1:14">
      <c r="A27" s="636" t="s">
        <v>367</v>
      </c>
      <c r="B27" s="578"/>
      <c r="C27" s="658" t="s">
        <v>530</v>
      </c>
      <c r="D27" s="583"/>
      <c r="E27" s="581" t="s">
        <v>514</v>
      </c>
      <c r="F27" s="581">
        <v>2.6579999999999999</v>
      </c>
      <c r="G27" s="582">
        <v>73181500</v>
      </c>
      <c r="H27" s="585" t="s">
        <v>475</v>
      </c>
      <c r="I27" s="586">
        <v>18</v>
      </c>
      <c r="J27" s="585" t="s">
        <v>475</v>
      </c>
      <c r="K27" s="587"/>
      <c r="L27" s="644">
        <f t="shared" si="2"/>
        <v>1.8000000000000002E-3</v>
      </c>
      <c r="M27" s="645" t="str">
        <f t="shared" si="3"/>
        <v>0.01</v>
      </c>
      <c r="N27" s="579"/>
    </row>
    <row r="28" spans="1:14">
      <c r="A28" s="636" t="s">
        <v>370</v>
      </c>
      <c r="B28" s="578"/>
      <c r="C28" s="658" t="s">
        <v>531</v>
      </c>
      <c r="D28" s="583"/>
      <c r="E28" s="581" t="s">
        <v>514</v>
      </c>
      <c r="F28" s="581">
        <v>8.1000000000000003E-2</v>
      </c>
      <c r="G28" s="582">
        <v>73181500</v>
      </c>
      <c r="H28" s="585" t="s">
        <v>475</v>
      </c>
      <c r="I28" s="586">
        <v>18</v>
      </c>
      <c r="J28" s="585" t="s">
        <v>475</v>
      </c>
      <c r="K28" s="587"/>
      <c r="L28" s="644">
        <f t="shared" si="2"/>
        <v>1.8000000000000002E-3</v>
      </c>
      <c r="M28" s="645" t="str">
        <f t="shared" si="3"/>
        <v>0.01</v>
      </c>
      <c r="N28" s="579"/>
    </row>
    <row r="29" spans="1:14">
      <c r="A29" s="636">
        <v>2</v>
      </c>
      <c r="B29" s="578"/>
      <c r="C29" s="657" t="s">
        <v>532</v>
      </c>
      <c r="D29" s="577"/>
      <c r="E29" s="581"/>
      <c r="F29" s="581"/>
      <c r="G29" s="582"/>
      <c r="H29" s="582"/>
      <c r="I29" s="582"/>
      <c r="J29" s="582"/>
      <c r="K29" s="582"/>
      <c r="L29" s="582"/>
      <c r="M29" s="582"/>
      <c r="N29" s="579"/>
    </row>
    <row r="30" spans="1:14">
      <c r="A30" s="636" t="s">
        <v>558</v>
      </c>
      <c r="B30" s="578"/>
      <c r="C30" s="658" t="s">
        <v>533</v>
      </c>
      <c r="D30" s="583"/>
      <c r="E30" s="581" t="s">
        <v>563</v>
      </c>
      <c r="F30" s="581">
        <v>2</v>
      </c>
      <c r="G30" s="582">
        <v>73082011</v>
      </c>
      <c r="H30" s="585" t="s">
        <v>475</v>
      </c>
      <c r="I30" s="586">
        <v>18</v>
      </c>
      <c r="J30" s="585" t="s">
        <v>475</v>
      </c>
      <c r="K30" s="587"/>
      <c r="L30" s="644">
        <f t="shared" si="2"/>
        <v>1.8000000000000002E-3</v>
      </c>
      <c r="M30" s="645" t="str">
        <f t="shared" si="3"/>
        <v>0.01</v>
      </c>
      <c r="N30" s="579"/>
    </row>
    <row r="31" spans="1:14">
      <c r="A31" s="636">
        <v>3</v>
      </c>
      <c r="B31" s="578"/>
      <c r="C31" s="657" t="s">
        <v>534</v>
      </c>
      <c r="D31" s="577"/>
      <c r="E31" s="581"/>
      <c r="F31" s="581"/>
      <c r="G31" s="582"/>
      <c r="H31" s="582"/>
      <c r="I31" s="582"/>
      <c r="J31" s="582"/>
      <c r="K31" s="582"/>
      <c r="L31" s="582"/>
      <c r="M31" s="582"/>
      <c r="N31" s="579"/>
    </row>
    <row r="32" spans="1:14">
      <c r="A32" s="636" t="s">
        <v>558</v>
      </c>
      <c r="B32" s="578"/>
      <c r="C32" s="658" t="s">
        <v>535</v>
      </c>
      <c r="D32" s="583"/>
      <c r="E32" s="581" t="s">
        <v>563</v>
      </c>
      <c r="F32" s="581">
        <v>2</v>
      </c>
      <c r="G32" s="582">
        <v>73082011</v>
      </c>
      <c r="H32" s="585" t="s">
        <v>475</v>
      </c>
      <c r="I32" s="586">
        <v>18</v>
      </c>
      <c r="J32" s="585" t="s">
        <v>475</v>
      </c>
      <c r="K32" s="587"/>
      <c r="L32" s="644">
        <f t="shared" si="2"/>
        <v>1.8000000000000002E-3</v>
      </c>
      <c r="M32" s="645" t="str">
        <f t="shared" si="3"/>
        <v>0.01</v>
      </c>
      <c r="N32" s="579"/>
    </row>
    <row r="33" spans="1:14">
      <c r="A33" s="636" t="s">
        <v>559</v>
      </c>
      <c r="B33" s="578"/>
      <c r="C33" s="658" t="s">
        <v>536</v>
      </c>
      <c r="D33" s="583"/>
      <c r="E33" s="581" t="s">
        <v>563</v>
      </c>
      <c r="F33" s="581">
        <v>2</v>
      </c>
      <c r="G33" s="582">
        <v>73082011</v>
      </c>
      <c r="H33" s="585" t="s">
        <v>475</v>
      </c>
      <c r="I33" s="586">
        <v>18</v>
      </c>
      <c r="J33" s="585" t="s">
        <v>475</v>
      </c>
      <c r="K33" s="587"/>
      <c r="L33" s="644">
        <f t="shared" si="2"/>
        <v>1.8000000000000002E-3</v>
      </c>
      <c r="M33" s="645" t="str">
        <f t="shared" si="3"/>
        <v>0.01</v>
      </c>
      <c r="N33" s="579"/>
    </row>
    <row r="34" spans="1:14">
      <c r="A34" s="636" t="s">
        <v>560</v>
      </c>
      <c r="B34" s="578"/>
      <c r="C34" s="658" t="s">
        <v>537</v>
      </c>
      <c r="D34" s="583"/>
      <c r="E34" s="581" t="s">
        <v>564</v>
      </c>
      <c r="F34" s="581">
        <v>2</v>
      </c>
      <c r="G34" s="582">
        <v>73082011</v>
      </c>
      <c r="H34" s="585" t="s">
        <v>475</v>
      </c>
      <c r="I34" s="586">
        <v>18</v>
      </c>
      <c r="J34" s="585" t="s">
        <v>475</v>
      </c>
      <c r="K34" s="587"/>
      <c r="L34" s="644">
        <f t="shared" si="2"/>
        <v>1.8000000000000002E-3</v>
      </c>
      <c r="M34" s="645" t="str">
        <f t="shared" si="3"/>
        <v>0.01</v>
      </c>
      <c r="N34" s="579"/>
    </row>
    <row r="35" spans="1:14">
      <c r="A35" s="636" t="s">
        <v>561</v>
      </c>
      <c r="B35" s="578"/>
      <c r="C35" s="659" t="s">
        <v>538</v>
      </c>
      <c r="D35" s="583"/>
      <c r="E35" s="581" t="s">
        <v>564</v>
      </c>
      <c r="F35" s="581">
        <v>1</v>
      </c>
      <c r="G35" s="582">
        <v>73082011</v>
      </c>
      <c r="H35" s="585" t="s">
        <v>475</v>
      </c>
      <c r="I35" s="586">
        <v>18</v>
      </c>
      <c r="J35" s="585" t="s">
        <v>475</v>
      </c>
      <c r="K35" s="587"/>
      <c r="L35" s="644">
        <f t="shared" si="2"/>
        <v>1.8000000000000002E-3</v>
      </c>
      <c r="M35" s="645" t="str">
        <f t="shared" si="3"/>
        <v>0.01</v>
      </c>
      <c r="N35" s="579"/>
    </row>
    <row r="36" spans="1:14">
      <c r="A36" s="636" t="s">
        <v>562</v>
      </c>
      <c r="B36" s="578"/>
      <c r="C36" s="658" t="s">
        <v>539</v>
      </c>
      <c r="D36" s="583"/>
      <c r="E36" s="581" t="s">
        <v>563</v>
      </c>
      <c r="F36" s="581">
        <v>2</v>
      </c>
      <c r="G36" s="582">
        <v>73082011</v>
      </c>
      <c r="H36" s="585" t="s">
        <v>475</v>
      </c>
      <c r="I36" s="586">
        <v>18</v>
      </c>
      <c r="J36" s="585" t="s">
        <v>475</v>
      </c>
      <c r="K36" s="587"/>
      <c r="L36" s="644">
        <f t="shared" si="2"/>
        <v>1.8000000000000002E-3</v>
      </c>
      <c r="M36" s="645" t="str">
        <f t="shared" si="3"/>
        <v>0.01</v>
      </c>
      <c r="N36" s="579"/>
    </row>
    <row r="37" spans="1:14" ht="40.5">
      <c r="A37" s="636">
        <v>4</v>
      </c>
      <c r="B37" s="578"/>
      <c r="C37" s="657" t="s">
        <v>540</v>
      </c>
      <c r="D37" s="577"/>
      <c r="E37" s="581"/>
      <c r="F37" s="581"/>
      <c r="G37" s="582"/>
      <c r="H37" s="582"/>
      <c r="I37" s="582"/>
      <c r="J37" s="582"/>
      <c r="K37" s="582"/>
      <c r="L37" s="582"/>
      <c r="M37" s="582"/>
      <c r="N37" s="579"/>
    </row>
    <row r="38" spans="1:14" ht="42">
      <c r="A38" s="636" t="s">
        <v>558</v>
      </c>
      <c r="B38" s="578"/>
      <c r="C38" s="660" t="s">
        <v>567</v>
      </c>
      <c r="D38" s="583"/>
      <c r="E38" s="581" t="s">
        <v>563</v>
      </c>
      <c r="F38" s="581">
        <v>18</v>
      </c>
      <c r="G38" s="582">
        <v>85462029</v>
      </c>
      <c r="H38" s="585" t="s">
        <v>475</v>
      </c>
      <c r="I38" s="586">
        <v>18</v>
      </c>
      <c r="J38" s="585" t="s">
        <v>475</v>
      </c>
      <c r="K38" s="587"/>
      <c r="L38" s="644">
        <f t="shared" si="2"/>
        <v>1.8000000000000002E-3</v>
      </c>
      <c r="M38" s="645" t="str">
        <f t="shared" si="3"/>
        <v>0.01</v>
      </c>
      <c r="N38" s="579"/>
    </row>
    <row r="39" spans="1:14" ht="42">
      <c r="A39" s="636" t="s">
        <v>559</v>
      </c>
      <c r="B39" s="578"/>
      <c r="C39" s="660" t="s">
        <v>568</v>
      </c>
      <c r="D39" s="583"/>
      <c r="E39" s="581" t="s">
        <v>563</v>
      </c>
      <c r="F39" s="581">
        <v>53</v>
      </c>
      <c r="G39" s="582">
        <v>85462029</v>
      </c>
      <c r="H39" s="585" t="s">
        <v>475</v>
      </c>
      <c r="I39" s="586">
        <v>18</v>
      </c>
      <c r="J39" s="585" t="s">
        <v>475</v>
      </c>
      <c r="K39" s="587"/>
      <c r="L39" s="644">
        <f t="shared" si="2"/>
        <v>1.8000000000000002E-3</v>
      </c>
      <c r="M39" s="645" t="str">
        <f t="shared" si="3"/>
        <v>0.01</v>
      </c>
      <c r="N39" s="579"/>
    </row>
    <row r="40" spans="1:14" ht="40.5">
      <c r="A40" s="636">
        <v>5</v>
      </c>
      <c r="B40" s="578"/>
      <c r="C40" s="657" t="s">
        <v>569</v>
      </c>
      <c r="D40" s="577"/>
      <c r="E40" s="581"/>
      <c r="F40" s="581"/>
      <c r="G40" s="582"/>
      <c r="H40" s="582"/>
      <c r="I40" s="582"/>
      <c r="J40" s="582"/>
      <c r="K40" s="582"/>
      <c r="L40" s="582"/>
      <c r="M40" s="582"/>
      <c r="N40" s="579"/>
    </row>
    <row r="41" spans="1:14">
      <c r="A41" s="636" t="s">
        <v>367</v>
      </c>
      <c r="B41" s="578"/>
      <c r="C41" s="658" t="s">
        <v>570</v>
      </c>
      <c r="D41" s="583"/>
      <c r="E41" s="581" t="s">
        <v>564</v>
      </c>
      <c r="F41" s="581">
        <v>14</v>
      </c>
      <c r="G41" s="582">
        <v>73082011</v>
      </c>
      <c r="H41" s="585" t="s">
        <v>475</v>
      </c>
      <c r="I41" s="586">
        <v>18</v>
      </c>
      <c r="J41" s="585" t="s">
        <v>475</v>
      </c>
      <c r="K41" s="587"/>
      <c r="L41" s="644">
        <f t="shared" si="2"/>
        <v>1.8000000000000002E-3</v>
      </c>
      <c r="M41" s="645" t="str">
        <f t="shared" si="3"/>
        <v>0.01</v>
      </c>
      <c r="N41" s="579"/>
    </row>
    <row r="42" spans="1:14">
      <c r="A42" s="636" t="s">
        <v>370</v>
      </c>
      <c r="B42" s="578"/>
      <c r="C42" s="658" t="s">
        <v>571</v>
      </c>
      <c r="D42" s="583"/>
      <c r="E42" s="581" t="s">
        <v>564</v>
      </c>
      <c r="F42" s="581">
        <v>5</v>
      </c>
      <c r="G42" s="582">
        <v>73082011</v>
      </c>
      <c r="H42" s="585" t="s">
        <v>475</v>
      </c>
      <c r="I42" s="586">
        <v>18</v>
      </c>
      <c r="J42" s="585" t="s">
        <v>475</v>
      </c>
      <c r="K42" s="587"/>
      <c r="L42" s="644">
        <f t="shared" si="2"/>
        <v>1.8000000000000002E-3</v>
      </c>
      <c r="M42" s="645" t="str">
        <f t="shared" si="3"/>
        <v>0.01</v>
      </c>
      <c r="N42" s="579"/>
    </row>
    <row r="43" spans="1:14">
      <c r="A43" s="636" t="s">
        <v>372</v>
      </c>
      <c r="B43" s="578"/>
      <c r="C43" s="658" t="s">
        <v>572</v>
      </c>
      <c r="D43" s="583"/>
      <c r="E43" s="581" t="s">
        <v>564</v>
      </c>
      <c r="F43" s="581">
        <v>3</v>
      </c>
      <c r="G43" s="582">
        <v>73082012</v>
      </c>
      <c r="H43" s="585" t="s">
        <v>475</v>
      </c>
      <c r="I43" s="586">
        <v>18</v>
      </c>
      <c r="J43" s="585" t="s">
        <v>475</v>
      </c>
      <c r="K43" s="587"/>
      <c r="L43" s="644">
        <f t="shared" si="2"/>
        <v>1.8000000000000002E-3</v>
      </c>
      <c r="M43" s="645" t="str">
        <f t="shared" si="3"/>
        <v>0.01</v>
      </c>
      <c r="N43" s="579"/>
    </row>
    <row r="44" spans="1:14">
      <c r="A44" s="636">
        <v>6</v>
      </c>
      <c r="B44" s="578"/>
      <c r="C44" s="657" t="s">
        <v>573</v>
      </c>
      <c r="D44" s="577"/>
      <c r="E44" s="581"/>
      <c r="F44" s="581"/>
      <c r="G44" s="582"/>
      <c r="H44" s="582"/>
      <c r="I44" s="582"/>
      <c r="J44" s="582"/>
      <c r="K44" s="582"/>
      <c r="L44" s="582"/>
      <c r="M44" s="582"/>
      <c r="N44" s="579"/>
    </row>
    <row r="45" spans="1:14" ht="42">
      <c r="A45" s="636" t="s">
        <v>367</v>
      </c>
      <c r="B45" s="578"/>
      <c r="C45" s="658" t="s">
        <v>574</v>
      </c>
      <c r="D45" s="583"/>
      <c r="E45" s="581" t="s">
        <v>563</v>
      </c>
      <c r="F45" s="581">
        <v>4</v>
      </c>
      <c r="G45" s="582">
        <v>73082011</v>
      </c>
      <c r="H45" s="585" t="s">
        <v>475</v>
      </c>
      <c r="I45" s="586">
        <v>18</v>
      </c>
      <c r="J45" s="585" t="s">
        <v>475</v>
      </c>
      <c r="K45" s="587"/>
      <c r="L45" s="644">
        <f t="shared" si="2"/>
        <v>1.8000000000000002E-3</v>
      </c>
      <c r="M45" s="645" t="str">
        <f t="shared" si="3"/>
        <v>0.01</v>
      </c>
      <c r="N45" s="579"/>
    </row>
    <row r="46" spans="1:14">
      <c r="A46" s="636" t="s">
        <v>370</v>
      </c>
      <c r="B46" s="578"/>
      <c r="C46" s="658" t="s">
        <v>575</v>
      </c>
      <c r="D46" s="583"/>
      <c r="E46" s="581" t="s">
        <v>563</v>
      </c>
      <c r="F46" s="581">
        <v>4</v>
      </c>
      <c r="G46" s="582">
        <v>76169990</v>
      </c>
      <c r="H46" s="585" t="s">
        <v>475</v>
      </c>
      <c r="I46" s="586">
        <v>18</v>
      </c>
      <c r="J46" s="585" t="s">
        <v>475</v>
      </c>
      <c r="K46" s="587"/>
      <c r="L46" s="644">
        <f t="shared" si="2"/>
        <v>1.8000000000000002E-3</v>
      </c>
      <c r="M46" s="645" t="str">
        <f t="shared" si="3"/>
        <v>0.01</v>
      </c>
      <c r="N46" s="579"/>
    </row>
    <row r="47" spans="1:14">
      <c r="A47" s="636" t="s">
        <v>372</v>
      </c>
      <c r="B47" s="578"/>
      <c r="C47" s="658" t="s">
        <v>576</v>
      </c>
      <c r="D47" s="583"/>
      <c r="E47" s="581" t="s">
        <v>563</v>
      </c>
      <c r="F47" s="581">
        <v>53</v>
      </c>
      <c r="G47" s="582">
        <v>73082011</v>
      </c>
      <c r="H47" s="585" t="s">
        <v>475</v>
      </c>
      <c r="I47" s="586">
        <v>18</v>
      </c>
      <c r="J47" s="585" t="s">
        <v>475</v>
      </c>
      <c r="K47" s="587"/>
      <c r="L47" s="644">
        <f t="shared" si="2"/>
        <v>1.8000000000000002E-3</v>
      </c>
      <c r="M47" s="645" t="str">
        <f t="shared" si="3"/>
        <v>0.01</v>
      </c>
      <c r="N47" s="579"/>
    </row>
    <row r="48" spans="1:14">
      <c r="A48" s="636" t="s">
        <v>373</v>
      </c>
      <c r="B48" s="578"/>
      <c r="C48" s="658" t="s">
        <v>577</v>
      </c>
      <c r="D48" s="583"/>
      <c r="E48" s="581" t="s">
        <v>563</v>
      </c>
      <c r="F48" s="581">
        <v>47</v>
      </c>
      <c r="G48" s="582">
        <v>73082011</v>
      </c>
      <c r="H48" s="585" t="s">
        <v>475</v>
      </c>
      <c r="I48" s="586">
        <v>18</v>
      </c>
      <c r="J48" s="585" t="s">
        <v>475</v>
      </c>
      <c r="K48" s="587"/>
      <c r="L48" s="644">
        <f t="shared" si="2"/>
        <v>1.8000000000000002E-3</v>
      </c>
      <c r="M48" s="645" t="str">
        <f t="shared" si="3"/>
        <v>0.01</v>
      </c>
      <c r="N48" s="579"/>
    </row>
    <row r="49" spans="1:14">
      <c r="A49" s="636">
        <v>7</v>
      </c>
      <c r="B49" s="578"/>
      <c r="C49" s="661" t="s">
        <v>518</v>
      </c>
      <c r="D49" s="577"/>
      <c r="E49" s="581"/>
      <c r="F49" s="581"/>
      <c r="G49" s="582"/>
      <c r="H49" s="582"/>
      <c r="I49" s="582"/>
      <c r="J49" s="582"/>
      <c r="K49" s="582"/>
      <c r="L49" s="582"/>
      <c r="M49" s="582"/>
      <c r="N49" s="579"/>
    </row>
    <row r="50" spans="1:14" ht="42">
      <c r="A50" s="636" t="s">
        <v>367</v>
      </c>
      <c r="B50" s="578"/>
      <c r="C50" s="658" t="s">
        <v>550</v>
      </c>
      <c r="D50" s="583"/>
      <c r="E50" s="581" t="s">
        <v>563</v>
      </c>
      <c r="F50" s="581">
        <v>2</v>
      </c>
      <c r="G50" s="582">
        <v>73082011</v>
      </c>
      <c r="H50" s="585" t="s">
        <v>475</v>
      </c>
      <c r="I50" s="586">
        <v>18</v>
      </c>
      <c r="J50" s="585" t="s">
        <v>475</v>
      </c>
      <c r="K50" s="587"/>
      <c r="L50" s="644">
        <f t="shared" si="2"/>
        <v>1.8000000000000002E-3</v>
      </c>
      <c r="M50" s="645" t="str">
        <f t="shared" si="3"/>
        <v>0.01</v>
      </c>
      <c r="N50" s="579"/>
    </row>
    <row r="51" spans="1:14">
      <c r="A51" s="636" t="s">
        <v>370</v>
      </c>
      <c r="B51" s="578"/>
      <c r="C51" s="658" t="s">
        <v>551</v>
      </c>
      <c r="D51" s="583"/>
      <c r="E51" s="581" t="s">
        <v>563</v>
      </c>
      <c r="F51" s="581">
        <v>12</v>
      </c>
      <c r="G51" s="582">
        <v>74082990</v>
      </c>
      <c r="H51" s="585" t="s">
        <v>475</v>
      </c>
      <c r="I51" s="586">
        <v>18</v>
      </c>
      <c r="J51" s="585" t="s">
        <v>475</v>
      </c>
      <c r="K51" s="587"/>
      <c r="L51" s="644">
        <f t="shared" si="2"/>
        <v>1.8000000000000002E-3</v>
      </c>
      <c r="M51" s="645" t="str">
        <f t="shared" si="3"/>
        <v>0.01</v>
      </c>
      <c r="N51" s="579"/>
    </row>
    <row r="52" spans="1:14">
      <c r="A52" s="636" t="s">
        <v>372</v>
      </c>
      <c r="B52" s="578"/>
      <c r="C52" s="658" t="s">
        <v>552</v>
      </c>
      <c r="D52" s="583"/>
      <c r="E52" s="581" t="s">
        <v>563</v>
      </c>
      <c r="F52" s="581">
        <v>24</v>
      </c>
      <c r="G52" s="582">
        <v>73082011</v>
      </c>
      <c r="H52" s="585" t="s">
        <v>475</v>
      </c>
      <c r="I52" s="586">
        <v>18</v>
      </c>
      <c r="J52" s="585" t="s">
        <v>475</v>
      </c>
      <c r="K52" s="587"/>
      <c r="L52" s="644">
        <f t="shared" si="2"/>
        <v>1.8000000000000002E-3</v>
      </c>
      <c r="M52" s="645" t="str">
        <f t="shared" si="3"/>
        <v>0.01</v>
      </c>
      <c r="N52" s="579"/>
    </row>
    <row r="53" spans="1:14">
      <c r="A53" s="636" t="s">
        <v>373</v>
      </c>
      <c r="B53" s="578"/>
      <c r="C53" s="658" t="s">
        <v>553</v>
      </c>
      <c r="D53" s="583"/>
      <c r="E53" s="581" t="s">
        <v>563</v>
      </c>
      <c r="F53" s="581">
        <v>12</v>
      </c>
      <c r="G53" s="582">
        <v>73082011</v>
      </c>
      <c r="H53" s="585" t="s">
        <v>475</v>
      </c>
      <c r="I53" s="586">
        <v>18</v>
      </c>
      <c r="J53" s="585" t="s">
        <v>475</v>
      </c>
      <c r="K53" s="587"/>
      <c r="L53" s="644">
        <f t="shared" si="2"/>
        <v>1.8000000000000002E-3</v>
      </c>
      <c r="M53" s="645" t="str">
        <f t="shared" si="3"/>
        <v>0.01</v>
      </c>
      <c r="N53" s="579"/>
    </row>
    <row r="54" spans="1:14" ht="40.5">
      <c r="A54" s="580">
        <v>8</v>
      </c>
      <c r="B54" s="578"/>
      <c r="C54" s="657" t="s">
        <v>578</v>
      </c>
      <c r="D54" s="583"/>
      <c r="E54" s="581" t="s">
        <v>565</v>
      </c>
      <c r="F54" s="581">
        <v>1.651</v>
      </c>
      <c r="G54" s="582">
        <v>73121020</v>
      </c>
      <c r="H54" s="585" t="s">
        <v>475</v>
      </c>
      <c r="I54" s="586">
        <v>18</v>
      </c>
      <c r="J54" s="585" t="s">
        <v>475</v>
      </c>
      <c r="K54" s="587"/>
      <c r="L54" s="644">
        <f t="shared" si="2"/>
        <v>1.8000000000000002E-3</v>
      </c>
      <c r="M54" s="645" t="str">
        <f t="shared" si="3"/>
        <v>0.01</v>
      </c>
      <c r="N54" s="579"/>
    </row>
    <row r="55" spans="1:14" ht="38.25" customHeight="1">
      <c r="A55" s="712" t="s">
        <v>612</v>
      </c>
      <c r="B55" s="713"/>
      <c r="C55" s="713"/>
      <c r="D55" s="713"/>
      <c r="E55" s="713"/>
      <c r="F55" s="713"/>
      <c r="G55" s="713"/>
      <c r="H55" s="713"/>
      <c r="I55" s="713"/>
      <c r="J55" s="713"/>
      <c r="K55" s="713"/>
      <c r="L55" s="713"/>
      <c r="M55" s="714"/>
      <c r="N55" s="579"/>
    </row>
    <row r="56" spans="1:14">
      <c r="A56" s="580" t="s">
        <v>579</v>
      </c>
      <c r="B56" s="578"/>
      <c r="C56" s="662" t="s">
        <v>566</v>
      </c>
      <c r="D56" s="577"/>
      <c r="E56" s="581"/>
      <c r="F56" s="581"/>
      <c r="G56" s="582"/>
      <c r="H56" s="582"/>
      <c r="I56" s="582"/>
      <c r="J56" s="582"/>
      <c r="K56" s="582"/>
      <c r="L56" s="582"/>
      <c r="M56" s="582"/>
      <c r="N56" s="579"/>
    </row>
    <row r="57" spans="1:14" ht="139.5">
      <c r="A57" s="580" t="s">
        <v>555</v>
      </c>
      <c r="B57" s="578"/>
      <c r="C57" s="663" t="s">
        <v>525</v>
      </c>
      <c r="D57" s="577"/>
      <c r="E57" s="581"/>
      <c r="F57" s="581"/>
      <c r="G57" s="582"/>
      <c r="H57" s="582"/>
      <c r="I57" s="582"/>
      <c r="J57" s="582"/>
      <c r="K57" s="582"/>
      <c r="L57" s="582"/>
      <c r="M57" s="582"/>
      <c r="N57" s="579"/>
    </row>
    <row r="58" spans="1:14">
      <c r="A58" s="580" t="s">
        <v>556</v>
      </c>
      <c r="B58" s="578"/>
      <c r="C58" s="663" t="s">
        <v>526</v>
      </c>
      <c r="D58" s="583"/>
      <c r="E58" s="581" t="s">
        <v>514</v>
      </c>
      <c r="F58" s="581">
        <v>11.506</v>
      </c>
      <c r="G58" s="582">
        <v>73082011</v>
      </c>
      <c r="H58" s="585" t="s">
        <v>475</v>
      </c>
      <c r="I58" s="586">
        <v>18</v>
      </c>
      <c r="J58" s="585" t="s">
        <v>475</v>
      </c>
      <c r="K58" s="587"/>
      <c r="L58" s="644">
        <f t="shared" ref="L58" si="4">IF( OR( J58="",J58="Confirmed"), I58*M58%, J58*M58%)</f>
        <v>1.8000000000000002E-3</v>
      </c>
      <c r="M58" s="645" t="str">
        <f t="shared" ref="M58" si="5">IF(K58=0,"0.01",K58*F58)</f>
        <v>0.01</v>
      </c>
      <c r="N58" s="579"/>
    </row>
    <row r="59" spans="1:14">
      <c r="A59" s="580" t="s">
        <v>370</v>
      </c>
      <c r="B59" s="578"/>
      <c r="C59" s="663" t="s">
        <v>527</v>
      </c>
      <c r="D59" s="583"/>
      <c r="E59" s="581" t="s">
        <v>514</v>
      </c>
      <c r="F59" s="581">
        <v>17.901</v>
      </c>
      <c r="G59" s="582">
        <v>73082011</v>
      </c>
      <c r="H59" s="585" t="s">
        <v>475</v>
      </c>
      <c r="I59" s="586">
        <v>18</v>
      </c>
      <c r="J59" s="585" t="s">
        <v>475</v>
      </c>
      <c r="K59" s="587"/>
      <c r="L59" s="644">
        <f t="shared" ref="L59:L90" si="6">IF( OR( J59="",J59="Confirmed"), I59*M59%, J59*M59%)</f>
        <v>1.8000000000000002E-3</v>
      </c>
      <c r="M59" s="645" t="str">
        <f t="shared" ref="M59:M90" si="7">IF(K59=0,"0.01",K59*F59)</f>
        <v>0.01</v>
      </c>
      <c r="N59" s="579"/>
    </row>
    <row r="60" spans="1:14" ht="69.75">
      <c r="A60" s="580" t="s">
        <v>557</v>
      </c>
      <c r="B60" s="578"/>
      <c r="C60" s="663" t="s">
        <v>528</v>
      </c>
      <c r="D60" s="577"/>
      <c r="E60" s="581"/>
      <c r="F60" s="581"/>
      <c r="G60" s="582"/>
      <c r="H60" s="582"/>
      <c r="I60" s="582"/>
      <c r="J60" s="582"/>
      <c r="K60" s="582"/>
      <c r="L60" s="582"/>
      <c r="M60" s="582"/>
      <c r="N60" s="579"/>
    </row>
    <row r="61" spans="1:14">
      <c r="A61" s="580" t="s">
        <v>556</v>
      </c>
      <c r="B61" s="578"/>
      <c r="C61" s="663" t="s">
        <v>526</v>
      </c>
      <c r="D61" s="583"/>
      <c r="E61" s="581" t="s">
        <v>514</v>
      </c>
      <c r="F61" s="581">
        <v>0.95199999999999996</v>
      </c>
      <c r="G61" s="582">
        <v>73082011</v>
      </c>
      <c r="H61" s="585" t="s">
        <v>475</v>
      </c>
      <c r="I61" s="586">
        <v>18</v>
      </c>
      <c r="J61" s="585" t="s">
        <v>475</v>
      </c>
      <c r="K61" s="587"/>
      <c r="L61" s="644">
        <f t="shared" si="6"/>
        <v>1.8000000000000002E-3</v>
      </c>
      <c r="M61" s="645" t="str">
        <f t="shared" si="7"/>
        <v>0.01</v>
      </c>
      <c r="N61" s="579"/>
    </row>
    <row r="62" spans="1:14">
      <c r="A62" s="580" t="s">
        <v>370</v>
      </c>
      <c r="B62" s="578"/>
      <c r="C62" s="663" t="s">
        <v>527</v>
      </c>
      <c r="D62" s="583"/>
      <c r="E62" s="581" t="s">
        <v>514</v>
      </c>
      <c r="F62" s="581">
        <v>9.8000000000000004E-2</v>
      </c>
      <c r="G62" s="582">
        <v>73082011</v>
      </c>
      <c r="H62" s="585" t="s">
        <v>475</v>
      </c>
      <c r="I62" s="586">
        <v>18</v>
      </c>
      <c r="J62" s="585" t="s">
        <v>475</v>
      </c>
      <c r="K62" s="587"/>
      <c r="L62" s="644">
        <f t="shared" si="6"/>
        <v>1.8000000000000002E-3</v>
      </c>
      <c r="M62" s="645" t="str">
        <f t="shared" si="7"/>
        <v>0.01</v>
      </c>
      <c r="N62" s="579"/>
    </row>
    <row r="63" spans="1:14" ht="46.5">
      <c r="A63" s="580">
        <v>1.3</v>
      </c>
      <c r="B63" s="578"/>
      <c r="C63" s="663" t="s">
        <v>529</v>
      </c>
      <c r="D63" s="577"/>
      <c r="E63" s="581"/>
      <c r="F63" s="581"/>
      <c r="G63" s="582"/>
      <c r="H63" s="582"/>
      <c r="I63" s="582"/>
      <c r="J63" s="582"/>
      <c r="K63" s="582"/>
      <c r="L63" s="582"/>
      <c r="M63" s="582"/>
      <c r="N63" s="579"/>
    </row>
    <row r="64" spans="1:14">
      <c r="A64" s="580" t="s">
        <v>558</v>
      </c>
      <c r="B64" s="578"/>
      <c r="C64" s="663" t="s">
        <v>530</v>
      </c>
      <c r="D64" s="583"/>
      <c r="E64" s="581" t="s">
        <v>514</v>
      </c>
      <c r="F64" s="581">
        <v>1.22</v>
      </c>
      <c r="G64" s="582">
        <v>73181500</v>
      </c>
      <c r="H64" s="585" t="s">
        <v>475</v>
      </c>
      <c r="I64" s="586">
        <v>18</v>
      </c>
      <c r="J64" s="585" t="s">
        <v>475</v>
      </c>
      <c r="K64" s="587"/>
      <c r="L64" s="644">
        <f t="shared" si="6"/>
        <v>1.8000000000000002E-3</v>
      </c>
      <c r="M64" s="645" t="str">
        <f t="shared" si="7"/>
        <v>0.01</v>
      </c>
      <c r="N64" s="579"/>
    </row>
    <row r="65" spans="1:14">
      <c r="A65" s="580" t="s">
        <v>559</v>
      </c>
      <c r="B65" s="578"/>
      <c r="C65" s="663" t="s">
        <v>531</v>
      </c>
      <c r="D65" s="583"/>
      <c r="E65" s="581" t="s">
        <v>514</v>
      </c>
      <c r="F65" s="581">
        <v>0.02</v>
      </c>
      <c r="G65" s="582">
        <v>73181500</v>
      </c>
      <c r="H65" s="585" t="s">
        <v>475</v>
      </c>
      <c r="I65" s="586">
        <v>18</v>
      </c>
      <c r="J65" s="585" t="s">
        <v>475</v>
      </c>
      <c r="K65" s="587"/>
      <c r="L65" s="644">
        <f t="shared" si="6"/>
        <v>1.8000000000000002E-3</v>
      </c>
      <c r="M65" s="645" t="str">
        <f t="shared" si="7"/>
        <v>0.01</v>
      </c>
      <c r="N65" s="579"/>
    </row>
    <row r="66" spans="1:14">
      <c r="A66" s="580">
        <v>2</v>
      </c>
      <c r="B66" s="578"/>
      <c r="C66" s="664" t="s">
        <v>532</v>
      </c>
      <c r="D66" s="577"/>
      <c r="E66" s="581"/>
      <c r="F66" s="581"/>
      <c r="G66" s="582"/>
      <c r="H66" s="582"/>
      <c r="I66" s="582"/>
      <c r="J66" s="582"/>
      <c r="K66" s="582"/>
      <c r="L66" s="582"/>
      <c r="M66" s="582"/>
      <c r="N66" s="579"/>
    </row>
    <row r="67" spans="1:14">
      <c r="A67" s="580" t="s">
        <v>558</v>
      </c>
      <c r="B67" s="578"/>
      <c r="C67" s="663" t="s">
        <v>533</v>
      </c>
      <c r="D67" s="583"/>
      <c r="E67" s="581" t="s">
        <v>563</v>
      </c>
      <c r="F67" s="581">
        <v>2</v>
      </c>
      <c r="G67" s="582">
        <v>73082011</v>
      </c>
      <c r="H67" s="585" t="s">
        <v>475</v>
      </c>
      <c r="I67" s="586">
        <v>18</v>
      </c>
      <c r="J67" s="585" t="s">
        <v>475</v>
      </c>
      <c r="K67" s="587"/>
      <c r="L67" s="644">
        <f t="shared" si="6"/>
        <v>1.8000000000000002E-3</v>
      </c>
      <c r="M67" s="645" t="str">
        <f t="shared" si="7"/>
        <v>0.01</v>
      </c>
      <c r="N67" s="579"/>
    </row>
    <row r="68" spans="1:14">
      <c r="A68" s="580">
        <v>3</v>
      </c>
      <c r="B68" s="578"/>
      <c r="C68" s="664" t="s">
        <v>534</v>
      </c>
      <c r="D68" s="577"/>
      <c r="E68" s="581"/>
      <c r="F68" s="581"/>
      <c r="G68" s="582"/>
      <c r="H68" s="582"/>
      <c r="I68" s="582"/>
      <c r="J68" s="582"/>
      <c r="K68" s="582"/>
      <c r="L68" s="582"/>
      <c r="M68" s="582"/>
      <c r="N68" s="579"/>
    </row>
    <row r="69" spans="1:14">
      <c r="A69" s="580" t="s">
        <v>558</v>
      </c>
      <c r="B69" s="578"/>
      <c r="C69" s="663" t="s">
        <v>535</v>
      </c>
      <c r="D69" s="583"/>
      <c r="E69" s="581" t="s">
        <v>563</v>
      </c>
      <c r="F69" s="581">
        <v>2</v>
      </c>
      <c r="G69" s="582">
        <v>73082011</v>
      </c>
      <c r="H69" s="585" t="s">
        <v>475</v>
      </c>
      <c r="I69" s="586">
        <v>18</v>
      </c>
      <c r="J69" s="585" t="s">
        <v>475</v>
      </c>
      <c r="K69" s="587"/>
      <c r="L69" s="644">
        <f t="shared" si="6"/>
        <v>1.8000000000000002E-3</v>
      </c>
      <c r="M69" s="645" t="str">
        <f t="shared" si="7"/>
        <v>0.01</v>
      </c>
      <c r="N69" s="579"/>
    </row>
    <row r="70" spans="1:14">
      <c r="A70" s="580" t="s">
        <v>559</v>
      </c>
      <c r="B70" s="578"/>
      <c r="C70" s="663" t="s">
        <v>536</v>
      </c>
      <c r="D70" s="583"/>
      <c r="E70" s="581" t="s">
        <v>563</v>
      </c>
      <c r="F70" s="581">
        <v>2</v>
      </c>
      <c r="G70" s="582">
        <v>73082011</v>
      </c>
      <c r="H70" s="585" t="s">
        <v>475</v>
      </c>
      <c r="I70" s="586">
        <v>18</v>
      </c>
      <c r="J70" s="585" t="s">
        <v>475</v>
      </c>
      <c r="K70" s="587"/>
      <c r="L70" s="644">
        <f t="shared" si="6"/>
        <v>1.8000000000000002E-3</v>
      </c>
      <c r="M70" s="645" t="str">
        <f t="shared" si="7"/>
        <v>0.01</v>
      </c>
      <c r="N70" s="579"/>
    </row>
    <row r="71" spans="1:14">
      <c r="A71" s="580" t="s">
        <v>560</v>
      </c>
      <c r="B71" s="578"/>
      <c r="C71" s="663" t="s">
        <v>537</v>
      </c>
      <c r="D71" s="583"/>
      <c r="E71" s="581" t="s">
        <v>564</v>
      </c>
      <c r="F71" s="581">
        <v>2</v>
      </c>
      <c r="G71" s="582">
        <v>73082011</v>
      </c>
      <c r="H71" s="585" t="s">
        <v>475</v>
      </c>
      <c r="I71" s="586">
        <v>18</v>
      </c>
      <c r="J71" s="585" t="s">
        <v>475</v>
      </c>
      <c r="K71" s="587"/>
      <c r="L71" s="644">
        <f t="shared" si="6"/>
        <v>1.8000000000000002E-3</v>
      </c>
      <c r="M71" s="645" t="str">
        <f t="shared" si="7"/>
        <v>0.01</v>
      </c>
      <c r="N71" s="579"/>
    </row>
    <row r="72" spans="1:14">
      <c r="A72" s="580" t="s">
        <v>561</v>
      </c>
      <c r="B72" s="578"/>
      <c r="C72" s="663" t="s">
        <v>538</v>
      </c>
      <c r="D72" s="583"/>
      <c r="E72" s="581" t="s">
        <v>564</v>
      </c>
      <c r="F72" s="581">
        <v>2</v>
      </c>
      <c r="G72" s="582">
        <v>73082011</v>
      </c>
      <c r="H72" s="585" t="s">
        <v>475</v>
      </c>
      <c r="I72" s="586">
        <v>18</v>
      </c>
      <c r="J72" s="585" t="s">
        <v>475</v>
      </c>
      <c r="K72" s="587"/>
      <c r="L72" s="644">
        <f t="shared" si="6"/>
        <v>1.8000000000000002E-3</v>
      </c>
      <c r="M72" s="645" t="str">
        <f t="shared" si="7"/>
        <v>0.01</v>
      </c>
      <c r="N72" s="579"/>
    </row>
    <row r="73" spans="1:14">
      <c r="A73" s="580" t="s">
        <v>562</v>
      </c>
      <c r="B73" s="578"/>
      <c r="C73" s="663" t="s">
        <v>539</v>
      </c>
      <c r="D73" s="583"/>
      <c r="E73" s="581" t="s">
        <v>563</v>
      </c>
      <c r="F73" s="581">
        <v>2</v>
      </c>
      <c r="G73" s="582">
        <v>73082011</v>
      </c>
      <c r="H73" s="585" t="s">
        <v>475</v>
      </c>
      <c r="I73" s="586">
        <v>18</v>
      </c>
      <c r="J73" s="585" t="s">
        <v>475</v>
      </c>
      <c r="K73" s="587"/>
      <c r="L73" s="644">
        <f t="shared" si="6"/>
        <v>1.8000000000000002E-3</v>
      </c>
      <c r="M73" s="645" t="str">
        <f t="shared" si="7"/>
        <v>0.01</v>
      </c>
      <c r="N73" s="579"/>
    </row>
    <row r="74" spans="1:14" ht="46.5">
      <c r="A74" s="580">
        <v>4</v>
      </c>
      <c r="B74" s="578"/>
      <c r="C74" s="664" t="s">
        <v>540</v>
      </c>
      <c r="D74" s="577"/>
      <c r="E74" s="581"/>
      <c r="F74" s="581"/>
      <c r="G74" s="582"/>
      <c r="H74" s="582"/>
      <c r="I74" s="582"/>
      <c r="J74" s="582"/>
      <c r="K74" s="582"/>
      <c r="L74" s="582"/>
      <c r="M74" s="582"/>
      <c r="N74" s="579"/>
    </row>
    <row r="75" spans="1:14" ht="46.5">
      <c r="A75" s="580" t="s">
        <v>558</v>
      </c>
      <c r="B75" s="578"/>
      <c r="C75" s="663" t="s">
        <v>541</v>
      </c>
      <c r="D75" s="583"/>
      <c r="E75" s="581" t="s">
        <v>563</v>
      </c>
      <c r="F75" s="581">
        <v>37</v>
      </c>
      <c r="G75" s="582">
        <v>85462029</v>
      </c>
      <c r="H75" s="585" t="s">
        <v>475</v>
      </c>
      <c r="I75" s="586">
        <v>18</v>
      </c>
      <c r="J75" s="585" t="s">
        <v>475</v>
      </c>
      <c r="K75" s="587"/>
      <c r="L75" s="644">
        <f t="shared" si="6"/>
        <v>1.8000000000000002E-3</v>
      </c>
      <c r="M75" s="645" t="str">
        <f t="shared" si="7"/>
        <v>0.01</v>
      </c>
      <c r="N75" s="579"/>
    </row>
    <row r="76" spans="1:14" ht="46.5">
      <c r="A76" s="580" t="s">
        <v>559</v>
      </c>
      <c r="B76" s="578"/>
      <c r="C76" s="663" t="s">
        <v>542</v>
      </c>
      <c r="D76" s="583"/>
      <c r="E76" s="581" t="s">
        <v>563</v>
      </c>
      <c r="F76" s="581">
        <v>7</v>
      </c>
      <c r="G76" s="582">
        <v>85462029</v>
      </c>
      <c r="H76" s="585" t="s">
        <v>475</v>
      </c>
      <c r="I76" s="586">
        <v>18</v>
      </c>
      <c r="J76" s="585" t="s">
        <v>475</v>
      </c>
      <c r="K76" s="587"/>
      <c r="L76" s="644">
        <f t="shared" si="6"/>
        <v>1.8000000000000002E-3</v>
      </c>
      <c r="M76" s="645" t="str">
        <f t="shared" si="7"/>
        <v>0.01</v>
      </c>
      <c r="N76" s="579"/>
    </row>
    <row r="77" spans="1:14">
      <c r="A77" s="580">
        <v>5</v>
      </c>
      <c r="B77" s="578"/>
      <c r="C77" s="664" t="s">
        <v>543</v>
      </c>
      <c r="D77" s="577"/>
      <c r="E77" s="581"/>
      <c r="F77" s="581"/>
      <c r="G77" s="582"/>
      <c r="H77" s="582"/>
      <c r="I77" s="582"/>
      <c r="J77" s="582"/>
      <c r="K77" s="582"/>
      <c r="L77" s="582"/>
      <c r="M77" s="582"/>
      <c r="N77" s="579"/>
    </row>
    <row r="78" spans="1:14">
      <c r="A78" s="580" t="s">
        <v>367</v>
      </c>
      <c r="B78" s="578"/>
      <c r="C78" s="663" t="s">
        <v>544</v>
      </c>
      <c r="D78" s="583"/>
      <c r="E78" s="581" t="s">
        <v>564</v>
      </c>
      <c r="F78" s="581">
        <v>19</v>
      </c>
      <c r="G78" s="582">
        <v>73082011</v>
      </c>
      <c r="H78" s="585" t="s">
        <v>475</v>
      </c>
      <c r="I78" s="586">
        <v>18</v>
      </c>
      <c r="J78" s="585" t="s">
        <v>475</v>
      </c>
      <c r="K78" s="587"/>
      <c r="L78" s="644">
        <f t="shared" si="6"/>
        <v>1.8000000000000002E-3</v>
      </c>
      <c r="M78" s="645" t="str">
        <f t="shared" si="7"/>
        <v>0.01</v>
      </c>
      <c r="N78" s="579"/>
    </row>
    <row r="79" spans="1:14">
      <c r="A79" s="580" t="s">
        <v>370</v>
      </c>
      <c r="B79" s="578"/>
      <c r="C79" s="663" t="s">
        <v>545</v>
      </c>
      <c r="D79" s="583"/>
      <c r="E79" s="581" t="s">
        <v>564</v>
      </c>
      <c r="F79" s="581">
        <v>7</v>
      </c>
      <c r="G79" s="582">
        <v>73082011</v>
      </c>
      <c r="H79" s="585" t="s">
        <v>475</v>
      </c>
      <c r="I79" s="586">
        <v>18</v>
      </c>
      <c r="J79" s="585" t="s">
        <v>475</v>
      </c>
      <c r="K79" s="587"/>
      <c r="L79" s="644">
        <f t="shared" si="6"/>
        <v>1.8000000000000002E-3</v>
      </c>
      <c r="M79" s="645" t="str">
        <f t="shared" si="7"/>
        <v>0.01</v>
      </c>
      <c r="N79" s="579"/>
    </row>
    <row r="80" spans="1:14" ht="46.5">
      <c r="A80" s="580">
        <v>6</v>
      </c>
      <c r="B80" s="578"/>
      <c r="C80" s="664" t="s">
        <v>546</v>
      </c>
      <c r="D80" s="577"/>
      <c r="E80" s="581"/>
      <c r="F80" s="581"/>
      <c r="G80" s="582"/>
      <c r="H80" s="582"/>
      <c r="I80" s="582"/>
      <c r="J80" s="582"/>
      <c r="K80" s="582"/>
      <c r="L80" s="582"/>
      <c r="M80" s="582"/>
      <c r="N80" s="579"/>
    </row>
    <row r="81" spans="1:14">
      <c r="A81" s="580" t="s">
        <v>558</v>
      </c>
      <c r="B81" s="578"/>
      <c r="C81" s="663" t="s">
        <v>517</v>
      </c>
      <c r="D81" s="583"/>
      <c r="E81" s="581" t="s">
        <v>563</v>
      </c>
      <c r="F81" s="581">
        <v>3</v>
      </c>
      <c r="G81" s="582">
        <v>73082011</v>
      </c>
      <c r="H81" s="585" t="s">
        <v>475</v>
      </c>
      <c r="I81" s="586">
        <v>18</v>
      </c>
      <c r="J81" s="585" t="s">
        <v>475</v>
      </c>
      <c r="K81" s="587"/>
      <c r="L81" s="644">
        <f t="shared" si="6"/>
        <v>1.8000000000000002E-3</v>
      </c>
      <c r="M81" s="645" t="str">
        <f t="shared" si="7"/>
        <v>0.01</v>
      </c>
      <c r="N81" s="579"/>
    </row>
    <row r="82" spans="1:14">
      <c r="A82" s="580" t="s">
        <v>559</v>
      </c>
      <c r="B82" s="578"/>
      <c r="C82" s="663" t="s">
        <v>547</v>
      </c>
      <c r="D82" s="583"/>
      <c r="E82" s="581" t="s">
        <v>563</v>
      </c>
      <c r="F82" s="581">
        <v>4</v>
      </c>
      <c r="G82" s="582">
        <v>76169990</v>
      </c>
      <c r="H82" s="585" t="s">
        <v>475</v>
      </c>
      <c r="I82" s="586">
        <v>18</v>
      </c>
      <c r="J82" s="585" t="s">
        <v>475</v>
      </c>
      <c r="K82" s="587"/>
      <c r="L82" s="644">
        <f t="shared" si="6"/>
        <v>1.8000000000000002E-3</v>
      </c>
      <c r="M82" s="645" t="str">
        <f t="shared" si="7"/>
        <v>0.01</v>
      </c>
      <c r="N82" s="579"/>
    </row>
    <row r="83" spans="1:14">
      <c r="A83" s="580" t="s">
        <v>560</v>
      </c>
      <c r="B83" s="578"/>
      <c r="C83" s="663" t="s">
        <v>548</v>
      </c>
      <c r="D83" s="583"/>
      <c r="E83" s="581" t="s">
        <v>563</v>
      </c>
      <c r="F83" s="581">
        <v>36</v>
      </c>
      <c r="G83" s="582">
        <v>73082011</v>
      </c>
      <c r="H83" s="585" t="s">
        <v>475</v>
      </c>
      <c r="I83" s="586">
        <v>18</v>
      </c>
      <c r="J83" s="585" t="s">
        <v>475</v>
      </c>
      <c r="K83" s="587"/>
      <c r="L83" s="644">
        <f t="shared" si="6"/>
        <v>1.8000000000000002E-3</v>
      </c>
      <c r="M83" s="645" t="str">
        <f t="shared" si="7"/>
        <v>0.01</v>
      </c>
      <c r="N83" s="579"/>
    </row>
    <row r="84" spans="1:14">
      <c r="A84" s="580" t="s">
        <v>561</v>
      </c>
      <c r="B84" s="578"/>
      <c r="C84" s="665" t="s">
        <v>549</v>
      </c>
      <c r="D84" s="583"/>
      <c r="E84" s="581" t="s">
        <v>563</v>
      </c>
      <c r="F84" s="581">
        <v>12</v>
      </c>
      <c r="G84" s="582">
        <v>73082011</v>
      </c>
      <c r="H84" s="585" t="s">
        <v>475</v>
      </c>
      <c r="I84" s="586">
        <v>18</v>
      </c>
      <c r="J84" s="585" t="s">
        <v>475</v>
      </c>
      <c r="K84" s="587"/>
      <c r="L84" s="644">
        <f t="shared" si="6"/>
        <v>1.8000000000000002E-3</v>
      </c>
      <c r="M84" s="645" t="str">
        <f t="shared" si="7"/>
        <v>0.01</v>
      </c>
      <c r="N84" s="579"/>
    </row>
    <row r="85" spans="1:14">
      <c r="A85" s="580">
        <v>7</v>
      </c>
      <c r="B85" s="578"/>
      <c r="C85" s="666" t="s">
        <v>518</v>
      </c>
      <c r="D85" s="577"/>
      <c r="E85" s="581"/>
      <c r="F85" s="581"/>
      <c r="G85" s="582"/>
      <c r="H85" s="582"/>
      <c r="I85" s="582"/>
      <c r="J85" s="582"/>
      <c r="K85" s="582"/>
      <c r="L85" s="582"/>
      <c r="M85" s="582"/>
      <c r="N85" s="579"/>
    </row>
    <row r="86" spans="1:14" ht="46.5">
      <c r="A86" s="580" t="s">
        <v>558</v>
      </c>
      <c r="B86" s="578"/>
      <c r="C86" s="663" t="s">
        <v>550</v>
      </c>
      <c r="D86" s="583"/>
      <c r="E86" s="581" t="s">
        <v>563</v>
      </c>
      <c r="F86" s="581">
        <v>3</v>
      </c>
      <c r="G86" s="582">
        <v>73082011</v>
      </c>
      <c r="H86" s="585" t="s">
        <v>475</v>
      </c>
      <c r="I86" s="586">
        <v>18</v>
      </c>
      <c r="J86" s="585" t="s">
        <v>475</v>
      </c>
      <c r="K86" s="587"/>
      <c r="L86" s="644">
        <f t="shared" si="6"/>
        <v>1.8000000000000002E-3</v>
      </c>
      <c r="M86" s="645" t="str">
        <f t="shared" si="7"/>
        <v>0.01</v>
      </c>
      <c r="N86" s="579"/>
    </row>
    <row r="87" spans="1:14" ht="46.5">
      <c r="A87" s="580" t="s">
        <v>559</v>
      </c>
      <c r="B87" s="578"/>
      <c r="C87" s="663" t="s">
        <v>551</v>
      </c>
      <c r="D87" s="583"/>
      <c r="E87" s="581" t="s">
        <v>563</v>
      </c>
      <c r="F87" s="581">
        <v>12</v>
      </c>
      <c r="G87" s="582">
        <v>74082990</v>
      </c>
      <c r="H87" s="585" t="s">
        <v>475</v>
      </c>
      <c r="I87" s="586">
        <v>18</v>
      </c>
      <c r="J87" s="585" t="s">
        <v>475</v>
      </c>
      <c r="K87" s="587"/>
      <c r="L87" s="644">
        <f t="shared" si="6"/>
        <v>1.8000000000000002E-3</v>
      </c>
      <c r="M87" s="645" t="str">
        <f t="shared" si="7"/>
        <v>0.01</v>
      </c>
      <c r="N87" s="579"/>
    </row>
    <row r="88" spans="1:14">
      <c r="A88" s="580" t="s">
        <v>560</v>
      </c>
      <c r="B88" s="578"/>
      <c r="C88" s="663" t="s">
        <v>552</v>
      </c>
      <c r="D88" s="583"/>
      <c r="E88" s="581" t="s">
        <v>563</v>
      </c>
      <c r="F88" s="581">
        <v>24</v>
      </c>
      <c r="G88" s="582">
        <v>73082011</v>
      </c>
      <c r="H88" s="585" t="s">
        <v>475</v>
      </c>
      <c r="I88" s="586">
        <v>18</v>
      </c>
      <c r="J88" s="585" t="s">
        <v>475</v>
      </c>
      <c r="K88" s="587"/>
      <c r="L88" s="644">
        <f t="shared" si="6"/>
        <v>1.8000000000000002E-3</v>
      </c>
      <c r="M88" s="645" t="str">
        <f t="shared" si="7"/>
        <v>0.01</v>
      </c>
      <c r="N88" s="579"/>
    </row>
    <row r="89" spans="1:14">
      <c r="A89" s="580" t="s">
        <v>561</v>
      </c>
      <c r="B89" s="578"/>
      <c r="C89" s="663" t="s">
        <v>553</v>
      </c>
      <c r="D89" s="583"/>
      <c r="E89" s="581" t="s">
        <v>563</v>
      </c>
      <c r="F89" s="581">
        <v>12</v>
      </c>
      <c r="G89" s="582">
        <v>73082011</v>
      </c>
      <c r="H89" s="585" t="s">
        <v>475</v>
      </c>
      <c r="I89" s="586">
        <v>18</v>
      </c>
      <c r="J89" s="585" t="s">
        <v>475</v>
      </c>
      <c r="K89" s="587"/>
      <c r="L89" s="644">
        <f t="shared" si="6"/>
        <v>1.8000000000000002E-3</v>
      </c>
      <c r="M89" s="645" t="str">
        <f t="shared" si="7"/>
        <v>0.01</v>
      </c>
      <c r="N89" s="579"/>
    </row>
    <row r="90" spans="1:14">
      <c r="A90" s="580">
        <v>8</v>
      </c>
      <c r="B90" s="578"/>
      <c r="C90" s="664" t="s">
        <v>554</v>
      </c>
      <c r="D90" s="583"/>
      <c r="E90" s="581" t="s">
        <v>565</v>
      </c>
      <c r="F90" s="581">
        <v>1.8540000000000001</v>
      </c>
      <c r="G90" s="582">
        <v>73121020</v>
      </c>
      <c r="H90" s="585" t="s">
        <v>475</v>
      </c>
      <c r="I90" s="586">
        <v>18</v>
      </c>
      <c r="J90" s="585" t="s">
        <v>475</v>
      </c>
      <c r="K90" s="587"/>
      <c r="L90" s="644">
        <f t="shared" si="6"/>
        <v>1.8000000000000002E-3</v>
      </c>
      <c r="M90" s="645" t="str">
        <f t="shared" si="7"/>
        <v>0.01</v>
      </c>
      <c r="N90" s="579"/>
    </row>
    <row r="91" spans="1:14" ht="51.75" customHeight="1">
      <c r="A91" s="578"/>
      <c r="B91" s="578"/>
      <c r="C91" s="715" t="s">
        <v>580</v>
      </c>
      <c r="D91" s="716"/>
      <c r="E91" s="716"/>
      <c r="F91" s="716"/>
      <c r="G91" s="716"/>
      <c r="H91" s="716"/>
      <c r="I91" s="716"/>
      <c r="J91" s="716"/>
      <c r="K91" s="717"/>
      <c r="L91" s="647">
        <f>SUM(L21:L90)</f>
        <v>9.1799999999999979E-2</v>
      </c>
      <c r="M91" s="648">
        <f>SUM(M21:M90)</f>
        <v>0</v>
      </c>
      <c r="N91" s="583"/>
    </row>
    <row r="92" spans="1:14" ht="41.25" hidden="1" customHeight="1">
      <c r="A92" s="591" t="s">
        <v>502</v>
      </c>
      <c r="B92" s="582"/>
      <c r="C92" s="592" t="s">
        <v>501</v>
      </c>
      <c r="D92" s="593"/>
      <c r="E92" s="588"/>
      <c r="F92" s="588"/>
      <c r="G92" s="588"/>
      <c r="H92" s="588"/>
      <c r="I92" s="588"/>
      <c r="J92" s="588"/>
      <c r="K92" s="588"/>
      <c r="L92" s="594"/>
      <c r="M92" s="595"/>
      <c r="N92" s="583"/>
    </row>
    <row r="93" spans="1:14" ht="117" hidden="1" customHeight="1">
      <c r="A93" s="578">
        <v>1</v>
      </c>
      <c r="B93" s="578"/>
      <c r="C93" s="596" t="s">
        <v>500</v>
      </c>
      <c r="D93" s="583"/>
      <c r="E93" s="597" t="s">
        <v>188</v>
      </c>
      <c r="F93" s="597">
        <v>176</v>
      </c>
      <c r="G93" s="588">
        <v>85389000</v>
      </c>
      <c r="H93" s="598" t="s">
        <v>475</v>
      </c>
      <c r="I93" s="599">
        <v>18</v>
      </c>
      <c r="J93" s="598" t="s">
        <v>475</v>
      </c>
      <c r="K93" s="583"/>
      <c r="L93" s="594">
        <f>IF( OR( J93="",J93="Confirmed"), I93*M93%, J93*M93%)</f>
        <v>1.8000000000000002E-3</v>
      </c>
      <c r="M93" s="595" t="str">
        <f>IF(K93=0,"0.01",K93*F93)</f>
        <v>0.01</v>
      </c>
      <c r="N93" s="583"/>
    </row>
    <row r="94" spans="1:14" ht="29.25" hidden="1" customHeight="1">
      <c r="A94" s="600"/>
      <c r="B94" s="601"/>
      <c r="C94" s="602"/>
      <c r="D94" s="602"/>
      <c r="E94" s="588" t="s">
        <v>497</v>
      </c>
      <c r="F94" s="588"/>
      <c r="G94" s="574"/>
      <c r="H94" s="576"/>
      <c r="I94" s="576"/>
      <c r="J94" s="576"/>
      <c r="K94" s="574"/>
      <c r="L94" s="574" t="e">
        <f>+SUM(#REF!)</f>
        <v>#REF!</v>
      </c>
      <c r="M94" s="590" t="e">
        <f>+SUM(#REF!)</f>
        <v>#REF!</v>
      </c>
      <c r="N94" s="583"/>
    </row>
    <row r="95" spans="1:14" ht="30.75" hidden="1" customHeight="1">
      <c r="A95" s="603"/>
      <c r="B95" s="604"/>
      <c r="C95" s="721" t="s">
        <v>503</v>
      </c>
      <c r="D95" s="722"/>
      <c r="E95" s="722"/>
      <c r="F95" s="722"/>
      <c r="G95" s="722"/>
      <c r="H95" s="722"/>
      <c r="I95" s="722"/>
      <c r="J95" s="722"/>
      <c r="K95" s="723"/>
      <c r="L95" s="589">
        <f>SUM(L93)</f>
        <v>1.8000000000000002E-3</v>
      </c>
      <c r="M95" s="590">
        <f>SUM(M93)</f>
        <v>0</v>
      </c>
      <c r="N95" s="605"/>
    </row>
    <row r="96" spans="1:14" ht="13.9" customHeight="1">
      <c r="A96" s="606"/>
      <c r="B96" s="606"/>
      <c r="C96" s="607"/>
      <c r="D96" s="607"/>
      <c r="E96" s="608"/>
      <c r="F96" s="608"/>
      <c r="G96" s="609"/>
      <c r="H96" s="610"/>
      <c r="I96" s="610"/>
      <c r="J96" s="610"/>
      <c r="K96" s="611"/>
      <c r="L96" s="611"/>
      <c r="M96" s="612"/>
      <c r="N96" s="613"/>
    </row>
    <row r="97" spans="1:17" ht="16.149999999999999" hidden="1" customHeight="1">
      <c r="G97" s="718"/>
      <c r="H97" s="718"/>
      <c r="I97" s="718"/>
      <c r="J97" s="718"/>
      <c r="K97" s="718"/>
      <c r="L97" s="718"/>
      <c r="M97" s="718"/>
      <c r="N97" s="718"/>
      <c r="O97" s="614"/>
    </row>
    <row r="98" spans="1:17" ht="32.25" customHeight="1">
      <c r="A98" s="571" t="s">
        <v>460</v>
      </c>
      <c r="B98" s="561"/>
      <c r="C98" s="615"/>
      <c r="D98" s="615"/>
      <c r="G98" s="616"/>
      <c r="H98" s="617"/>
      <c r="I98" s="617"/>
      <c r="J98" s="617"/>
      <c r="K98" s="617"/>
      <c r="L98" s="617"/>
      <c r="M98" s="617"/>
      <c r="N98" s="617"/>
    </row>
    <row r="99" spans="1:17" ht="43.15" customHeight="1">
      <c r="A99" s="720" t="s">
        <v>459</v>
      </c>
      <c r="B99" s="720"/>
      <c r="C99" s="720"/>
      <c r="D99" s="720"/>
      <c r="E99" s="720"/>
      <c r="F99" s="720"/>
      <c r="G99" s="720"/>
      <c r="H99" s="720"/>
      <c r="I99" s="720"/>
      <c r="J99" s="720"/>
      <c r="K99" s="720"/>
      <c r="L99" s="720"/>
      <c r="M99" s="720"/>
      <c r="N99" s="571"/>
      <c r="O99" s="618"/>
      <c r="P99" s="618"/>
      <c r="Q99" s="618"/>
    </row>
    <row r="100" spans="1:17" ht="33.6" customHeight="1">
      <c r="A100" s="561"/>
      <c r="B100" s="561"/>
      <c r="C100" s="561"/>
      <c r="D100" s="616"/>
      <c r="G100" s="562"/>
      <c r="H100" s="619"/>
      <c r="I100" s="619"/>
      <c r="J100" s="619"/>
      <c r="K100" s="619"/>
      <c r="L100" s="619"/>
      <c r="M100" s="619"/>
      <c r="N100" s="619"/>
      <c r="O100" s="618"/>
      <c r="P100" s="618"/>
      <c r="Q100" s="618"/>
    </row>
    <row r="101" spans="1:17" ht="33.6" customHeight="1">
      <c r="A101" s="620" t="s">
        <v>498</v>
      </c>
      <c r="B101" s="621" t="e">
        <f>+#REF!</f>
        <v>#REF!</v>
      </c>
      <c r="C101" s="622"/>
      <c r="D101" s="623"/>
      <c r="G101" s="621"/>
      <c r="H101" s="624"/>
      <c r="I101" s="624"/>
      <c r="J101" s="624"/>
      <c r="L101" s="625" t="s">
        <v>229</v>
      </c>
      <c r="M101" s="626" t="str">
        <f>IF('Names of Bidder'!D18=0, "", 'Names of Bidder'!D18D18)</f>
        <v/>
      </c>
      <c r="N101" s="627"/>
      <c r="O101" s="618"/>
      <c r="P101" s="618"/>
      <c r="Q101" s="618"/>
    </row>
    <row r="102" spans="1:17" ht="33.6" customHeight="1">
      <c r="A102" s="620" t="s">
        <v>121</v>
      </c>
      <c r="B102" s="621" t="e">
        <f>+#REF!</f>
        <v>#REF!</v>
      </c>
      <c r="C102" s="622"/>
      <c r="D102" s="623"/>
      <c r="G102" s="621"/>
      <c r="H102" s="624"/>
      <c r="I102" s="624"/>
      <c r="J102" s="624"/>
      <c r="L102" s="625" t="s">
        <v>230</v>
      </c>
      <c r="M102" s="719" t="str">
        <f>IF('Names of Bidder'!D19=0, "", 'Names of Bidder'!D19)</f>
        <v/>
      </c>
      <c r="N102" s="719"/>
      <c r="O102" s="618"/>
      <c r="P102" s="618"/>
      <c r="Q102" s="618"/>
    </row>
    <row r="103" spans="1:17" ht="33.6" customHeight="1">
      <c r="H103" s="628"/>
      <c r="I103" s="628"/>
      <c r="J103" s="628"/>
      <c r="K103" s="618"/>
      <c r="L103" s="618"/>
      <c r="M103" s="629" t="e">
        <f>SUMIF(#REF!,"Bought Out",#REF!)</f>
        <v>#REF!</v>
      </c>
      <c r="N103" s="630"/>
      <c r="O103" s="618"/>
      <c r="P103" s="618"/>
      <c r="Q103" s="618"/>
    </row>
    <row r="104" spans="1:17">
      <c r="K104" s="618"/>
      <c r="L104" s="618"/>
      <c r="M104" s="618"/>
      <c r="N104" s="618"/>
      <c r="O104" s="618"/>
      <c r="P104" s="618"/>
      <c r="Q104" s="618"/>
    </row>
    <row r="105" spans="1:17">
      <c r="K105" s="618"/>
      <c r="L105" s="618"/>
      <c r="M105" s="618"/>
      <c r="N105" s="618"/>
      <c r="O105" s="618"/>
      <c r="P105" s="618"/>
      <c r="Q105" s="618"/>
    </row>
    <row r="106" spans="1:17">
      <c r="K106" s="618"/>
      <c r="L106" s="618"/>
      <c r="M106" s="618"/>
      <c r="N106" s="618"/>
      <c r="O106" s="618"/>
      <c r="P106" s="618"/>
      <c r="Q106" s="618"/>
    </row>
    <row r="107" spans="1:17">
      <c r="K107" s="618"/>
      <c r="L107" s="618"/>
      <c r="M107" s="618"/>
      <c r="N107" s="618"/>
      <c r="O107" s="618"/>
      <c r="P107" s="618"/>
      <c r="Q107" s="618"/>
    </row>
    <row r="108" spans="1:17">
      <c r="K108" s="618"/>
      <c r="L108" s="618"/>
      <c r="M108" s="618"/>
      <c r="N108" s="618"/>
      <c r="O108" s="618"/>
      <c r="P108" s="618"/>
      <c r="Q108" s="618"/>
    </row>
    <row r="109" spans="1:17">
      <c r="K109" s="618"/>
      <c r="L109" s="618"/>
      <c r="M109" s="618"/>
      <c r="N109" s="618"/>
      <c r="O109" s="618"/>
      <c r="P109" s="618"/>
      <c r="Q109" s="618"/>
    </row>
    <row r="110" spans="1:17">
      <c r="K110" s="618"/>
      <c r="L110" s="618"/>
      <c r="M110" s="618"/>
      <c r="N110" s="618"/>
      <c r="O110" s="618"/>
      <c r="P110" s="618"/>
      <c r="Q110" s="618"/>
    </row>
    <row r="111" spans="1:17">
      <c r="K111" s="618"/>
      <c r="L111" s="618"/>
      <c r="M111" s="618"/>
      <c r="N111" s="618"/>
      <c r="O111" s="618"/>
      <c r="P111" s="618"/>
      <c r="Q111" s="618"/>
    </row>
    <row r="112" spans="1:17">
      <c r="K112" s="618"/>
      <c r="L112" s="618"/>
      <c r="M112" s="618"/>
      <c r="N112" s="618"/>
      <c r="O112" s="618"/>
      <c r="P112" s="618"/>
      <c r="Q112" s="618"/>
    </row>
    <row r="113" spans="11:17">
      <c r="K113" s="618"/>
      <c r="L113" s="618"/>
      <c r="M113" s="618"/>
      <c r="N113" s="618"/>
      <c r="O113" s="618"/>
      <c r="P113" s="618"/>
      <c r="Q113" s="618"/>
    </row>
    <row r="114" spans="11:17">
      <c r="K114" s="618"/>
      <c r="L114" s="618"/>
      <c r="M114" s="618"/>
      <c r="N114" s="618"/>
      <c r="O114" s="618"/>
      <c r="P114" s="618"/>
      <c r="Q114" s="618"/>
    </row>
  </sheetData>
  <sheetProtection algorithmName="SHA-512" hashValue="HhX2dYLzv2yja2DytMt7Mt0oqHTjAsoQbrdm+wKjuOChQkIyxZKJL4L2M2W531IdXOfAl5/Ql7xFHCdBICeqzQ==" saltValue="o3PjU/BZ+yRbuGtCoVoLMw==" spinCount="100000" sheet="1" formatColumns="0" formatRows="0" selectLockedCells="1"/>
  <customSheetViews>
    <customSheetView guid="{9CA44E70-650F-49CD-967F-298619682CA2}" hiddenRows="1" hiddenColumns="1" topLeftCell="A10">
      <selection activeCell="C21" sqref="C21"/>
      <colBreaks count="1" manualBreakCount="1">
        <brk id="8" max="1048575" man="1"/>
      </colBreaks>
      <pageMargins left="0.511811023622047" right="0.26" top="0.48" bottom="0.54" header="0.25" footer="0.27"/>
      <printOptions horizontalCentered="1"/>
      <pageSetup paperSize="9" scale="88" orientation="portrait" horizontalDpi="300" verticalDpi="300" r:id="rId1"/>
      <headerFooter alignWithMargins="0">
        <oddFooter>&amp;R&amp;"Book Antiqua,Bold"&amp;10Schedule-1/ Page &amp;P of &amp;N</oddFooter>
      </headerFooter>
    </customSheetView>
    <customSheetView guid="{C39F923C-6CD3-45D8-86F8-6C4D806DDD7E}" hiddenRows="1" hiddenColumns="1" topLeftCell="A13">
      <selection activeCell="F45" sqref="F45"/>
      <colBreaks count="1" manualBreakCount="1">
        <brk id="8" max="1048575" man="1"/>
      </colBreaks>
      <pageMargins left="0.511811023622047" right="0.26" top="0.48" bottom="0.54" header="0.25" footer="0.27"/>
      <printOptions horizontalCentered="1"/>
      <pageSetup paperSize="9" scale="88" orientation="portrait" horizontalDpi="300" verticalDpi="300" r:id="rId2"/>
      <headerFooter alignWithMargins="0">
        <oddFooter>&amp;R&amp;"Book Antiqua,Bold"&amp;10Schedule-1/ Page &amp;P of &amp;N</oddFooter>
      </headerFooter>
    </customSheetView>
    <customSheetView guid="{B1277D53-29D6-4226-81E2-084FB62977B6}" hiddenRows="1" hiddenColumns="1" topLeftCell="A18">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3"/>
      <headerFooter alignWithMargins="0">
        <oddFooter>&amp;R&amp;"Book Antiqua,Bold"&amp;10Schedule-1/ Page &amp;P of &amp;N</oddFooter>
      </headerFooter>
    </customSheetView>
    <customSheetView guid="{58D82F59-8CF6-455F-B9F4-081499FDF243}" showPageBreaks="1" printArea="1" hiddenRows="1" hiddenColumns="1" view="pageBreakPreview" topLeftCell="A7">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4F65FF32-EC61-4022-A399-2986D7B6B8B3}" zeroValues="0" showRuler="0" topLeftCell="A67">
      <selection activeCell="B2" sqref="B2:E2"/>
      <rowBreaks count="1" manualBreakCount="1">
        <brk id="67"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5"/>
      <headerFooter alignWithMargins="0">
        <oddFooter>&amp;R&amp;"Book Antiqua,Bold"&amp;10Page &amp;P of &amp;N</oddFooter>
      </headerFooter>
    </customSheetView>
    <customSheetView guid="{696D9240-6693-44E8-B9A4-2BFADD101EE2}" showPageBreaks="1" printArea="1" hiddenRows="1" hiddenColumns="1" view="pageBreakPreview">
      <selection activeCell="F18" sqref="F18"/>
      <colBreaks count="1" manualBreakCount="1">
        <brk id="8" max="1048575" man="1"/>
      </colBreaks>
      <pageMargins left="0.511811023622047" right="0.26" top="0.48" bottom="0.54" header="0.25" footer="0.27"/>
      <printOptions horizontalCentered="1"/>
      <pageSetup paperSize="9" scale="90" orientation="portrait" horizontalDpi="300" verticalDpi="300" r:id="rId6"/>
      <headerFooter alignWithMargins="0">
        <oddFooter>&amp;R&amp;"Book Antiqua,Bold"&amp;10Schedule-1/ Page &amp;P of &amp;N</oddFooter>
      </headerFooter>
    </customSheetView>
    <customSheetView guid="{B0EE7D76-5806-4718-BDAD-3A3EA691E5E4}" showPageBreaks="1" printArea="1" hiddenRows="1" hiddenColumns="1" view="pageBreakPreview" topLeftCell="A10">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E95B21C1-D936-4435-AF6F-90CF0B6A7506}" hiddenRows="1" hiddenColumns="1" topLeftCell="A18">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8"/>
      <headerFooter alignWithMargins="0">
        <oddFooter>&amp;R&amp;"Book Antiqua,Bold"&amp;10Schedule-1/ Page &amp;P of &amp;N</oddFooter>
      </headerFooter>
    </customSheetView>
    <customSheetView guid="{08A645C4-A23F-4400-B0CE-1685BC312A6F}" printArea="1" hiddenRows="1" hiddenColumns="1" topLeftCell="A26">
      <selection activeCell="F19" sqref="F19"/>
      <colBreaks count="1" manualBreakCount="1">
        <brk id="8" max="1048575" man="1"/>
      </colBreaks>
      <pageMargins left="0.511811023622047" right="0.26" top="0.48" bottom="0.54" header="0.25" footer="0.27"/>
      <printOptions horizontalCentered="1"/>
      <pageSetup paperSize="9" scale="88" orientation="portrait" horizontalDpi="300" verticalDpi="300" r:id="rId9"/>
      <headerFooter alignWithMargins="0">
        <oddFooter>&amp;R&amp;"Book Antiqua,Bold"&amp;10Schedule-1/ Page &amp;P of &amp;N</oddFooter>
      </headerFooter>
    </customSheetView>
  </customSheetViews>
  <mergeCells count="17">
    <mergeCell ref="G11:J11"/>
    <mergeCell ref="C8:F8"/>
    <mergeCell ref="C9:F9"/>
    <mergeCell ref="C10:F10"/>
    <mergeCell ref="C11:F11"/>
    <mergeCell ref="G8:J8"/>
    <mergeCell ref="A3:N3"/>
    <mergeCell ref="A4:N4"/>
    <mergeCell ref="G9:J9"/>
    <mergeCell ref="G10:J10"/>
    <mergeCell ref="A18:M18"/>
    <mergeCell ref="A55:M55"/>
    <mergeCell ref="C91:K91"/>
    <mergeCell ref="G97:N97"/>
    <mergeCell ref="M102:N102"/>
    <mergeCell ref="A99:M99"/>
    <mergeCell ref="C95:K95"/>
  </mergeCells>
  <phoneticPr fontId="3" type="noConversion"/>
  <dataValidations xWindow="482" yWindow="355" count="3">
    <dataValidation type="list" allowBlank="1" showInputMessage="1" showErrorMessage="1" sqref="J92:J93 J19:J54 J56:J90" xr:uid="{00000000-0002-0000-0400-000000000000}">
      <formula1>"Confirmed, 0,5,12,18,28"</formula1>
    </dataValidation>
    <dataValidation operator="greaterThan" allowBlank="1" showInputMessage="1" showErrorMessage="1" sqref="K92:K93 L91:L93 K19:L54 K56:L90" xr:uid="{00000000-0002-0000-0400-000001000000}"/>
    <dataValidation type="list" allowBlank="1" showInputMessage="1" showErrorMessage="1" sqref="N18:N94" xr:uid="{00000000-0002-0000-0400-000002000000}">
      <formula1>"Direct,Bought Out"</formula1>
    </dataValidation>
  </dataValidations>
  <printOptions horizontalCentered="1"/>
  <pageMargins left="0.51181102362204722" right="0.27559055118110237" top="0.39370078740157483" bottom="0.43307086614173229" header="0.23622047244094491" footer="0.27559055118110237"/>
  <pageSetup paperSize="9" scale="55" orientation="landscape" horizontalDpi="300" verticalDpi="300" r:id="rId10"/>
  <headerFooter alignWithMargins="0">
    <oddFooter>&amp;R&amp;"Book Antiqua,Bold"&amp;10Schedule-1/ Page &amp;P of &amp;N</oddFooter>
  </headerFooter>
  <colBreaks count="1" manualBreakCount="1">
    <brk id="14" max="1048575" man="1"/>
  </colBreaks>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tabColor theme="1"/>
  </sheetPr>
  <dimension ref="A1:X32"/>
  <sheetViews>
    <sheetView topLeftCell="A16" zoomScaleNormal="100" zoomScaleSheetLayoutView="100" workbookViewId="0">
      <selection activeCell="K13" sqref="K1:K65536"/>
    </sheetView>
  </sheetViews>
  <sheetFormatPr defaultRowHeight="16.5"/>
  <cols>
    <col min="1" max="1" width="10.625" style="84" customWidth="1"/>
    <col min="2" max="2" width="31.75" style="223" customWidth="1"/>
    <col min="3" max="3" width="11.75" style="223" customWidth="1"/>
    <col min="4" max="4" width="6.625" style="84" customWidth="1"/>
    <col min="5" max="5" width="8.125" style="84" customWidth="1"/>
    <col min="6" max="6" width="11.375" style="28" customWidth="1"/>
    <col min="7" max="7" width="16.875" style="28" customWidth="1"/>
    <col min="8" max="8" width="11.125" style="28" customWidth="1"/>
    <col min="9" max="9" width="9" style="208"/>
    <col min="10" max="10" width="9.875" style="76" customWidth="1"/>
    <col min="11" max="11" width="6.375" style="76" hidden="1" customWidth="1"/>
    <col min="12" max="16384" width="9" style="76"/>
  </cols>
  <sheetData>
    <row r="1" spans="1:9" ht="18" customHeight="1">
      <c r="A1" s="77" t="str">
        <f>Cover!B3</f>
        <v>Specification No.: ODP/BB/C&amp;M-4155/OT-02/RFx No. 5002004411/25-26</v>
      </c>
      <c r="B1" s="222"/>
      <c r="C1" s="222"/>
      <c r="D1" s="77"/>
      <c r="E1" s="77"/>
      <c r="F1" s="80"/>
      <c r="G1" s="80"/>
      <c r="H1" s="81" t="s">
        <v>242</v>
      </c>
    </row>
    <row r="2" spans="1:9" ht="18" customHeight="1">
      <c r="A2" s="63"/>
      <c r="B2" s="63"/>
      <c r="C2" s="63"/>
      <c r="D2" s="63"/>
      <c r="E2" s="63"/>
    </row>
    <row r="3" spans="1:9" ht="64.5" customHeight="1">
      <c r="A3" s="735" t="str">
        <f>Cover!$B$2</f>
        <v xml:space="preserve">Diversion of 220kV Budhipadar-Korba S/C line #3 &amp; 765kV Angul-Sundargarh S/C line # 1 due to NH 49 Jharsuguda bypass Road diversion work (Deposit work On Behalf of NHAI).
</v>
      </c>
      <c r="B3" s="735"/>
      <c r="C3" s="735"/>
      <c r="D3" s="735"/>
      <c r="E3" s="735"/>
      <c r="F3" s="735"/>
      <c r="G3" s="735"/>
      <c r="H3" s="735"/>
    </row>
    <row r="4" spans="1:9" ht="21.95" customHeight="1">
      <c r="A4" s="711" t="s">
        <v>245</v>
      </c>
      <c r="B4" s="711"/>
      <c r="C4" s="711"/>
      <c r="D4" s="711"/>
      <c r="E4" s="711"/>
      <c r="F4" s="711"/>
      <c r="G4" s="711"/>
      <c r="H4" s="711"/>
    </row>
    <row r="5" spans="1:9" ht="18" customHeight="1">
      <c r="B5" s="84"/>
      <c r="C5" s="84"/>
    </row>
    <row r="6" spans="1:9" ht="18" customHeight="1">
      <c r="A6" s="25" t="s">
        <v>164</v>
      </c>
      <c r="B6" s="26"/>
      <c r="C6" s="26"/>
      <c r="D6" s="25"/>
      <c r="E6" s="25"/>
      <c r="F6" s="60" t="s">
        <v>216</v>
      </c>
      <c r="H6" s="26"/>
    </row>
    <row r="7" spans="1:9" ht="18" customHeight="1">
      <c r="A7" s="25" t="e">
        <f>"Bidder as " &amp;#REF!</f>
        <v>#REF!</v>
      </c>
      <c r="F7" s="59" t="s">
        <v>218</v>
      </c>
      <c r="H7" s="26"/>
    </row>
    <row r="8" spans="1:9" ht="18" customHeight="1">
      <c r="A8" s="25" t="s">
        <v>217</v>
      </c>
      <c r="B8" s="734" t="e">
        <f>#REF!</f>
        <v>#REF!</v>
      </c>
      <c r="C8" s="734"/>
      <c r="D8" s="734"/>
      <c r="E8" s="734"/>
      <c r="F8" s="59" t="s">
        <v>220</v>
      </c>
      <c r="H8" s="26"/>
    </row>
    <row r="9" spans="1:9" ht="18" customHeight="1">
      <c r="A9" s="25" t="s">
        <v>219</v>
      </c>
      <c r="B9" s="734" t="e">
        <f>#REF!</f>
        <v>#REF!</v>
      </c>
      <c r="C9" s="734"/>
      <c r="D9" s="734"/>
      <c r="E9" s="734"/>
      <c r="F9" s="59" t="s">
        <v>221</v>
      </c>
      <c r="H9" s="26"/>
    </row>
    <row r="10" spans="1:9" ht="18" customHeight="1">
      <c r="A10" s="26"/>
      <c r="B10" s="734" t="e">
        <f>#REF!</f>
        <v>#REF!</v>
      </c>
      <c r="C10" s="734"/>
      <c r="D10" s="734"/>
      <c r="E10" s="734"/>
      <c r="F10" s="59" t="s">
        <v>222</v>
      </c>
      <c r="H10" s="26"/>
    </row>
    <row r="11" spans="1:9" ht="18" customHeight="1">
      <c r="A11" s="26"/>
      <c r="B11" s="734" t="e">
        <f>#REF!</f>
        <v>#REF!</v>
      </c>
      <c r="C11" s="734"/>
      <c r="D11" s="734"/>
      <c r="E11" s="734"/>
      <c r="F11" s="59" t="s">
        <v>223</v>
      </c>
      <c r="H11" s="26"/>
    </row>
    <row r="12" spans="1:9" ht="18" customHeight="1">
      <c r="A12" s="26"/>
      <c r="B12" s="27"/>
      <c r="C12" s="27"/>
      <c r="D12" s="27"/>
      <c r="E12" s="27"/>
      <c r="F12" s="59"/>
      <c r="H12" s="26"/>
    </row>
    <row r="13" spans="1:9" ht="18" customHeight="1">
      <c r="A13" s="26"/>
      <c r="B13" s="26"/>
      <c r="C13" s="26"/>
      <c r="D13" s="26"/>
      <c r="E13" s="26"/>
      <c r="F13" s="25"/>
    </row>
    <row r="14" spans="1:9" ht="40.5" customHeight="1">
      <c r="A14" s="729" t="s">
        <v>199</v>
      </c>
      <c r="B14" s="729"/>
      <c r="C14" s="729"/>
      <c r="D14" s="729"/>
      <c r="E14" s="729"/>
      <c r="F14" s="729"/>
      <c r="G14" s="729"/>
      <c r="H14" s="729"/>
      <c r="I14" s="224"/>
    </row>
    <row r="15" spans="1:9" ht="18" customHeight="1">
      <c r="B15" s="84"/>
      <c r="C15" s="84"/>
      <c r="F15" s="80"/>
      <c r="G15" s="80"/>
      <c r="H15" s="81" t="s">
        <v>190</v>
      </c>
    </row>
    <row r="16" spans="1:9" ht="62.25" customHeight="1">
      <c r="A16" s="98" t="s">
        <v>191</v>
      </c>
      <c r="B16" s="98" t="s">
        <v>215</v>
      </c>
      <c r="C16" s="98" t="s">
        <v>165</v>
      </c>
      <c r="D16" s="207" t="s">
        <v>189</v>
      </c>
      <c r="E16" s="207" t="s">
        <v>192</v>
      </c>
      <c r="F16" s="98" t="s">
        <v>193</v>
      </c>
      <c r="G16" s="98" t="s">
        <v>194</v>
      </c>
      <c r="H16" s="98" t="s">
        <v>224</v>
      </c>
    </row>
    <row r="17" spans="1:24" ht="18" customHeight="1">
      <c r="A17" s="207">
        <v>1</v>
      </c>
      <c r="B17" s="207">
        <v>2</v>
      </c>
      <c r="C17" s="207">
        <v>3</v>
      </c>
      <c r="D17" s="207">
        <v>4</v>
      </c>
      <c r="E17" s="207">
        <v>5</v>
      </c>
      <c r="F17" s="207">
        <v>6</v>
      </c>
      <c r="G17" s="207" t="s">
        <v>166</v>
      </c>
      <c r="H17" s="207">
        <v>8</v>
      </c>
    </row>
    <row r="18" spans="1:24" s="94" customFormat="1" ht="50.1" customHeight="1">
      <c r="A18" s="225" t="e">
        <f>'Sch-1'!#REF!</f>
        <v>#REF!</v>
      </c>
      <c r="B18" s="225" t="e">
        <f>'Sch-1'!#REF!</f>
        <v>#REF!</v>
      </c>
      <c r="C18" s="312" t="e">
        <f>'Sch-1'!#REF!</f>
        <v>#REF!</v>
      </c>
      <c r="D18" s="280" t="e">
        <f>'Sch-1'!#REF!</f>
        <v>#REF!</v>
      </c>
      <c r="E18" s="295" t="e">
        <f>'Sch-1'!#REF!</f>
        <v>#REF!</v>
      </c>
      <c r="F18" s="307" t="e">
        <f>'Sch-1'!#REF!</f>
        <v>#REF!</v>
      </c>
      <c r="G18" s="227" t="e">
        <f>IF(F18=0, "Included", IF(ISERROR(E18*F18), F18, E18*F18))</f>
        <v>#REF!</v>
      </c>
      <c r="H18" s="226" t="e">
        <f>'Sch-1'!#REF!</f>
        <v>#REF!</v>
      </c>
      <c r="I18" s="28"/>
      <c r="K18" s="94" t="e">
        <f>'Sch-1'!#REF!</f>
        <v>#REF!</v>
      </c>
    </row>
    <row r="19" spans="1:24" ht="26.1" customHeight="1">
      <c r="A19" s="228"/>
      <c r="B19" s="730" t="s">
        <v>248</v>
      </c>
      <c r="C19" s="730"/>
      <c r="D19" s="730"/>
      <c r="E19" s="730"/>
      <c r="F19" s="226"/>
      <c r="G19" s="229">
        <f>SUMIF(K18:K18,"Direct",G18:G18)</f>
        <v>0</v>
      </c>
      <c r="H19" s="284" t="s">
        <v>249</v>
      </c>
      <c r="I19" s="28"/>
    </row>
    <row r="20" spans="1:24" ht="26.1" customHeight="1">
      <c r="A20" s="228"/>
      <c r="B20" s="730" t="s">
        <v>248</v>
      </c>
      <c r="C20" s="730"/>
      <c r="D20" s="730"/>
      <c r="E20" s="730"/>
      <c r="F20" s="226"/>
      <c r="G20" s="229">
        <f>SUMIF(K18:K18,"Bought Out",G18:G18)</f>
        <v>0</v>
      </c>
      <c r="H20" s="284" t="s">
        <v>312</v>
      </c>
      <c r="I20" s="28"/>
    </row>
    <row r="21" spans="1:24" ht="26.1" customHeight="1">
      <c r="A21" s="228"/>
      <c r="B21" s="730" t="s">
        <v>248</v>
      </c>
      <c r="C21" s="730"/>
      <c r="D21" s="730"/>
      <c r="E21" s="730"/>
      <c r="F21" s="226"/>
      <c r="G21" s="229">
        <f>G19+G20</f>
        <v>0</v>
      </c>
      <c r="H21" s="230"/>
      <c r="I21" s="28"/>
    </row>
    <row r="22" spans="1:24" ht="26.1" customHeight="1">
      <c r="A22" s="231"/>
      <c r="B22" s="731" t="s">
        <v>311</v>
      </c>
      <c r="C22" s="731"/>
      <c r="D22" s="731"/>
      <c r="E22" s="731"/>
      <c r="F22" s="226"/>
      <c r="G22" s="229" t="e">
        <f>'Sch-6 Dis'!F21</f>
        <v>#REF!</v>
      </c>
      <c r="H22" s="230"/>
      <c r="I22" s="28"/>
    </row>
    <row r="23" spans="1:24" ht="26.1" customHeight="1">
      <c r="A23" s="231"/>
      <c r="B23" s="732" t="s">
        <v>247</v>
      </c>
      <c r="C23" s="732"/>
      <c r="D23" s="732"/>
      <c r="E23" s="732"/>
      <c r="F23" s="226"/>
      <c r="G23" s="229" t="e">
        <f>G21+G22</f>
        <v>#REF!</v>
      </c>
      <c r="H23" s="230"/>
      <c r="I23" s="28"/>
    </row>
    <row r="24" spans="1:24" ht="16.5" customHeight="1">
      <c r="A24" s="232"/>
      <c r="B24" s="233"/>
      <c r="C24" s="233"/>
      <c r="D24" s="233"/>
      <c r="E24" s="233"/>
      <c r="F24" s="234"/>
      <c r="G24" s="235"/>
      <c r="H24" s="236"/>
    </row>
    <row r="25" spans="1:24" ht="16.5" customHeight="1">
      <c r="B25" s="733"/>
      <c r="C25" s="733"/>
      <c r="D25" s="733"/>
      <c r="E25" s="733"/>
      <c r="F25" s="733"/>
      <c r="G25" s="733"/>
      <c r="H25" s="733"/>
    </row>
    <row r="26" spans="1:24" ht="16.5" customHeight="1">
      <c r="A26" s="237"/>
      <c r="B26" s="733"/>
      <c r="C26" s="733"/>
      <c r="D26" s="733"/>
      <c r="E26" s="733"/>
      <c r="F26" s="733"/>
      <c r="G26" s="733"/>
      <c r="H26" s="733"/>
    </row>
    <row r="27" spans="1:24" ht="117.75" customHeight="1">
      <c r="A27" s="238" t="s">
        <v>232</v>
      </c>
      <c r="B27" s="729" t="s">
        <v>172</v>
      </c>
      <c r="C27" s="729"/>
      <c r="D27" s="729"/>
      <c r="E27" s="729"/>
      <c r="F27" s="729"/>
      <c r="G27" s="729"/>
      <c r="H27" s="729"/>
    </row>
    <row r="28" spans="1:24" ht="33.6" customHeight="1">
      <c r="A28" s="143"/>
      <c r="B28" s="239"/>
      <c r="C28" s="239"/>
      <c r="D28" s="217"/>
      <c r="E28" s="217"/>
    </row>
    <row r="29" spans="1:24" ht="33.6" customHeight="1">
      <c r="A29" s="87" t="s">
        <v>226</v>
      </c>
      <c r="B29" s="120" t="e">
        <f>#REF!</f>
        <v>#REF!</v>
      </c>
      <c r="C29" s="120"/>
      <c r="D29" s="88"/>
      <c r="F29" s="89" t="s">
        <v>228</v>
      </c>
      <c r="G29" s="727"/>
      <c r="H29" s="727"/>
    </row>
    <row r="30" spans="1:24" s="208" customFormat="1" ht="33.6" customHeight="1">
      <c r="A30" s="87" t="s">
        <v>227</v>
      </c>
      <c r="B30" s="120" t="e">
        <f>#REF!</f>
        <v>#REF!</v>
      </c>
      <c r="C30" s="120"/>
      <c r="D30" s="28"/>
      <c r="E30" s="84"/>
      <c r="F30" s="89" t="s">
        <v>229</v>
      </c>
      <c r="G30" s="728" t="e">
        <f>#REF!</f>
        <v>#REF!</v>
      </c>
      <c r="H30" s="728"/>
      <c r="J30" s="76"/>
      <c r="K30" s="76"/>
      <c r="L30" s="76"/>
      <c r="M30" s="76"/>
      <c r="N30" s="76"/>
      <c r="O30" s="76"/>
      <c r="P30" s="76"/>
      <c r="Q30" s="76"/>
      <c r="R30" s="76"/>
      <c r="S30" s="76"/>
      <c r="T30" s="76"/>
      <c r="U30" s="76"/>
      <c r="V30" s="76"/>
      <c r="W30" s="76"/>
      <c r="X30" s="76"/>
    </row>
    <row r="31" spans="1:24" s="208" customFormat="1" ht="33.6" customHeight="1">
      <c r="A31" s="84"/>
      <c r="B31" s="240"/>
      <c r="C31" s="240"/>
      <c r="D31" s="28"/>
      <c r="E31" s="84"/>
      <c r="F31" s="89" t="s">
        <v>230</v>
      </c>
      <c r="G31" s="728" t="e">
        <f>#REF!</f>
        <v>#REF!</v>
      </c>
      <c r="H31" s="728"/>
      <c r="J31" s="76"/>
      <c r="K31" s="76"/>
      <c r="L31" s="76"/>
      <c r="M31" s="76"/>
      <c r="N31" s="76"/>
      <c r="O31" s="76"/>
      <c r="P31" s="76"/>
      <c r="Q31" s="76"/>
      <c r="R31" s="76"/>
      <c r="S31" s="76"/>
      <c r="T31" s="76"/>
      <c r="U31" s="76"/>
      <c r="V31" s="76"/>
      <c r="W31" s="76"/>
      <c r="X31" s="76"/>
    </row>
    <row r="32" spans="1:24" s="208" customFormat="1" ht="33.6" customHeight="1">
      <c r="A32" s="84"/>
      <c r="B32" s="240"/>
      <c r="C32" s="240"/>
      <c r="D32" s="28"/>
      <c r="E32" s="84"/>
      <c r="F32" s="89" t="s">
        <v>231</v>
      </c>
      <c r="G32" s="727"/>
      <c r="H32" s="727"/>
      <c r="J32" s="76"/>
      <c r="K32" s="76"/>
      <c r="L32" s="76"/>
      <c r="M32" s="76"/>
      <c r="N32" s="76"/>
      <c r="O32" s="76"/>
      <c r="P32" s="76"/>
      <c r="Q32" s="76"/>
      <c r="R32" s="76"/>
      <c r="S32" s="76"/>
      <c r="T32" s="76"/>
      <c r="U32" s="76"/>
      <c r="V32" s="76"/>
      <c r="W32" s="76"/>
      <c r="X32" s="76"/>
    </row>
  </sheetData>
  <sheetProtection password="E848" sheet="1" objects="1" scenarios="1" selectLockedCells="1" selectUnlockedCells="1"/>
  <customSheetViews>
    <customSheetView guid="{9CA44E70-650F-49CD-967F-298619682CA2}"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1"/>
      <headerFooter alignWithMargins="0">
        <oddFooter>&amp;R&amp;"Book Antiqua,Bold"&amp;10Schedule-1/ Page &amp;P of &amp;N</oddFooter>
      </headerFooter>
    </customSheetView>
    <customSheetView guid="{C39F923C-6CD3-45D8-86F8-6C4D806DDD7E}"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2"/>
      <headerFooter alignWithMargins="0">
        <oddFooter>&amp;R&amp;"Book Antiqua,Bold"&amp;10Schedule-1/ Page &amp;P of &amp;N</oddFooter>
      </headerFooter>
    </customSheetView>
    <customSheetView guid="{B1277D53-29D6-4226-81E2-084FB62977B6}"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3"/>
      <headerFooter alignWithMargins="0">
        <oddFooter>&amp;R&amp;"Book Antiqua,Bold"&amp;10Schedule-1/ Page &amp;P of &amp;N</oddFooter>
      </headerFooter>
    </customSheetView>
    <customSheetView guid="{58D82F59-8CF6-455F-B9F4-081499FDF243}"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4"/>
      <headerFooter alignWithMargins="0">
        <oddFooter>&amp;R&amp;"Book Antiqua,Bold"&amp;10Schedule-1/ Page &amp;P of &amp;N</oddFooter>
      </headerFooter>
    </customSheetView>
    <customSheetView guid="{696D9240-6693-44E8-B9A4-2BFADD101EE2}"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5"/>
      <headerFooter alignWithMargins="0">
        <oddFooter>&amp;R&amp;"Book Antiqua,Bold"&amp;10Schedule-1/ Page &amp;P of &amp;N</oddFooter>
      </headerFooter>
    </customSheetView>
    <customSheetView guid="{B0EE7D76-5806-4718-BDAD-3A3EA691E5E4}"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6"/>
      <headerFooter alignWithMargins="0">
        <oddFooter>&amp;R&amp;"Book Antiqua,Bold"&amp;10Schedule-1/ Page &amp;P of &amp;N</oddFooter>
      </headerFooter>
    </customSheetView>
    <customSheetView guid="{E95B21C1-D936-4435-AF6F-90CF0B6A7506}" hiddenColumns="1" state="hidden">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7"/>
      <headerFooter alignWithMargins="0">
        <oddFooter>&amp;R&amp;"Book Antiqua,Bold"&amp;10Schedule-1/ Page &amp;P of &amp;N</oddFooter>
      </headerFooter>
    </customSheetView>
    <customSheetView guid="{08A645C4-A23F-4400-B0CE-1685BC312A6F}" hiddenColumns="1" state="hidden" topLeftCell="A13">
      <selection activeCell="K13" sqref="K1:K65536"/>
      <colBreaks count="1" manualBreakCount="1">
        <brk id="8" max="1048575" man="1"/>
      </colBreaks>
      <pageMargins left="0.511811023622047" right="0.26" top="0.48" bottom="0.54" header="0.25" footer="0.27"/>
      <printOptions horizontalCentered="1"/>
      <pageSetup paperSize="9" orientation="portrait" horizontalDpi="300" verticalDpi="300" r:id="rId8"/>
      <headerFooter alignWithMargins="0">
        <oddFooter>&amp;R&amp;"Book Antiqua,Bold"&amp;10Schedule-1/ Page &amp;P of &amp;N</oddFooter>
      </headerFooter>
    </customSheetView>
  </customSheetViews>
  <mergeCells count="18">
    <mergeCell ref="B10:E10"/>
    <mergeCell ref="B11:E11"/>
    <mergeCell ref="A3:H3"/>
    <mergeCell ref="A4:H4"/>
    <mergeCell ref="B8:E8"/>
    <mergeCell ref="B9:E9"/>
    <mergeCell ref="G29:H29"/>
    <mergeCell ref="G30:H30"/>
    <mergeCell ref="G31:H31"/>
    <mergeCell ref="G32:H32"/>
    <mergeCell ref="A14:H14"/>
    <mergeCell ref="B19:E19"/>
    <mergeCell ref="B20:E20"/>
    <mergeCell ref="B21:E21"/>
    <mergeCell ref="B22:E22"/>
    <mergeCell ref="B23:E23"/>
    <mergeCell ref="B25:H26"/>
    <mergeCell ref="B27:H27"/>
  </mergeCells>
  <phoneticPr fontId="30" type="noConversion"/>
  <dataValidations disablePrompts="1" count="2">
    <dataValidation type="date" allowBlank="1" showInputMessage="1" showErrorMessage="1" error="Enter date in &quot;dd-mmm-yy&quot; format. Example 03-oct-10." sqref="B30:C30" xr:uid="{00000000-0002-0000-0500-000000000000}">
      <formula1>#REF!</formula1>
      <formula2>#REF!</formula2>
    </dataValidation>
    <dataValidation type="list" allowBlank="1" showInputMessage="1" showErrorMessage="1" sqref="H18" xr:uid="{00000000-0002-0000-0500-000001000000}">
      <formula1>"Direct,Bought Out"</formula1>
    </dataValidation>
  </dataValidations>
  <printOptions horizontalCentered="1"/>
  <pageMargins left="0.511811023622047" right="0.26" top="0.48" bottom="0.54" header="0.25" footer="0.27"/>
  <pageSetup paperSize="9" orientation="portrait" horizontalDpi="300" verticalDpi="300" r:id="rId9"/>
  <headerFooter alignWithMargins="0">
    <oddFooter>&amp;R&amp;"Book Antiqua,Bold"&amp;10Schedule-1/ Page &amp;P of &amp;N</oddFoot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indexed="53"/>
  </sheetPr>
  <dimension ref="A1:AA97"/>
  <sheetViews>
    <sheetView topLeftCell="A20" zoomScale="90" zoomScaleNormal="90" zoomScaleSheetLayoutView="100" workbookViewId="0">
      <selection activeCell="F20" sqref="F20"/>
    </sheetView>
  </sheetViews>
  <sheetFormatPr defaultRowHeight="16.5"/>
  <cols>
    <col min="1" max="1" width="10.625" style="209" customWidth="1"/>
    <col min="2" max="2" width="68.375" style="86" customWidth="1"/>
    <col min="3" max="3" width="67" style="86" hidden="1" customWidth="1"/>
    <col min="4" max="4" width="13.875" style="85" customWidth="1"/>
    <col min="5" max="5" width="14.625" style="85" customWidth="1"/>
    <col min="6" max="6" width="20.5" style="85" customWidth="1"/>
    <col min="7" max="7" width="26.5" style="85" customWidth="1"/>
    <col min="8" max="8" width="6.75" style="28" customWidth="1"/>
    <col min="9" max="9" width="1.875" style="76" hidden="1" customWidth="1"/>
    <col min="10" max="10" width="9" style="76" hidden="1" customWidth="1"/>
    <col min="11" max="11" width="9" style="76"/>
    <col min="12" max="12" width="9" style="190"/>
    <col min="13" max="14" width="17.625" style="190" customWidth="1"/>
    <col min="15" max="27" width="9" style="190"/>
    <col min="28" max="16384" width="9" style="76"/>
  </cols>
  <sheetData>
    <row r="1" spans="1:14" ht="18" customHeight="1">
      <c r="A1" s="77" t="str">
        <f>Cover!B3</f>
        <v>Specification No.: ODP/BB/C&amp;M-4155/OT-02/RFx No. 5002004411/25-26</v>
      </c>
      <c r="B1" s="78"/>
      <c r="C1" s="78"/>
      <c r="D1" s="79"/>
      <c r="E1" s="79"/>
      <c r="F1" s="80"/>
      <c r="G1" s="81" t="s">
        <v>251</v>
      </c>
    </row>
    <row r="2" spans="1:14" ht="18" customHeight="1">
      <c r="A2" s="63"/>
      <c r="B2" s="83"/>
      <c r="C2" s="83"/>
      <c r="D2" s="84"/>
      <c r="E2" s="84"/>
      <c r="F2" s="28"/>
      <c r="G2" s="28"/>
    </row>
    <row r="3" spans="1:14" ht="57.75" customHeight="1">
      <c r="A3" s="735" t="str">
        <f>Cover!$B$2</f>
        <v xml:space="preserve">Diversion of 220kV Budhipadar-Korba S/C line #3 &amp; 765kV Angul-Sundargarh S/C line # 1 due to NH 49 Jharsuguda bypass Road diversion work (Deposit work On Behalf of NHAI).
</v>
      </c>
      <c r="B3" s="735"/>
      <c r="C3" s="735"/>
      <c r="D3" s="735"/>
      <c r="E3" s="735"/>
      <c r="F3" s="735"/>
      <c r="G3" s="735"/>
      <c r="L3" s="202"/>
      <c r="N3" s="203"/>
    </row>
    <row r="4" spans="1:14" ht="21.95" customHeight="1">
      <c r="A4" s="711" t="s">
        <v>462</v>
      </c>
      <c r="B4" s="711"/>
      <c r="C4" s="711"/>
      <c r="D4" s="711"/>
      <c r="E4" s="711"/>
      <c r="F4" s="711"/>
      <c r="G4" s="711"/>
      <c r="H4" s="241"/>
      <c r="L4" s="202"/>
      <c r="N4" s="203"/>
    </row>
    <row r="5" spans="1:14" ht="18" customHeight="1">
      <c r="A5" s="242"/>
      <c r="B5" s="205"/>
      <c r="C5" s="205"/>
      <c r="D5" s="204"/>
      <c r="E5" s="204"/>
      <c r="F5" s="204"/>
      <c r="G5" s="243"/>
      <c r="L5" s="202"/>
      <c r="N5" s="203"/>
    </row>
    <row r="6" spans="1:14" ht="18" customHeight="1">
      <c r="A6" s="25" t="str">
        <f>'Sch-1'!A6</f>
        <v>Bidder’s Name and Address</v>
      </c>
      <c r="B6" s="26"/>
      <c r="C6" s="26"/>
      <c r="D6" s="26"/>
      <c r="E6" s="26"/>
      <c r="F6" s="28" t="s">
        <v>216</v>
      </c>
      <c r="G6" s="28"/>
      <c r="H6" s="26"/>
      <c r="L6" s="202"/>
      <c r="N6" s="203"/>
    </row>
    <row r="7" spans="1:14" ht="18" customHeight="1">
      <c r="A7" s="206" t="str">
        <f>'Sch-1'!A7</f>
        <v xml:space="preserve">Bidder as </v>
      </c>
      <c r="F7" s="531" t="s">
        <v>515</v>
      </c>
      <c r="G7" s="460"/>
      <c r="H7" s="462"/>
      <c r="L7" s="202"/>
      <c r="N7" s="203"/>
    </row>
    <row r="8" spans="1:14">
      <c r="A8" s="25" t="s">
        <v>217</v>
      </c>
      <c r="B8" s="736" t="str">
        <f>IF('Sch-1'!C8=0, "", 'Sch-1'!C8)</f>
        <v/>
      </c>
      <c r="C8" s="736"/>
      <c r="D8" s="736"/>
      <c r="E8" s="736"/>
      <c r="F8" s="461" t="s">
        <v>407</v>
      </c>
      <c r="G8" s="460"/>
      <c r="H8" s="462"/>
      <c r="L8" s="202"/>
      <c r="N8" s="203"/>
    </row>
    <row r="9" spans="1:14">
      <c r="A9" s="25" t="s">
        <v>219</v>
      </c>
      <c r="B9" s="736" t="str">
        <f>IF('Sch-1'!C9=0, "", 'Sch-1'!C9)</f>
        <v/>
      </c>
      <c r="C9" s="736"/>
      <c r="D9" s="736"/>
      <c r="E9" s="736"/>
      <c r="F9" s="461" t="s">
        <v>451</v>
      </c>
      <c r="G9" s="460"/>
      <c r="H9" s="462"/>
      <c r="L9" s="202"/>
      <c r="N9" s="203"/>
    </row>
    <row r="10" spans="1:14">
      <c r="A10" s="26"/>
      <c r="B10" s="736" t="str">
        <f>IF('Sch-1'!C10=0, "", 'Sch-1'!C10)</f>
        <v/>
      </c>
      <c r="C10" s="736"/>
      <c r="D10" s="736"/>
      <c r="E10" s="736"/>
      <c r="F10" s="461" t="s">
        <v>452</v>
      </c>
      <c r="G10" s="460"/>
      <c r="H10" s="462"/>
    </row>
    <row r="11" spans="1:14">
      <c r="A11" s="26"/>
      <c r="B11" s="736" t="str">
        <f>IF('Sch-1'!C11=0, "", 'Sch-1'!C11)</f>
        <v/>
      </c>
      <c r="C11" s="736"/>
      <c r="D11" s="736"/>
      <c r="E11" s="736"/>
      <c r="F11" s="461" t="s">
        <v>453</v>
      </c>
      <c r="G11" s="460"/>
      <c r="H11" s="462"/>
    </row>
    <row r="12" spans="1:14" ht="18" customHeight="1">
      <c r="A12" s="26"/>
      <c r="B12" s="736" t="str">
        <f>IF('Sch-1'!C12=0, "", 'Sch-1'!C12)</f>
        <v/>
      </c>
      <c r="C12" s="736"/>
      <c r="D12" s="736"/>
      <c r="E12" s="736"/>
      <c r="F12" s="64"/>
      <c r="G12" s="28"/>
      <c r="H12" s="26"/>
    </row>
    <row r="13" spans="1:14" ht="18" customHeight="1">
      <c r="A13" s="26"/>
      <c r="B13" s="25"/>
      <c r="C13" s="25"/>
      <c r="D13" s="25"/>
      <c r="E13" s="25"/>
      <c r="F13" s="25"/>
      <c r="G13" s="81" t="s">
        <v>463</v>
      </c>
    </row>
    <row r="14" spans="1:14" ht="88.5" customHeight="1">
      <c r="A14" s="98" t="s">
        <v>191</v>
      </c>
      <c r="B14" s="98" t="s">
        <v>215</v>
      </c>
      <c r="C14" s="98" t="s">
        <v>165</v>
      </c>
      <c r="D14" s="207" t="s">
        <v>189</v>
      </c>
      <c r="E14" s="207" t="s">
        <v>192</v>
      </c>
      <c r="F14" s="98" t="s">
        <v>465</v>
      </c>
      <c r="G14" s="98" t="s">
        <v>466</v>
      </c>
      <c r="H14" s="183"/>
      <c r="M14" s="185"/>
      <c r="N14" s="185"/>
    </row>
    <row r="15" spans="1:14" ht="18" customHeight="1">
      <c r="A15" s="207">
        <v>1</v>
      </c>
      <c r="B15" s="207">
        <v>2</v>
      </c>
      <c r="C15" s="207">
        <v>3</v>
      </c>
      <c r="D15" s="207">
        <v>3</v>
      </c>
      <c r="E15" s="207">
        <v>4</v>
      </c>
      <c r="F15" s="207">
        <v>5</v>
      </c>
      <c r="G15" s="207" t="s">
        <v>225</v>
      </c>
      <c r="H15" s="143"/>
      <c r="I15" s="76" t="e">
        <f>Discount!O20</f>
        <v>#REF!</v>
      </c>
      <c r="M15" s="184"/>
      <c r="N15" s="184"/>
    </row>
    <row r="16" spans="1:14" ht="18" customHeight="1">
      <c r="A16" s="207"/>
      <c r="B16" s="207"/>
      <c r="C16" s="207"/>
      <c r="D16" s="207"/>
      <c r="E16" s="207"/>
      <c r="F16" s="207"/>
      <c r="G16" s="207"/>
      <c r="H16" s="143"/>
      <c r="M16" s="184"/>
      <c r="N16" s="184"/>
    </row>
    <row r="17" spans="1:14" ht="23.25" customHeight="1">
      <c r="A17" s="737" t="s">
        <v>611</v>
      </c>
      <c r="B17" s="738"/>
      <c r="C17" s="738"/>
      <c r="D17" s="738"/>
      <c r="E17" s="738"/>
      <c r="F17" s="738"/>
      <c r="G17" s="739"/>
      <c r="H17" s="143"/>
      <c r="M17" s="184"/>
      <c r="N17" s="184"/>
    </row>
    <row r="18" spans="1:14" ht="23.25">
      <c r="A18" s="584" t="s">
        <v>579</v>
      </c>
      <c r="B18" s="657" t="s">
        <v>566</v>
      </c>
      <c r="C18" s="463"/>
      <c r="D18" s="482"/>
      <c r="E18" s="482"/>
      <c r="F18" s="482"/>
      <c r="G18" s="469"/>
      <c r="H18" s="635"/>
      <c r="M18" s="184"/>
      <c r="N18" s="184"/>
    </row>
    <row r="19" spans="1:14" ht="105">
      <c r="A19" s="584" t="s">
        <v>555</v>
      </c>
      <c r="B19" s="658" t="s">
        <v>525</v>
      </c>
      <c r="C19" s="463"/>
      <c r="D19" s="482"/>
      <c r="E19" s="482"/>
      <c r="F19" s="482"/>
      <c r="G19" s="469"/>
      <c r="H19" s="635"/>
      <c r="M19" s="184"/>
      <c r="N19" s="184"/>
    </row>
    <row r="20" spans="1:14" ht="23.25">
      <c r="A20" s="584" t="s">
        <v>367</v>
      </c>
      <c r="B20" s="658" t="s">
        <v>526</v>
      </c>
      <c r="C20" s="463"/>
      <c r="D20" s="483" t="s">
        <v>514</v>
      </c>
      <c r="E20" s="483">
        <v>33.378999999999998</v>
      </c>
      <c r="F20" s="649"/>
      <c r="G20" s="650" t="str">
        <f t="shared" ref="G20" si="0">IF(F20=0, "Included", IF(ISERROR(E20*F20), F20,E20* F20))</f>
        <v>Included</v>
      </c>
      <c r="H20" s="635"/>
      <c r="M20" s="184"/>
      <c r="N20" s="184"/>
    </row>
    <row r="21" spans="1:14" ht="23.25">
      <c r="A21" s="584" t="s">
        <v>370</v>
      </c>
      <c r="B21" s="658" t="s">
        <v>527</v>
      </c>
      <c r="C21" s="463"/>
      <c r="D21" s="483" t="s">
        <v>514</v>
      </c>
      <c r="E21" s="483">
        <v>37.551000000000002</v>
      </c>
      <c r="F21" s="649"/>
      <c r="G21" s="650" t="str">
        <f t="shared" ref="G21:G53" si="1">IF(F21=0, "Included", IF(ISERROR(E21*F21), F21,E21* F21))</f>
        <v>Included</v>
      </c>
      <c r="H21" s="635"/>
      <c r="M21" s="184"/>
      <c r="N21" s="184"/>
    </row>
    <row r="22" spans="1:14" ht="63">
      <c r="A22" s="584" t="s">
        <v>557</v>
      </c>
      <c r="B22" s="658" t="s">
        <v>528</v>
      </c>
      <c r="C22" s="463"/>
      <c r="D22" s="482"/>
      <c r="E22" s="482"/>
      <c r="F22" s="482"/>
      <c r="G22" s="469"/>
      <c r="H22" s="635"/>
      <c r="M22" s="184"/>
      <c r="N22" s="184"/>
    </row>
    <row r="23" spans="1:14" ht="23.25">
      <c r="A23" s="584" t="s">
        <v>367</v>
      </c>
      <c r="B23" s="658" t="s">
        <v>526</v>
      </c>
      <c r="C23" s="463"/>
      <c r="D23" s="483" t="s">
        <v>514</v>
      </c>
      <c r="E23" s="483">
        <v>2.3180000000000001</v>
      </c>
      <c r="F23" s="649"/>
      <c r="G23" s="650" t="str">
        <f t="shared" si="1"/>
        <v>Included</v>
      </c>
      <c r="H23" s="635"/>
      <c r="M23" s="184"/>
      <c r="N23" s="184"/>
    </row>
    <row r="24" spans="1:14" ht="23.25">
      <c r="A24" s="584" t="s">
        <v>370</v>
      </c>
      <c r="B24" s="658" t="s">
        <v>527</v>
      </c>
      <c r="C24" s="463"/>
      <c r="D24" s="483" t="s">
        <v>514</v>
      </c>
      <c r="E24" s="483">
        <v>0.99399999999999999</v>
      </c>
      <c r="F24" s="649"/>
      <c r="G24" s="650" t="str">
        <f t="shared" si="1"/>
        <v>Included</v>
      </c>
      <c r="H24" s="635"/>
      <c r="M24" s="184"/>
      <c r="N24" s="184"/>
    </row>
    <row r="25" spans="1:14" ht="42">
      <c r="A25" s="584">
        <v>1.3</v>
      </c>
      <c r="B25" s="658" t="s">
        <v>529</v>
      </c>
      <c r="C25" s="463"/>
      <c r="D25" s="482"/>
      <c r="E25" s="482"/>
      <c r="F25" s="482"/>
      <c r="G25" s="469"/>
      <c r="H25" s="635"/>
      <c r="M25" s="184"/>
      <c r="N25" s="184"/>
    </row>
    <row r="26" spans="1:14" ht="23.25">
      <c r="A26" s="584" t="s">
        <v>367</v>
      </c>
      <c r="B26" s="658" t="s">
        <v>530</v>
      </c>
      <c r="C26" s="463"/>
      <c r="D26" s="483" t="s">
        <v>514</v>
      </c>
      <c r="E26" s="483">
        <v>2.6579999999999999</v>
      </c>
      <c r="F26" s="649"/>
      <c r="G26" s="650" t="str">
        <f t="shared" si="1"/>
        <v>Included</v>
      </c>
      <c r="H26" s="635"/>
      <c r="M26" s="184"/>
      <c r="N26" s="184"/>
    </row>
    <row r="27" spans="1:14" ht="23.25">
      <c r="A27" s="584" t="s">
        <v>370</v>
      </c>
      <c r="B27" s="658" t="s">
        <v>531</v>
      </c>
      <c r="C27" s="463"/>
      <c r="D27" s="483" t="s">
        <v>514</v>
      </c>
      <c r="E27" s="483">
        <v>8.1000000000000003E-2</v>
      </c>
      <c r="F27" s="649"/>
      <c r="G27" s="650" t="str">
        <f t="shared" si="1"/>
        <v>Included</v>
      </c>
      <c r="H27" s="635"/>
      <c r="M27" s="184"/>
      <c r="N27" s="184"/>
    </row>
    <row r="28" spans="1:14" ht="23.25">
      <c r="A28" s="584">
        <v>2</v>
      </c>
      <c r="B28" s="657" t="s">
        <v>532</v>
      </c>
      <c r="C28" s="463"/>
      <c r="D28" s="482"/>
      <c r="E28" s="482"/>
      <c r="F28" s="482"/>
      <c r="G28" s="469"/>
      <c r="H28" s="635"/>
      <c r="M28" s="184"/>
      <c r="N28" s="184"/>
    </row>
    <row r="29" spans="1:14" ht="23.25">
      <c r="A29" s="584" t="s">
        <v>558</v>
      </c>
      <c r="B29" s="658" t="s">
        <v>533</v>
      </c>
      <c r="C29" s="463"/>
      <c r="D29" s="483" t="s">
        <v>563</v>
      </c>
      <c r="E29" s="483">
        <v>2</v>
      </c>
      <c r="F29" s="649"/>
      <c r="G29" s="650" t="str">
        <f t="shared" si="1"/>
        <v>Included</v>
      </c>
      <c r="H29" s="635"/>
      <c r="M29" s="184"/>
      <c r="N29" s="184"/>
    </row>
    <row r="30" spans="1:14" ht="23.25">
      <c r="A30" s="584">
        <v>3</v>
      </c>
      <c r="B30" s="657" t="s">
        <v>534</v>
      </c>
      <c r="C30" s="463"/>
      <c r="D30" s="482"/>
      <c r="E30" s="482"/>
      <c r="F30" s="482"/>
      <c r="G30" s="469"/>
      <c r="H30" s="635"/>
      <c r="M30" s="184"/>
      <c r="N30" s="184"/>
    </row>
    <row r="31" spans="1:14" ht="23.25">
      <c r="A31" s="584" t="s">
        <v>558</v>
      </c>
      <c r="B31" s="658" t="s">
        <v>535</v>
      </c>
      <c r="C31" s="463"/>
      <c r="D31" s="483" t="s">
        <v>563</v>
      </c>
      <c r="E31" s="483">
        <v>2</v>
      </c>
      <c r="F31" s="649"/>
      <c r="G31" s="650" t="str">
        <f t="shared" si="1"/>
        <v>Included</v>
      </c>
      <c r="H31" s="635"/>
      <c r="M31" s="184"/>
      <c r="N31" s="184"/>
    </row>
    <row r="32" spans="1:14" ht="23.25">
      <c r="A32" s="584" t="s">
        <v>559</v>
      </c>
      <c r="B32" s="658" t="s">
        <v>536</v>
      </c>
      <c r="C32" s="463"/>
      <c r="D32" s="483" t="s">
        <v>563</v>
      </c>
      <c r="E32" s="483">
        <v>2</v>
      </c>
      <c r="F32" s="649"/>
      <c r="G32" s="650" t="str">
        <f t="shared" si="1"/>
        <v>Included</v>
      </c>
      <c r="H32" s="635"/>
      <c r="M32" s="184"/>
      <c r="N32" s="184"/>
    </row>
    <row r="33" spans="1:14" ht="23.25">
      <c r="A33" s="584" t="s">
        <v>560</v>
      </c>
      <c r="B33" s="658" t="s">
        <v>537</v>
      </c>
      <c r="C33" s="463"/>
      <c r="D33" s="483" t="s">
        <v>564</v>
      </c>
      <c r="E33" s="483">
        <v>2</v>
      </c>
      <c r="F33" s="649"/>
      <c r="G33" s="650" t="str">
        <f t="shared" si="1"/>
        <v>Included</v>
      </c>
      <c r="H33" s="635"/>
      <c r="M33" s="184"/>
      <c r="N33" s="184"/>
    </row>
    <row r="34" spans="1:14" ht="23.25">
      <c r="A34" s="584" t="s">
        <v>561</v>
      </c>
      <c r="B34" s="659" t="s">
        <v>538</v>
      </c>
      <c r="C34" s="463"/>
      <c r="D34" s="483" t="s">
        <v>564</v>
      </c>
      <c r="E34" s="483">
        <v>1</v>
      </c>
      <c r="F34" s="649"/>
      <c r="G34" s="650" t="str">
        <f t="shared" si="1"/>
        <v>Included</v>
      </c>
      <c r="H34" s="635"/>
      <c r="M34" s="184"/>
      <c r="N34" s="184"/>
    </row>
    <row r="35" spans="1:14" ht="23.25">
      <c r="A35" s="584" t="s">
        <v>562</v>
      </c>
      <c r="B35" s="658" t="s">
        <v>539</v>
      </c>
      <c r="C35" s="463"/>
      <c r="D35" s="483" t="s">
        <v>563</v>
      </c>
      <c r="E35" s="483">
        <v>2</v>
      </c>
      <c r="F35" s="649"/>
      <c r="G35" s="650" t="str">
        <f t="shared" si="1"/>
        <v>Included</v>
      </c>
      <c r="H35" s="635"/>
      <c r="M35" s="184"/>
      <c r="N35" s="184"/>
    </row>
    <row r="36" spans="1:14" ht="40.5">
      <c r="A36" s="584">
        <v>4</v>
      </c>
      <c r="B36" s="657" t="s">
        <v>540</v>
      </c>
      <c r="C36" s="463"/>
      <c r="D36" s="482"/>
      <c r="E36" s="482"/>
      <c r="F36" s="482"/>
      <c r="G36" s="469"/>
      <c r="H36" s="635"/>
      <c r="M36" s="184"/>
      <c r="N36" s="184"/>
    </row>
    <row r="37" spans="1:14" ht="42">
      <c r="A37" s="584" t="s">
        <v>558</v>
      </c>
      <c r="B37" s="660" t="s">
        <v>567</v>
      </c>
      <c r="C37" s="463"/>
      <c r="D37" s="483" t="s">
        <v>563</v>
      </c>
      <c r="E37" s="483">
        <v>18</v>
      </c>
      <c r="F37" s="649"/>
      <c r="G37" s="650" t="str">
        <f t="shared" si="1"/>
        <v>Included</v>
      </c>
      <c r="H37" s="635"/>
      <c r="M37" s="184"/>
      <c r="N37" s="184"/>
    </row>
    <row r="38" spans="1:14" ht="42">
      <c r="A38" s="584" t="s">
        <v>559</v>
      </c>
      <c r="B38" s="660" t="s">
        <v>568</v>
      </c>
      <c r="C38" s="463"/>
      <c r="D38" s="483" t="s">
        <v>563</v>
      </c>
      <c r="E38" s="483">
        <v>53</v>
      </c>
      <c r="F38" s="649"/>
      <c r="G38" s="650" t="str">
        <f t="shared" si="1"/>
        <v>Included</v>
      </c>
      <c r="H38" s="635"/>
      <c r="M38" s="184"/>
      <c r="N38" s="184"/>
    </row>
    <row r="39" spans="1:14" ht="40.5">
      <c r="A39" s="584">
        <v>5</v>
      </c>
      <c r="B39" s="657" t="s">
        <v>569</v>
      </c>
      <c r="C39" s="463"/>
      <c r="D39" s="482"/>
      <c r="E39" s="482"/>
      <c r="F39" s="482"/>
      <c r="G39" s="469"/>
      <c r="H39" s="635"/>
      <c r="M39" s="184"/>
      <c r="N39" s="184"/>
    </row>
    <row r="40" spans="1:14" ht="23.25">
      <c r="A40" s="584" t="s">
        <v>367</v>
      </c>
      <c r="B40" s="658" t="s">
        <v>570</v>
      </c>
      <c r="C40" s="463"/>
      <c r="D40" s="483" t="s">
        <v>564</v>
      </c>
      <c r="E40" s="483">
        <v>14</v>
      </c>
      <c r="F40" s="649"/>
      <c r="G40" s="650" t="str">
        <f t="shared" si="1"/>
        <v>Included</v>
      </c>
      <c r="H40" s="635"/>
      <c r="M40" s="184"/>
      <c r="N40" s="184"/>
    </row>
    <row r="41" spans="1:14" ht="23.25">
      <c r="A41" s="584" t="s">
        <v>370</v>
      </c>
      <c r="B41" s="658" t="s">
        <v>571</v>
      </c>
      <c r="C41" s="463"/>
      <c r="D41" s="483" t="s">
        <v>564</v>
      </c>
      <c r="E41" s="483">
        <v>5</v>
      </c>
      <c r="F41" s="649"/>
      <c r="G41" s="650" t="str">
        <f t="shared" si="1"/>
        <v>Included</v>
      </c>
      <c r="H41" s="635"/>
      <c r="M41" s="184"/>
      <c r="N41" s="184"/>
    </row>
    <row r="42" spans="1:14" ht="23.25">
      <c r="A42" s="584" t="s">
        <v>372</v>
      </c>
      <c r="B42" s="658" t="s">
        <v>572</v>
      </c>
      <c r="C42" s="463"/>
      <c r="D42" s="483" t="s">
        <v>564</v>
      </c>
      <c r="E42" s="483">
        <v>3</v>
      </c>
      <c r="F42" s="649"/>
      <c r="G42" s="650" t="str">
        <f t="shared" si="1"/>
        <v>Included</v>
      </c>
      <c r="H42" s="635"/>
      <c r="M42" s="184"/>
      <c r="N42" s="184"/>
    </row>
    <row r="43" spans="1:14" ht="23.25">
      <c r="A43" s="584">
        <v>6</v>
      </c>
      <c r="B43" s="657" t="s">
        <v>573</v>
      </c>
      <c r="C43" s="463"/>
      <c r="D43" s="482"/>
      <c r="E43" s="482"/>
      <c r="F43" s="482"/>
      <c r="G43" s="469"/>
      <c r="H43" s="635"/>
      <c r="M43" s="184"/>
      <c r="N43" s="184"/>
    </row>
    <row r="44" spans="1:14" ht="42">
      <c r="A44" s="584" t="s">
        <v>367</v>
      </c>
      <c r="B44" s="658" t="s">
        <v>574</v>
      </c>
      <c r="C44" s="463"/>
      <c r="D44" s="483" t="s">
        <v>563</v>
      </c>
      <c r="E44" s="483">
        <v>4</v>
      </c>
      <c r="F44" s="649"/>
      <c r="G44" s="650" t="str">
        <f t="shared" si="1"/>
        <v>Included</v>
      </c>
      <c r="H44" s="635"/>
      <c r="M44" s="184"/>
      <c r="N44" s="184"/>
    </row>
    <row r="45" spans="1:14" ht="23.25">
      <c r="A45" s="584" t="s">
        <v>370</v>
      </c>
      <c r="B45" s="658" t="s">
        <v>575</v>
      </c>
      <c r="C45" s="463"/>
      <c r="D45" s="483" t="s">
        <v>563</v>
      </c>
      <c r="E45" s="483">
        <v>4</v>
      </c>
      <c r="F45" s="649"/>
      <c r="G45" s="650" t="str">
        <f t="shared" si="1"/>
        <v>Included</v>
      </c>
      <c r="H45" s="635"/>
      <c r="M45" s="184"/>
      <c r="N45" s="184"/>
    </row>
    <row r="46" spans="1:14" ht="23.25">
      <c r="A46" s="584" t="s">
        <v>372</v>
      </c>
      <c r="B46" s="658" t="s">
        <v>576</v>
      </c>
      <c r="C46" s="463"/>
      <c r="D46" s="483" t="s">
        <v>563</v>
      </c>
      <c r="E46" s="483">
        <v>53</v>
      </c>
      <c r="F46" s="649"/>
      <c r="G46" s="650" t="str">
        <f t="shared" si="1"/>
        <v>Included</v>
      </c>
      <c r="H46" s="635"/>
      <c r="M46" s="184"/>
      <c r="N46" s="184"/>
    </row>
    <row r="47" spans="1:14" ht="23.25">
      <c r="A47" s="584" t="s">
        <v>373</v>
      </c>
      <c r="B47" s="658" t="s">
        <v>577</v>
      </c>
      <c r="C47" s="463"/>
      <c r="D47" s="483" t="s">
        <v>563</v>
      </c>
      <c r="E47" s="483">
        <v>47</v>
      </c>
      <c r="F47" s="649"/>
      <c r="G47" s="650" t="str">
        <f t="shared" si="1"/>
        <v>Included</v>
      </c>
      <c r="H47" s="635"/>
      <c r="M47" s="184"/>
      <c r="N47" s="184"/>
    </row>
    <row r="48" spans="1:14" ht="23.25">
      <c r="A48" s="584">
        <v>7</v>
      </c>
      <c r="B48" s="661" t="s">
        <v>518</v>
      </c>
      <c r="C48" s="463"/>
      <c r="D48" s="482"/>
      <c r="E48" s="482"/>
      <c r="F48" s="482"/>
      <c r="G48" s="469"/>
      <c r="H48" s="635"/>
      <c r="M48" s="184"/>
      <c r="N48" s="184"/>
    </row>
    <row r="49" spans="1:14" ht="42">
      <c r="A49" s="584" t="s">
        <v>367</v>
      </c>
      <c r="B49" s="658" t="s">
        <v>550</v>
      </c>
      <c r="C49" s="463"/>
      <c r="D49" s="483" t="s">
        <v>563</v>
      </c>
      <c r="E49" s="483">
        <v>2</v>
      </c>
      <c r="F49" s="649"/>
      <c r="G49" s="650" t="str">
        <f t="shared" si="1"/>
        <v>Included</v>
      </c>
      <c r="H49" s="635"/>
      <c r="M49" s="184"/>
      <c r="N49" s="184"/>
    </row>
    <row r="50" spans="1:14" ht="23.25">
      <c r="A50" s="584" t="s">
        <v>370</v>
      </c>
      <c r="B50" s="658" t="s">
        <v>551</v>
      </c>
      <c r="C50" s="463"/>
      <c r="D50" s="483" t="s">
        <v>563</v>
      </c>
      <c r="E50" s="483">
        <v>12</v>
      </c>
      <c r="F50" s="649"/>
      <c r="G50" s="650" t="str">
        <f t="shared" si="1"/>
        <v>Included</v>
      </c>
      <c r="H50" s="635"/>
      <c r="M50" s="184"/>
      <c r="N50" s="184"/>
    </row>
    <row r="51" spans="1:14" ht="23.25">
      <c r="A51" s="584" t="s">
        <v>372</v>
      </c>
      <c r="B51" s="658" t="s">
        <v>552</v>
      </c>
      <c r="C51" s="463"/>
      <c r="D51" s="483" t="s">
        <v>563</v>
      </c>
      <c r="E51" s="483">
        <v>24</v>
      </c>
      <c r="F51" s="649"/>
      <c r="G51" s="650" t="str">
        <f t="shared" si="1"/>
        <v>Included</v>
      </c>
      <c r="H51" s="635"/>
      <c r="M51" s="184"/>
      <c r="N51" s="184"/>
    </row>
    <row r="52" spans="1:14" ht="23.25">
      <c r="A52" s="584" t="s">
        <v>373</v>
      </c>
      <c r="B52" s="658" t="s">
        <v>553</v>
      </c>
      <c r="C52" s="463"/>
      <c r="D52" s="483" t="s">
        <v>563</v>
      </c>
      <c r="E52" s="483">
        <v>12</v>
      </c>
      <c r="F52" s="649"/>
      <c r="G52" s="650" t="str">
        <f t="shared" si="1"/>
        <v>Included</v>
      </c>
      <c r="H52" s="635"/>
      <c r="M52" s="184"/>
      <c r="N52" s="184"/>
    </row>
    <row r="53" spans="1:14" ht="40.5">
      <c r="A53" s="580">
        <v>8</v>
      </c>
      <c r="B53" s="657" t="s">
        <v>578</v>
      </c>
      <c r="C53" s="463"/>
      <c r="D53" s="483" t="s">
        <v>565</v>
      </c>
      <c r="E53" s="483">
        <v>1.651</v>
      </c>
      <c r="F53" s="649"/>
      <c r="G53" s="650" t="str">
        <f t="shared" si="1"/>
        <v>Included</v>
      </c>
      <c r="H53" s="635"/>
      <c r="M53" s="184"/>
      <c r="N53" s="184"/>
    </row>
    <row r="54" spans="1:14" ht="23.25" customHeight="1">
      <c r="A54" s="737" t="s">
        <v>612</v>
      </c>
      <c r="B54" s="738"/>
      <c r="C54" s="738"/>
      <c r="D54" s="738"/>
      <c r="E54" s="738"/>
      <c r="F54" s="738"/>
      <c r="G54" s="739"/>
      <c r="H54" s="635"/>
      <c r="M54" s="184"/>
      <c r="N54" s="184"/>
    </row>
    <row r="55" spans="1:14" ht="23.25">
      <c r="A55" s="580" t="s">
        <v>579</v>
      </c>
      <c r="B55" s="662" t="s">
        <v>566</v>
      </c>
      <c r="C55" s="463"/>
      <c r="D55" s="482"/>
      <c r="E55" s="482"/>
      <c r="F55" s="482"/>
      <c r="G55" s="469"/>
      <c r="H55" s="635"/>
      <c r="M55" s="184"/>
      <c r="N55" s="184"/>
    </row>
    <row r="56" spans="1:14" ht="139.5">
      <c r="A56" s="580" t="s">
        <v>555</v>
      </c>
      <c r="B56" s="663" t="s">
        <v>525</v>
      </c>
      <c r="C56" s="463"/>
      <c r="D56" s="482"/>
      <c r="E56" s="482"/>
      <c r="F56" s="482"/>
      <c r="G56" s="469"/>
      <c r="H56" s="635"/>
      <c r="M56" s="184"/>
      <c r="N56" s="184"/>
    </row>
    <row r="57" spans="1:14" ht="23.25">
      <c r="A57" s="580" t="s">
        <v>556</v>
      </c>
      <c r="B57" s="663" t="s">
        <v>526</v>
      </c>
      <c r="C57" s="463"/>
      <c r="D57" s="483" t="s">
        <v>514</v>
      </c>
      <c r="E57" s="483">
        <v>11.506</v>
      </c>
      <c r="F57" s="649"/>
      <c r="G57" s="650" t="str">
        <f t="shared" ref="G57" si="2">IF(F57=0, "Included", IF(ISERROR(E57*F57), F57,E57* F57))</f>
        <v>Included</v>
      </c>
      <c r="H57" s="635"/>
      <c r="M57" s="184"/>
      <c r="N57" s="184"/>
    </row>
    <row r="58" spans="1:14" ht="23.25">
      <c r="A58" s="580" t="s">
        <v>370</v>
      </c>
      <c r="B58" s="663" t="s">
        <v>527</v>
      </c>
      <c r="C58" s="463"/>
      <c r="D58" s="483" t="s">
        <v>514</v>
      </c>
      <c r="E58" s="483">
        <v>17.901</v>
      </c>
      <c r="F58" s="649"/>
      <c r="G58" s="650" t="str">
        <f t="shared" ref="G58:G89" si="3">IF(F58=0, "Included", IF(ISERROR(E58*F58), F58,E58* F58))</f>
        <v>Included</v>
      </c>
      <c r="H58" s="635"/>
      <c r="M58" s="184"/>
      <c r="N58" s="184"/>
    </row>
    <row r="59" spans="1:14" ht="69.75">
      <c r="A59" s="580" t="s">
        <v>557</v>
      </c>
      <c r="B59" s="663" t="s">
        <v>528</v>
      </c>
      <c r="C59" s="463"/>
      <c r="D59" s="482"/>
      <c r="E59" s="482"/>
      <c r="F59" s="482"/>
      <c r="G59" s="469"/>
      <c r="H59" s="635"/>
      <c r="M59" s="184"/>
      <c r="N59" s="184"/>
    </row>
    <row r="60" spans="1:14" ht="23.25">
      <c r="A60" s="580" t="s">
        <v>556</v>
      </c>
      <c r="B60" s="663" t="s">
        <v>526</v>
      </c>
      <c r="C60" s="463"/>
      <c r="D60" s="483" t="s">
        <v>514</v>
      </c>
      <c r="E60" s="483">
        <v>0.95199999999999996</v>
      </c>
      <c r="F60" s="649"/>
      <c r="G60" s="650" t="str">
        <f t="shared" si="3"/>
        <v>Included</v>
      </c>
      <c r="H60" s="635"/>
      <c r="M60" s="184"/>
      <c r="N60" s="184"/>
    </row>
    <row r="61" spans="1:14" ht="23.25">
      <c r="A61" s="580" t="s">
        <v>370</v>
      </c>
      <c r="B61" s="663" t="s">
        <v>527</v>
      </c>
      <c r="C61" s="463"/>
      <c r="D61" s="483" t="s">
        <v>514</v>
      </c>
      <c r="E61" s="483">
        <v>9.8000000000000004E-2</v>
      </c>
      <c r="F61" s="649"/>
      <c r="G61" s="650" t="str">
        <f t="shared" si="3"/>
        <v>Included</v>
      </c>
      <c r="H61" s="635"/>
      <c r="M61" s="184"/>
      <c r="N61" s="184"/>
    </row>
    <row r="62" spans="1:14" ht="46.5">
      <c r="A62" s="580">
        <v>1.3</v>
      </c>
      <c r="B62" s="663" t="s">
        <v>529</v>
      </c>
      <c r="C62" s="463"/>
      <c r="D62" s="482"/>
      <c r="E62" s="482"/>
      <c r="F62" s="482"/>
      <c r="G62" s="469"/>
      <c r="H62" s="635"/>
      <c r="M62" s="184"/>
      <c r="N62" s="184"/>
    </row>
    <row r="63" spans="1:14" ht="23.25">
      <c r="A63" s="580" t="s">
        <v>558</v>
      </c>
      <c r="B63" s="663" t="s">
        <v>530</v>
      </c>
      <c r="C63" s="463"/>
      <c r="D63" s="483" t="s">
        <v>514</v>
      </c>
      <c r="E63" s="483">
        <v>1.22</v>
      </c>
      <c r="F63" s="649"/>
      <c r="G63" s="650" t="str">
        <f t="shared" si="3"/>
        <v>Included</v>
      </c>
      <c r="H63" s="635"/>
      <c r="M63" s="184"/>
      <c r="N63" s="184"/>
    </row>
    <row r="64" spans="1:14" ht="23.25">
      <c r="A64" s="580" t="s">
        <v>559</v>
      </c>
      <c r="B64" s="663" t="s">
        <v>531</v>
      </c>
      <c r="C64" s="463"/>
      <c r="D64" s="483" t="s">
        <v>514</v>
      </c>
      <c r="E64" s="483">
        <v>0.02</v>
      </c>
      <c r="F64" s="649"/>
      <c r="G64" s="650" t="str">
        <f t="shared" si="3"/>
        <v>Included</v>
      </c>
      <c r="H64" s="635"/>
      <c r="M64" s="184"/>
      <c r="N64" s="184"/>
    </row>
    <row r="65" spans="1:14" ht="23.25">
      <c r="A65" s="580">
        <v>2</v>
      </c>
      <c r="B65" s="664" t="s">
        <v>532</v>
      </c>
      <c r="C65" s="463"/>
      <c r="D65" s="482"/>
      <c r="E65" s="482"/>
      <c r="F65" s="482"/>
      <c r="G65" s="469"/>
      <c r="H65" s="635"/>
      <c r="M65" s="184"/>
      <c r="N65" s="184"/>
    </row>
    <row r="66" spans="1:14" ht="23.25">
      <c r="A66" s="580" t="s">
        <v>558</v>
      </c>
      <c r="B66" s="663" t="s">
        <v>533</v>
      </c>
      <c r="C66" s="463"/>
      <c r="D66" s="483" t="s">
        <v>563</v>
      </c>
      <c r="E66" s="483">
        <v>2</v>
      </c>
      <c r="F66" s="649"/>
      <c r="G66" s="650" t="str">
        <f t="shared" si="3"/>
        <v>Included</v>
      </c>
      <c r="H66" s="635"/>
      <c r="M66" s="184"/>
      <c r="N66" s="184"/>
    </row>
    <row r="67" spans="1:14" ht="23.25">
      <c r="A67" s="580">
        <v>3</v>
      </c>
      <c r="B67" s="664" t="s">
        <v>534</v>
      </c>
      <c r="C67" s="463"/>
      <c r="D67" s="482"/>
      <c r="E67" s="482"/>
      <c r="F67" s="482"/>
      <c r="G67" s="469"/>
      <c r="H67" s="635"/>
      <c r="M67" s="184"/>
      <c r="N67" s="184"/>
    </row>
    <row r="68" spans="1:14" ht="23.25">
      <c r="A68" s="580" t="s">
        <v>558</v>
      </c>
      <c r="B68" s="663" t="s">
        <v>535</v>
      </c>
      <c r="C68" s="463"/>
      <c r="D68" s="483" t="s">
        <v>563</v>
      </c>
      <c r="E68" s="483">
        <v>2</v>
      </c>
      <c r="F68" s="649"/>
      <c r="G68" s="650" t="str">
        <f t="shared" si="3"/>
        <v>Included</v>
      </c>
      <c r="H68" s="635"/>
      <c r="M68" s="184"/>
      <c r="N68" s="184"/>
    </row>
    <row r="69" spans="1:14" ht="23.25">
      <c r="A69" s="580" t="s">
        <v>559</v>
      </c>
      <c r="B69" s="663" t="s">
        <v>536</v>
      </c>
      <c r="C69" s="463"/>
      <c r="D69" s="483" t="s">
        <v>563</v>
      </c>
      <c r="E69" s="483">
        <v>2</v>
      </c>
      <c r="F69" s="649"/>
      <c r="G69" s="650" t="str">
        <f t="shared" si="3"/>
        <v>Included</v>
      </c>
      <c r="H69" s="635"/>
      <c r="M69" s="184"/>
      <c r="N69" s="184"/>
    </row>
    <row r="70" spans="1:14" ht="23.25">
      <c r="A70" s="580" t="s">
        <v>560</v>
      </c>
      <c r="B70" s="663" t="s">
        <v>537</v>
      </c>
      <c r="C70" s="463"/>
      <c r="D70" s="483" t="s">
        <v>564</v>
      </c>
      <c r="E70" s="483">
        <v>2</v>
      </c>
      <c r="F70" s="649"/>
      <c r="G70" s="650" t="str">
        <f t="shared" si="3"/>
        <v>Included</v>
      </c>
      <c r="H70" s="635"/>
      <c r="M70" s="184"/>
      <c r="N70" s="184"/>
    </row>
    <row r="71" spans="1:14" ht="23.25">
      <c r="A71" s="580" t="s">
        <v>561</v>
      </c>
      <c r="B71" s="663" t="s">
        <v>538</v>
      </c>
      <c r="C71" s="463"/>
      <c r="D71" s="483" t="s">
        <v>564</v>
      </c>
      <c r="E71" s="483">
        <v>2</v>
      </c>
      <c r="F71" s="649"/>
      <c r="G71" s="650" t="str">
        <f t="shared" si="3"/>
        <v>Included</v>
      </c>
      <c r="H71" s="635"/>
      <c r="M71" s="184"/>
      <c r="N71" s="184"/>
    </row>
    <row r="72" spans="1:14" ht="23.25">
      <c r="A72" s="580" t="s">
        <v>562</v>
      </c>
      <c r="B72" s="663" t="s">
        <v>539</v>
      </c>
      <c r="C72" s="463"/>
      <c r="D72" s="483" t="s">
        <v>563</v>
      </c>
      <c r="E72" s="483">
        <v>2</v>
      </c>
      <c r="F72" s="649"/>
      <c r="G72" s="650" t="str">
        <f t="shared" si="3"/>
        <v>Included</v>
      </c>
      <c r="H72" s="635"/>
      <c r="M72" s="184"/>
      <c r="N72" s="184"/>
    </row>
    <row r="73" spans="1:14" ht="46.5">
      <c r="A73" s="580">
        <v>4</v>
      </c>
      <c r="B73" s="664" t="s">
        <v>540</v>
      </c>
      <c r="C73" s="463"/>
      <c r="D73" s="482"/>
      <c r="E73" s="482"/>
      <c r="F73" s="482"/>
      <c r="G73" s="469"/>
      <c r="H73" s="635"/>
      <c r="M73" s="184"/>
      <c r="N73" s="184"/>
    </row>
    <row r="74" spans="1:14" ht="46.5">
      <c r="A74" s="580" t="s">
        <v>558</v>
      </c>
      <c r="B74" s="663" t="s">
        <v>541</v>
      </c>
      <c r="C74" s="463"/>
      <c r="D74" s="483" t="s">
        <v>563</v>
      </c>
      <c r="E74" s="483">
        <v>37</v>
      </c>
      <c r="F74" s="649"/>
      <c r="G74" s="650" t="str">
        <f t="shared" si="3"/>
        <v>Included</v>
      </c>
      <c r="H74" s="635"/>
      <c r="M74" s="184"/>
      <c r="N74" s="184"/>
    </row>
    <row r="75" spans="1:14" ht="46.5">
      <c r="A75" s="580" t="s">
        <v>559</v>
      </c>
      <c r="B75" s="663" t="s">
        <v>542</v>
      </c>
      <c r="C75" s="463"/>
      <c r="D75" s="483" t="s">
        <v>563</v>
      </c>
      <c r="E75" s="483">
        <v>7</v>
      </c>
      <c r="F75" s="649"/>
      <c r="G75" s="650" t="str">
        <f t="shared" si="3"/>
        <v>Included</v>
      </c>
      <c r="H75" s="635"/>
      <c r="M75" s="184"/>
      <c r="N75" s="184"/>
    </row>
    <row r="76" spans="1:14" ht="23.25">
      <c r="A76" s="580">
        <v>5</v>
      </c>
      <c r="B76" s="664" t="s">
        <v>543</v>
      </c>
      <c r="C76" s="463"/>
      <c r="D76" s="482"/>
      <c r="E76" s="482"/>
      <c r="F76" s="482"/>
      <c r="G76" s="469"/>
      <c r="H76" s="635"/>
      <c r="M76" s="184"/>
      <c r="N76" s="184"/>
    </row>
    <row r="77" spans="1:14" ht="23.25">
      <c r="A77" s="580" t="s">
        <v>367</v>
      </c>
      <c r="B77" s="663" t="s">
        <v>544</v>
      </c>
      <c r="C77" s="463"/>
      <c r="D77" s="483" t="s">
        <v>564</v>
      </c>
      <c r="E77" s="483">
        <v>19</v>
      </c>
      <c r="F77" s="649"/>
      <c r="G77" s="650" t="str">
        <f t="shared" si="3"/>
        <v>Included</v>
      </c>
      <c r="H77" s="635"/>
      <c r="M77" s="184"/>
      <c r="N77" s="184"/>
    </row>
    <row r="78" spans="1:14" ht="23.25">
      <c r="A78" s="580" t="s">
        <v>370</v>
      </c>
      <c r="B78" s="663" t="s">
        <v>545</v>
      </c>
      <c r="C78" s="463"/>
      <c r="D78" s="483" t="s">
        <v>564</v>
      </c>
      <c r="E78" s="483">
        <v>7</v>
      </c>
      <c r="F78" s="649"/>
      <c r="G78" s="650" t="str">
        <f t="shared" si="3"/>
        <v>Included</v>
      </c>
      <c r="H78" s="635"/>
      <c r="M78" s="184"/>
      <c r="N78" s="184"/>
    </row>
    <row r="79" spans="1:14" ht="46.5">
      <c r="A79" s="580">
        <v>6</v>
      </c>
      <c r="B79" s="664" t="s">
        <v>546</v>
      </c>
      <c r="C79" s="463"/>
      <c r="D79" s="482"/>
      <c r="E79" s="482"/>
      <c r="F79" s="482"/>
      <c r="G79" s="469"/>
      <c r="H79" s="635"/>
      <c r="M79" s="184"/>
      <c r="N79" s="184"/>
    </row>
    <row r="80" spans="1:14" ht="23.25">
      <c r="A80" s="580" t="s">
        <v>558</v>
      </c>
      <c r="B80" s="663" t="s">
        <v>517</v>
      </c>
      <c r="C80" s="463"/>
      <c r="D80" s="483" t="s">
        <v>563</v>
      </c>
      <c r="E80" s="483">
        <v>3</v>
      </c>
      <c r="F80" s="649"/>
      <c r="G80" s="650" t="str">
        <f t="shared" si="3"/>
        <v>Included</v>
      </c>
      <c r="H80" s="635"/>
      <c r="M80" s="184"/>
      <c r="N80" s="184"/>
    </row>
    <row r="81" spans="1:14" ht="23.25">
      <c r="A81" s="580" t="s">
        <v>559</v>
      </c>
      <c r="B81" s="663" t="s">
        <v>547</v>
      </c>
      <c r="C81" s="463"/>
      <c r="D81" s="483" t="s">
        <v>563</v>
      </c>
      <c r="E81" s="483">
        <v>4</v>
      </c>
      <c r="F81" s="649"/>
      <c r="G81" s="650" t="str">
        <f t="shared" si="3"/>
        <v>Included</v>
      </c>
      <c r="H81" s="635"/>
      <c r="M81" s="184"/>
      <c r="N81" s="184"/>
    </row>
    <row r="82" spans="1:14" ht="23.25">
      <c r="A82" s="580" t="s">
        <v>560</v>
      </c>
      <c r="B82" s="663" t="s">
        <v>548</v>
      </c>
      <c r="C82" s="463"/>
      <c r="D82" s="483" t="s">
        <v>563</v>
      </c>
      <c r="E82" s="483">
        <v>36</v>
      </c>
      <c r="F82" s="649"/>
      <c r="G82" s="650" t="str">
        <f t="shared" si="3"/>
        <v>Included</v>
      </c>
      <c r="H82" s="635"/>
      <c r="M82" s="184"/>
      <c r="N82" s="184"/>
    </row>
    <row r="83" spans="1:14" ht="23.25">
      <c r="A83" s="580" t="s">
        <v>561</v>
      </c>
      <c r="B83" s="665" t="s">
        <v>549</v>
      </c>
      <c r="C83" s="463"/>
      <c r="D83" s="483" t="s">
        <v>563</v>
      </c>
      <c r="E83" s="483">
        <v>12</v>
      </c>
      <c r="F83" s="649"/>
      <c r="G83" s="650" t="str">
        <f t="shared" si="3"/>
        <v>Included</v>
      </c>
      <c r="H83" s="635"/>
      <c r="M83" s="184"/>
      <c r="N83" s="184"/>
    </row>
    <row r="84" spans="1:14" ht="23.25">
      <c r="A84" s="580">
        <v>7</v>
      </c>
      <c r="B84" s="666" t="s">
        <v>518</v>
      </c>
      <c r="C84" s="463"/>
      <c r="D84" s="482"/>
      <c r="E84" s="482"/>
      <c r="F84" s="482"/>
      <c r="G84" s="469"/>
      <c r="H84" s="635"/>
      <c r="M84" s="184"/>
      <c r="N84" s="184"/>
    </row>
    <row r="85" spans="1:14" ht="46.5">
      <c r="A85" s="580" t="s">
        <v>558</v>
      </c>
      <c r="B85" s="663" t="s">
        <v>550</v>
      </c>
      <c r="C85" s="463"/>
      <c r="D85" s="483" t="s">
        <v>563</v>
      </c>
      <c r="E85" s="483">
        <v>3</v>
      </c>
      <c r="F85" s="649"/>
      <c r="G85" s="650" t="str">
        <f t="shared" si="3"/>
        <v>Included</v>
      </c>
      <c r="H85" s="635"/>
      <c r="M85" s="184"/>
      <c r="N85" s="184"/>
    </row>
    <row r="86" spans="1:14" ht="46.5">
      <c r="A86" s="580" t="s">
        <v>559</v>
      </c>
      <c r="B86" s="663" t="s">
        <v>551</v>
      </c>
      <c r="C86" s="463"/>
      <c r="D86" s="483" t="s">
        <v>563</v>
      </c>
      <c r="E86" s="483">
        <v>12</v>
      </c>
      <c r="F86" s="649"/>
      <c r="G86" s="650" t="str">
        <f t="shared" si="3"/>
        <v>Included</v>
      </c>
      <c r="H86" s="635"/>
      <c r="M86" s="184"/>
      <c r="N86" s="184"/>
    </row>
    <row r="87" spans="1:14" ht="23.25">
      <c r="A87" s="580" t="s">
        <v>560</v>
      </c>
      <c r="B87" s="663" t="s">
        <v>552</v>
      </c>
      <c r="C87" s="463"/>
      <c r="D87" s="483" t="s">
        <v>563</v>
      </c>
      <c r="E87" s="483">
        <v>24</v>
      </c>
      <c r="F87" s="649"/>
      <c r="G87" s="650" t="str">
        <f t="shared" si="3"/>
        <v>Included</v>
      </c>
      <c r="H87" s="635"/>
      <c r="M87" s="184"/>
      <c r="N87" s="184"/>
    </row>
    <row r="88" spans="1:14" ht="23.25">
      <c r="A88" s="580" t="s">
        <v>561</v>
      </c>
      <c r="B88" s="663" t="s">
        <v>553</v>
      </c>
      <c r="C88" s="463"/>
      <c r="D88" s="483" t="s">
        <v>563</v>
      </c>
      <c r="E88" s="483">
        <v>12</v>
      </c>
      <c r="F88" s="649"/>
      <c r="G88" s="650" t="str">
        <f t="shared" si="3"/>
        <v>Included</v>
      </c>
      <c r="H88" s="635"/>
      <c r="M88" s="184"/>
      <c r="N88" s="184"/>
    </row>
    <row r="89" spans="1:14" ht="23.25">
      <c r="A89" s="580">
        <v>8</v>
      </c>
      <c r="B89" s="664" t="s">
        <v>554</v>
      </c>
      <c r="C89" s="463"/>
      <c r="D89" s="483" t="s">
        <v>565</v>
      </c>
      <c r="E89" s="483">
        <v>1.8540000000000001</v>
      </c>
      <c r="F89" s="649"/>
      <c r="G89" s="650" t="str">
        <f t="shared" si="3"/>
        <v>Included</v>
      </c>
      <c r="H89" s="635"/>
      <c r="M89" s="184"/>
      <c r="N89" s="184"/>
    </row>
    <row r="90" spans="1:14" ht="20.25">
      <c r="A90" s="246"/>
      <c r="B90" s="631" t="s">
        <v>581</v>
      </c>
      <c r="C90" s="247"/>
      <c r="D90" s="248"/>
      <c r="E90" s="249"/>
      <c r="F90" s="250"/>
      <c r="G90" s="651">
        <f>ROUND(SUM(G20:G89),0)</f>
        <v>0</v>
      </c>
      <c r="M90" s="186"/>
      <c r="N90" s="187"/>
    </row>
    <row r="91" spans="1:14" ht="27.95" customHeight="1">
      <c r="A91" s="289"/>
      <c r="B91" s="472"/>
      <c r="C91" s="473"/>
      <c r="D91" s="473"/>
      <c r="E91" s="473"/>
      <c r="F91" s="473"/>
      <c r="G91" s="473"/>
      <c r="M91" s="186"/>
      <c r="N91" s="187"/>
    </row>
    <row r="95" spans="1:14" ht="33.6" customHeight="1">
      <c r="A95" s="87" t="s">
        <v>226</v>
      </c>
      <c r="B95" s="212" t="str">
        <f>IF('Sch-1'!C101=0,"", 'Sch-1'!C101)</f>
        <v/>
      </c>
      <c r="C95" s="212"/>
      <c r="D95" s="402"/>
      <c r="E95" s="287"/>
      <c r="F95" s="89" t="s">
        <v>229</v>
      </c>
      <c r="G95" s="91" t="str">
        <f>IF('Sch-1'!M101=0,"",'Sch-1'!M101)</f>
        <v/>
      </c>
      <c r="M95" s="202"/>
      <c r="N95" s="253"/>
    </row>
    <row r="96" spans="1:14" ht="33.6" customHeight="1">
      <c r="A96" s="87" t="s">
        <v>227</v>
      </c>
      <c r="B96" s="212" t="str">
        <f>IF('Sch-1'!C102=0,"", 'Sch-1'!C102)</f>
        <v/>
      </c>
      <c r="C96" s="212"/>
      <c r="D96" s="94"/>
      <c r="E96" s="287"/>
      <c r="F96" s="89" t="s">
        <v>230</v>
      </c>
      <c r="G96" s="91" t="str">
        <f>IF('Sch-1'!M102=0,"",'Sch-1'!M102)</f>
        <v/>
      </c>
    </row>
    <row r="97" spans="1:5" ht="33.6" customHeight="1">
      <c r="A97" s="84"/>
      <c r="B97" s="83"/>
      <c r="C97" s="83"/>
      <c r="D97" s="28"/>
      <c r="E97" s="84"/>
    </row>
  </sheetData>
  <sheetProtection algorithmName="SHA-512" hashValue="OrvJHgw0AtfMrAfLSGh/F1GngpcVjLXic0ABmzFUfbxQitYdzhOoxtB46KzpDInCFpCIvKDEs7kQ020kN0QyBg==" saltValue="NiIHnMEr+GAb1kSd1EtDHw==" spinCount="100000" sheet="1" formatColumns="0" formatRows="0" selectLockedCells="1"/>
  <customSheetViews>
    <customSheetView guid="{9CA44E70-650F-49CD-967F-298619682CA2}" hiddenColumns="1" topLeftCell="A13">
      <selection activeCell="C16" sqref="C16"/>
      <colBreaks count="1" manualBreakCount="1">
        <brk id="7" max="1048575" man="1"/>
      </colBreaks>
      <pageMargins left="0.51181102362204722" right="0.26" top="0.54" bottom="0.61" header="0.25" footer="0.43"/>
      <printOptions horizontalCentered="1"/>
      <pageSetup paperSize="9" scale="92" orientation="portrait" horizontalDpi="300" verticalDpi="300" r:id="rId1"/>
      <headerFooter alignWithMargins="0">
        <oddFooter>&amp;R&amp;"Book Antiqua,Bold"&amp;10Schedule-2/ Page &amp;P of &amp;N</oddFooter>
      </headerFooter>
    </customSheetView>
    <customSheetView guid="{C39F923C-6CD3-45D8-86F8-6C4D806DDD7E}" hiddenColumns="1">
      <selection activeCell="F45" sqref="F45"/>
      <colBreaks count="1" manualBreakCount="1">
        <brk id="7" max="1048575" man="1"/>
      </colBreaks>
      <pageMargins left="0.51181102362204722" right="0.26" top="0.54" bottom="0.61" header="0.25" footer="0.43"/>
      <printOptions horizontalCentered="1"/>
      <pageSetup paperSize="9" scale="92" orientation="portrait" horizontalDpi="300" verticalDpi="300" r:id="rId2"/>
      <headerFooter alignWithMargins="0">
        <oddFooter>&amp;R&amp;"Book Antiqua,Bold"&amp;10Schedule-2/ Page &amp;P of &amp;N</oddFooter>
      </headerFooter>
    </customSheetView>
    <customSheetView guid="{B1277D53-29D6-4226-81E2-084FB62977B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3"/>
      <headerFooter alignWithMargins="0">
        <oddFooter>&amp;R&amp;"Book Antiqua,Bold"&amp;10Schedule-2/ Page &amp;P of &amp;N</oddFooter>
      </headerFooter>
    </customSheetView>
    <customSheetView guid="{58D82F59-8CF6-455F-B9F4-081499FDF243}"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4F65FF32-EC61-4022-A399-2986D7B6B8B3}" showPageBreaks="1" zeroValues="0" printArea="1" view="pageBreakPreview" showRuler="0" topLeftCell="A20">
      <selection activeCell="B2" sqref="B2:E2"/>
      <rowBreaks count="1" manualBreakCount="1">
        <brk id="33" max="5" man="1"/>
      </rowBreaks>
      <colBreaks count="1" manualBreakCount="1">
        <brk id="6" max="1048575" man="1"/>
      </colBreaks>
      <pageMargins left="0.51181102362204722" right="0.26" top="0.54" bottom="0.61" header="0.25" footer="0.43"/>
      <printOptions horizontalCentered="1"/>
      <pageSetup paperSize="9" orientation="portrait" horizontalDpi="300" verticalDpi="300" r:id="rId5"/>
      <headerFooter alignWithMargins="0">
        <oddFooter>&amp;R&amp;"Book Antiqua,Bold"&amp;10Page &amp;P of &amp;N</oddFooter>
      </headerFooter>
    </customSheetView>
    <customSheetView guid="{696D9240-6693-44E8-B9A4-2BFADD101EE2}"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B0EE7D76-5806-4718-BDAD-3A3EA691E5E4}" hiddenColumns="1">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E95B21C1-D936-4435-AF6F-90CF0B6A750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 guid="{08A645C4-A23F-4400-B0CE-1685BC312A6F}" printArea="1" hiddenColumns="1" topLeftCell="A19">
      <selection activeCell="C17" sqref="C17"/>
      <colBreaks count="1" manualBreakCount="1">
        <brk id="7" max="1048575" man="1"/>
      </colBreaks>
      <pageMargins left="0.51181102362204722" right="0.26" top="0.54" bottom="0.61" header="0.25" footer="0.43"/>
      <printOptions horizontalCentered="1"/>
      <pageSetup paperSize="9" scale="92" orientation="portrait" horizontalDpi="300" verticalDpi="300" r:id="rId9"/>
      <headerFooter alignWithMargins="0">
        <oddFooter>&amp;R&amp;"Book Antiqua,Bold"&amp;10Schedule-2/ Page &amp;P of &amp;N</oddFooter>
      </headerFooter>
    </customSheetView>
  </customSheetViews>
  <mergeCells count="9">
    <mergeCell ref="A17:G17"/>
    <mergeCell ref="A54:G54"/>
    <mergeCell ref="B12:E12"/>
    <mergeCell ref="B8:E8"/>
    <mergeCell ref="A3:G3"/>
    <mergeCell ref="A4:G4"/>
    <mergeCell ref="B9:E9"/>
    <mergeCell ref="B10:E10"/>
    <mergeCell ref="B11:E11"/>
  </mergeCells>
  <phoneticPr fontId="3" type="noConversion"/>
  <dataValidations count="1">
    <dataValidation operator="greaterThan" allowBlank="1" showInputMessage="1" showErrorMessage="1" sqref="F18:F53 F55:F89" xr:uid="{00000000-0002-0000-0600-000000000000}"/>
  </dataValidations>
  <printOptions horizontalCentered="1"/>
  <pageMargins left="0.51181102362204722" right="0.26" top="0.54" bottom="0.61" header="0.25" footer="0.43"/>
  <pageSetup paperSize="9" scale="92" orientation="portrait" horizontalDpi="300" verticalDpi="300" r:id="rId10"/>
  <headerFooter alignWithMargins="0">
    <oddFooter>&amp;R&amp;"Book Antiqua,Bold"&amp;10Schedule-2/ Page &amp;P of &amp;N</oddFooter>
  </headerFooter>
  <colBreaks count="1" manualBreakCount="1">
    <brk id="7" max="1048575" man="1"/>
  </colBreaks>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theme="1"/>
  </sheetPr>
  <dimension ref="A1:AA24"/>
  <sheetViews>
    <sheetView zoomScaleNormal="100" zoomScaleSheetLayoutView="100" workbookViewId="0">
      <selection activeCell="I3" sqref="I3"/>
    </sheetView>
  </sheetViews>
  <sheetFormatPr defaultRowHeight="16.5"/>
  <cols>
    <col min="1" max="1" width="10.625" style="209" customWidth="1"/>
    <col min="2" max="2" width="33" style="86" customWidth="1"/>
    <col min="3" max="3" width="11.75" style="86" customWidth="1"/>
    <col min="4" max="4" width="7.625" style="85" customWidth="1"/>
    <col min="5" max="5" width="8.625" style="85" customWidth="1"/>
    <col min="6" max="6" width="14.5" style="85" customWidth="1"/>
    <col min="7" max="7" width="19.125" style="85" customWidth="1"/>
    <col min="8" max="8" width="11.125" style="28" customWidth="1"/>
    <col min="9" max="11" width="9" style="76"/>
    <col min="12" max="12" width="9" style="190"/>
    <col min="13" max="14" width="17.625" style="190" customWidth="1"/>
    <col min="15" max="27" width="9" style="190"/>
    <col min="28" max="16384" width="9" style="76"/>
  </cols>
  <sheetData>
    <row r="1" spans="1:14" ht="18" customHeight="1">
      <c r="A1" s="77" t="str">
        <f>Cover!B3</f>
        <v>Specification No.: ODP/BB/C&amp;M-4155/OT-02/RFx No. 5002004411/25-26</v>
      </c>
      <c r="B1" s="78"/>
      <c r="C1" s="78"/>
      <c r="D1" s="79"/>
      <c r="E1" s="79"/>
      <c r="F1" s="80"/>
      <c r="G1" s="81" t="s">
        <v>251</v>
      </c>
    </row>
    <row r="2" spans="1:14" ht="18" customHeight="1">
      <c r="A2" s="63"/>
      <c r="B2" s="83"/>
      <c r="C2" s="83"/>
      <c r="D2" s="84"/>
      <c r="E2" s="84"/>
      <c r="F2" s="28"/>
      <c r="G2" s="28"/>
    </row>
    <row r="3" spans="1:14" ht="44.25" customHeight="1">
      <c r="A3" s="735" t="str">
        <f>Cover!$B$2</f>
        <v xml:space="preserve">Diversion of 220kV Budhipadar-Korba S/C line #3 &amp; 765kV Angul-Sundargarh S/C line # 1 due to NH 49 Jharsuguda bypass Road diversion work (Deposit work On Behalf of NHAI).
</v>
      </c>
      <c r="B3" s="735"/>
      <c r="C3" s="735"/>
      <c r="D3" s="735"/>
      <c r="E3" s="735"/>
      <c r="F3" s="735"/>
      <c r="G3" s="735"/>
      <c r="L3" s="202"/>
      <c r="N3" s="203"/>
    </row>
    <row r="4" spans="1:14" ht="21.95" customHeight="1">
      <c r="A4" s="711" t="s">
        <v>246</v>
      </c>
      <c r="B4" s="711"/>
      <c r="C4" s="711"/>
      <c r="D4" s="711"/>
      <c r="E4" s="711"/>
      <c r="F4" s="711"/>
      <c r="G4" s="711"/>
      <c r="H4" s="241"/>
      <c r="L4" s="202"/>
      <c r="N4" s="203"/>
    </row>
    <row r="5" spans="1:14" ht="18" customHeight="1">
      <c r="A5" s="242"/>
      <c r="B5" s="205"/>
      <c r="C5" s="205"/>
      <c r="D5" s="204"/>
      <c r="E5" s="204"/>
      <c r="F5" s="204"/>
      <c r="G5" s="243"/>
      <c r="L5" s="202"/>
      <c r="N5" s="203"/>
    </row>
    <row r="6" spans="1:14" ht="18" customHeight="1">
      <c r="A6" s="25" t="str">
        <f>'Sch-1'!A6</f>
        <v>Bidder’s Name and Address</v>
      </c>
      <c r="B6" s="26"/>
      <c r="C6" s="26"/>
      <c r="D6" s="26"/>
      <c r="E6" s="26"/>
      <c r="F6" s="60" t="s">
        <v>216</v>
      </c>
      <c r="G6" s="28"/>
      <c r="H6" s="26"/>
      <c r="L6" s="202"/>
      <c r="N6" s="203"/>
    </row>
    <row r="7" spans="1:14" ht="18" customHeight="1">
      <c r="A7" s="206" t="str">
        <f>'Sch-1'!A7</f>
        <v xml:space="preserve">Bidder as </v>
      </c>
      <c r="F7" s="59" t="s">
        <v>218</v>
      </c>
      <c r="G7" s="28"/>
      <c r="H7" s="26"/>
      <c r="L7" s="202"/>
      <c r="N7" s="203"/>
    </row>
    <row r="8" spans="1:14" ht="18" customHeight="1">
      <c r="A8" s="25" t="s">
        <v>217</v>
      </c>
      <c r="B8" s="734" t="str">
        <f>IF('Sch-1'!G8=0, "", 'Sch-1'!G8)</f>
        <v/>
      </c>
      <c r="C8" s="734"/>
      <c r="D8" s="734"/>
      <c r="E8" s="734"/>
      <c r="F8" s="59" t="s">
        <v>220</v>
      </c>
      <c r="G8" s="28"/>
      <c r="H8" s="26"/>
      <c r="L8" s="202"/>
      <c r="N8" s="203"/>
    </row>
    <row r="9" spans="1:14" ht="18" customHeight="1">
      <c r="A9" s="25" t="s">
        <v>219</v>
      </c>
      <c r="B9" s="734" t="str">
        <f>IF('Sch-1'!G9=0, "", 'Sch-1'!G9)</f>
        <v/>
      </c>
      <c r="C9" s="734"/>
      <c r="D9" s="734"/>
      <c r="E9" s="734"/>
      <c r="F9" s="59" t="s">
        <v>221</v>
      </c>
      <c r="G9" s="28"/>
      <c r="H9" s="26"/>
      <c r="L9" s="202"/>
      <c r="N9" s="203"/>
    </row>
    <row r="10" spans="1:14" ht="18" customHeight="1">
      <c r="A10" s="26"/>
      <c r="B10" s="734" t="str">
        <f>IF('Sch-1'!G10=0, "", 'Sch-1'!G10)</f>
        <v/>
      </c>
      <c r="C10" s="734"/>
      <c r="D10" s="734"/>
      <c r="E10" s="734"/>
      <c r="F10" s="59" t="s">
        <v>222</v>
      </c>
      <c r="G10" s="28"/>
      <c r="H10" s="26"/>
    </row>
    <row r="11" spans="1:14" ht="18" customHeight="1">
      <c r="A11" s="26"/>
      <c r="B11" s="734" t="str">
        <f>IF('Sch-1'!G11=0, "", 'Sch-1'!G11)</f>
        <v/>
      </c>
      <c r="C11" s="734"/>
      <c r="D11" s="734"/>
      <c r="E11" s="734"/>
      <c r="F11" s="59" t="s">
        <v>223</v>
      </c>
      <c r="G11" s="28"/>
      <c r="H11" s="26"/>
    </row>
    <row r="12" spans="1:14" ht="18" customHeight="1">
      <c r="A12" s="26"/>
      <c r="B12" s="27"/>
      <c r="C12" s="27"/>
      <c r="D12" s="27"/>
      <c r="E12" s="27"/>
      <c r="F12" s="64"/>
      <c r="G12" s="28"/>
      <c r="H12" s="26"/>
    </row>
    <row r="13" spans="1:14" ht="18" customHeight="1">
      <c r="A13" s="26"/>
      <c r="B13" s="25"/>
      <c r="C13" s="25"/>
      <c r="D13" s="25"/>
      <c r="E13" s="25"/>
      <c r="F13" s="25"/>
      <c r="G13" s="81" t="s">
        <v>190</v>
      </c>
    </row>
    <row r="14" spans="1:14" ht="43.5" customHeight="1">
      <c r="A14" s="98" t="s">
        <v>191</v>
      </c>
      <c r="B14" s="98" t="s">
        <v>215</v>
      </c>
      <c r="C14" s="98" t="s">
        <v>165</v>
      </c>
      <c r="D14" s="207" t="s">
        <v>189</v>
      </c>
      <c r="E14" s="207" t="s">
        <v>192</v>
      </c>
      <c r="F14" s="98" t="s">
        <v>167</v>
      </c>
      <c r="G14" s="98" t="s">
        <v>194</v>
      </c>
      <c r="H14" s="183"/>
      <c r="M14" s="185"/>
      <c r="N14" s="185"/>
    </row>
    <row r="15" spans="1:14" ht="18" customHeight="1">
      <c r="A15" s="207">
        <v>1</v>
      </c>
      <c r="B15" s="207">
        <v>2</v>
      </c>
      <c r="C15" s="207">
        <v>3</v>
      </c>
      <c r="D15" s="207">
        <v>4</v>
      </c>
      <c r="E15" s="207">
        <v>5</v>
      </c>
      <c r="F15" s="207">
        <v>6</v>
      </c>
      <c r="G15" s="207" t="s">
        <v>166</v>
      </c>
      <c r="H15" s="143"/>
      <c r="M15" s="184"/>
      <c r="N15" s="184"/>
    </row>
    <row r="16" spans="1:14" ht="50.1" customHeight="1">
      <c r="A16" s="244" t="e">
        <f>'Sch-2'!#REF!</f>
        <v>#REF!</v>
      </c>
      <c r="B16" s="244" t="e">
        <f>'Sch-2'!#REF!</f>
        <v>#REF!</v>
      </c>
      <c r="C16" s="310" t="e">
        <f>'Sch-2'!#REF!</f>
        <v>#REF!</v>
      </c>
      <c r="D16" s="244" t="e">
        <f>'Sch-2'!#REF!</f>
        <v>#REF!</v>
      </c>
      <c r="E16" s="309" t="e">
        <f>'Sch-2'!#REF!</f>
        <v>#REF!</v>
      </c>
      <c r="F16" s="245" t="e">
        <f>'Sch-2'!#REF!</f>
        <v>#REF!</v>
      </c>
      <c r="G16" s="296" t="e">
        <f>IF(F16=0, "Included", IF(ISERROR(E16*F16), F16, E16*F16))</f>
        <v>#REF!</v>
      </c>
      <c r="M16" s="186"/>
      <c r="N16" s="186"/>
    </row>
    <row r="17" spans="1:14" ht="27.95" customHeight="1">
      <c r="A17" s="244">
        <f>'Sch-2'!A90</f>
        <v>0</v>
      </c>
      <c r="B17" s="247" t="s">
        <v>250</v>
      </c>
      <c r="C17" s="247"/>
      <c r="D17" s="248"/>
      <c r="E17" s="249"/>
      <c r="F17" s="250"/>
      <c r="G17" s="251" t="e">
        <f>ROUND(SUM(G16:G16),0)</f>
        <v>#REF!</v>
      </c>
      <c r="M17" s="186"/>
      <c r="N17" s="187"/>
    </row>
    <row r="18" spans="1:14" ht="27.95" customHeight="1">
      <c r="A18" s="289"/>
      <c r="B18" s="290"/>
      <c r="C18" s="290"/>
      <c r="D18" s="291"/>
      <c r="E18" s="292"/>
      <c r="F18" s="293"/>
      <c r="G18" s="294"/>
      <c r="M18" s="186"/>
      <c r="N18" s="187"/>
    </row>
    <row r="19" spans="1:14" ht="27.75" customHeight="1">
      <c r="A19" s="252"/>
      <c r="B19" s="211"/>
      <c r="C19" s="211"/>
      <c r="E19" s="209"/>
      <c r="F19" s="210"/>
      <c r="G19" s="210"/>
    </row>
    <row r="20" spans="1:14" ht="33.6" customHeight="1">
      <c r="A20" s="87" t="s">
        <v>226</v>
      </c>
      <c r="B20" s="212" t="str">
        <f>IF('Sch-1'!G101=0,"", 'Sch-1'!G101)</f>
        <v/>
      </c>
      <c r="C20" s="212"/>
      <c r="D20" s="88"/>
      <c r="E20" s="84"/>
      <c r="F20" s="89" t="s">
        <v>228</v>
      </c>
      <c r="G20" s="90"/>
      <c r="M20" s="202"/>
      <c r="N20" s="253"/>
    </row>
    <row r="21" spans="1:14" ht="33.6" customHeight="1">
      <c r="A21" s="87" t="s">
        <v>227</v>
      </c>
      <c r="B21" s="212" t="str">
        <f>IF('Sch-1'!G102=0,"", 'Sch-1'!G102)</f>
        <v/>
      </c>
      <c r="C21" s="212"/>
      <c r="D21" s="28"/>
      <c r="E21" s="84"/>
      <c r="F21" s="89" t="s">
        <v>229</v>
      </c>
      <c r="G21" s="91" t="str">
        <f>IF('Sch-1'!M101=0,"",'Sch-1'!M101)</f>
        <v/>
      </c>
    </row>
    <row r="22" spans="1:14" ht="33.6" customHeight="1">
      <c r="A22" s="84"/>
      <c r="B22" s="83"/>
      <c r="C22" s="83"/>
      <c r="D22" s="28"/>
      <c r="E22" s="84"/>
      <c r="F22" s="89" t="s">
        <v>230</v>
      </c>
      <c r="G22" s="91" t="str">
        <f>IF('Sch-1'!M102=0,"",'Sch-1'!M102)</f>
        <v/>
      </c>
    </row>
    <row r="23" spans="1:14" ht="33.6" customHeight="1">
      <c r="A23" s="84"/>
      <c r="B23" s="83"/>
      <c r="C23" s="83"/>
      <c r="D23" s="28"/>
      <c r="E23" s="84"/>
      <c r="F23" s="89" t="s">
        <v>231</v>
      </c>
      <c r="G23" s="90"/>
    </row>
    <row r="24" spans="1:14">
      <c r="A24" s="84"/>
      <c r="B24" s="740"/>
      <c r="C24" s="740"/>
      <c r="D24" s="741"/>
      <c r="E24" s="741"/>
      <c r="F24" s="741"/>
      <c r="G24" s="741"/>
    </row>
  </sheetData>
  <sheetProtection password="E848" sheet="1" objects="1" scenarios="1" selectLockedCells="1" selectUnlockedCells="1"/>
  <customSheetViews>
    <customSheetView guid="{9CA44E70-650F-49CD-967F-298619682CA2}"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1"/>
      <headerFooter alignWithMargins="0">
        <oddFooter>&amp;R&amp;"Book Antiqua,Bold"&amp;10Schedule-2/ Page &amp;P of &amp;N</oddFooter>
      </headerFooter>
    </customSheetView>
    <customSheetView guid="{C39F923C-6CD3-45D8-86F8-6C4D806DDD7E}"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2"/>
      <headerFooter alignWithMargins="0">
        <oddFooter>&amp;R&amp;"Book Antiqua,Bold"&amp;10Schedule-2/ Page &amp;P of &amp;N</oddFooter>
      </headerFooter>
    </customSheetView>
    <customSheetView guid="{B1277D53-29D6-4226-81E2-084FB62977B6}"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3"/>
      <headerFooter alignWithMargins="0">
        <oddFooter>&amp;R&amp;"Book Antiqua,Bold"&amp;10Schedule-2/ Page &amp;P of &amp;N</oddFooter>
      </headerFooter>
    </customSheetView>
    <customSheetView guid="{58D82F59-8CF6-455F-B9F4-081499FDF243}"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4"/>
      <headerFooter alignWithMargins="0">
        <oddFooter>&amp;R&amp;"Book Antiqua,Bold"&amp;10Schedule-2/ Page &amp;P of &amp;N</oddFooter>
      </headerFooter>
    </customSheetView>
    <customSheetView guid="{696D9240-6693-44E8-B9A4-2BFADD101EE2}"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5"/>
      <headerFooter alignWithMargins="0">
        <oddFooter>&amp;R&amp;"Book Antiqua,Bold"&amp;10Schedule-2/ Page &amp;P of &amp;N</oddFooter>
      </headerFooter>
    </customSheetView>
    <customSheetView guid="{B0EE7D76-5806-4718-BDAD-3A3EA691E5E4}"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6"/>
      <headerFooter alignWithMargins="0">
        <oddFooter>&amp;R&amp;"Book Antiqua,Bold"&amp;10Schedule-2/ Page &amp;P of &amp;N</oddFooter>
      </headerFooter>
    </customSheetView>
    <customSheetView guid="{E95B21C1-D936-4435-AF6F-90CF0B6A7506}"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7"/>
      <headerFooter alignWithMargins="0">
        <oddFooter>&amp;R&amp;"Book Antiqua,Bold"&amp;10Schedule-2/ Page &amp;P of &amp;N</oddFooter>
      </headerFooter>
    </customSheetView>
    <customSheetView guid="{08A645C4-A23F-4400-B0CE-1685BC312A6F}" state="hidden">
      <selection activeCell="I3" sqref="I3"/>
      <colBreaks count="1" manualBreakCount="1">
        <brk id="7" max="1048575" man="1"/>
      </colBreaks>
      <pageMargins left="0.51181102362204722" right="0.26" top="0.54" bottom="0.61" header="0.25" footer="0.43"/>
      <printOptions horizontalCentered="1"/>
      <pageSetup paperSize="9" orientation="portrait" horizontalDpi="300" verticalDpi="300" r:id="rId8"/>
      <headerFooter alignWithMargins="0">
        <oddFooter>&amp;R&amp;"Book Antiqua,Bold"&amp;10Schedule-2/ Page &amp;P of &amp;N</oddFooter>
      </headerFooter>
    </customSheetView>
  </customSheetViews>
  <mergeCells count="7">
    <mergeCell ref="B24:G24"/>
    <mergeCell ref="A3:G3"/>
    <mergeCell ref="A4:G4"/>
    <mergeCell ref="B8:E8"/>
    <mergeCell ref="B9:E9"/>
    <mergeCell ref="B10:E10"/>
    <mergeCell ref="B11:E11"/>
  </mergeCells>
  <phoneticPr fontId="30" type="noConversion"/>
  <printOptions horizontalCentered="1"/>
  <pageMargins left="0.51181102362204722" right="0.26" top="0.54" bottom="0.61" header="0.25" footer="0.43"/>
  <pageSetup paperSize="9" orientation="portrait" horizontalDpi="300" verticalDpi="300" r:id="rId9"/>
  <headerFooter alignWithMargins="0">
    <oddFooter>&amp;R&amp;"Book Antiqua,Bold"&amp;10Schedule-2/ Page &amp;P of &amp;N</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10"/>
  </sheetPr>
  <dimension ref="A1:V81"/>
  <sheetViews>
    <sheetView view="pageBreakPreview" topLeftCell="A19" zoomScale="90" zoomScaleNormal="85" zoomScaleSheetLayoutView="90" workbookViewId="0">
      <selection activeCell="G19" sqref="G19"/>
    </sheetView>
  </sheetViews>
  <sheetFormatPr defaultRowHeight="18.75"/>
  <cols>
    <col min="1" max="1" width="11.75" style="526" customWidth="1"/>
    <col min="2" max="2" width="15.125" style="494" hidden="1" customWidth="1"/>
    <col min="3" max="3" width="57.125" style="494" customWidth="1"/>
    <col min="4" max="4" width="13.5" style="520" customWidth="1"/>
    <col min="5" max="5" width="11" style="520" customWidth="1"/>
    <col min="6" max="6" width="18.25" style="495" customWidth="1"/>
    <col min="7" max="7" width="18.375" style="495" customWidth="1"/>
    <col min="8" max="8" width="12.75" style="495" customWidth="1"/>
    <col min="9" max="9" width="18.375" style="495" customWidth="1"/>
    <col min="10" max="10" width="18.125" style="494" customWidth="1"/>
    <col min="11" max="11" width="22.5" style="494" customWidth="1"/>
    <col min="12" max="12" width="25.125" style="494" customWidth="1"/>
    <col min="13" max="13" width="10.5" style="484" bestFit="1" customWidth="1"/>
    <col min="14" max="16" width="9" style="484"/>
    <col min="17" max="17" width="9" style="489"/>
    <col min="18" max="19" width="17.625" style="489" customWidth="1"/>
    <col min="20" max="22" width="9" style="489"/>
    <col min="23" max="16384" width="9" style="484"/>
  </cols>
  <sheetData>
    <row r="1" spans="1:19" ht="18" customHeight="1">
      <c r="A1" s="485" t="str">
        <f>Cover!B3</f>
        <v>Specification No.: ODP/BB/C&amp;M-4155/OT-02/RFx No. 5002004411/25-26</v>
      </c>
      <c r="B1" s="485"/>
      <c r="C1" s="485"/>
      <c r="D1" s="519"/>
      <c r="E1" s="519"/>
      <c r="F1" s="486"/>
      <c r="G1" s="486"/>
      <c r="H1" s="486"/>
      <c r="I1" s="486"/>
      <c r="J1" s="487"/>
      <c r="K1" s="487"/>
      <c r="L1" s="488" t="s">
        <v>252</v>
      </c>
    </row>
    <row r="2" spans="1:19" ht="18" customHeight="1">
      <c r="A2" s="516"/>
      <c r="B2" s="490"/>
      <c r="C2" s="490"/>
      <c r="D2" s="517"/>
      <c r="E2" s="517"/>
      <c r="F2" s="491"/>
      <c r="G2" s="491"/>
      <c r="H2" s="491"/>
      <c r="I2" s="491"/>
      <c r="J2" s="484"/>
      <c r="K2" s="484"/>
      <c r="L2" s="484"/>
    </row>
    <row r="3" spans="1:19" ht="54" customHeight="1">
      <c r="A3" s="744" t="str">
        <f>Cover!$B$2</f>
        <v xml:space="preserve">Diversion of 220kV Budhipadar-Korba S/C line #3 &amp; 765kV Angul-Sundargarh S/C line # 1 due to NH 49 Jharsuguda bypass Road diversion work (Deposit work On Behalf of NHAI).
</v>
      </c>
      <c r="B3" s="744"/>
      <c r="C3" s="744"/>
      <c r="D3" s="744"/>
      <c r="E3" s="744"/>
      <c r="F3" s="744"/>
      <c r="G3" s="744"/>
      <c r="H3" s="744"/>
      <c r="I3" s="744"/>
      <c r="J3" s="744"/>
      <c r="K3" s="744"/>
      <c r="L3" s="744"/>
      <c r="Q3" s="492" t="s">
        <v>179</v>
      </c>
      <c r="S3" s="493"/>
    </row>
    <row r="4" spans="1:19" ht="21.95" customHeight="1">
      <c r="A4" s="745" t="s">
        <v>608</v>
      </c>
      <c r="B4" s="745"/>
      <c r="C4" s="745"/>
      <c r="D4" s="745"/>
      <c r="E4" s="745"/>
      <c r="F4" s="745"/>
      <c r="G4" s="745"/>
      <c r="H4" s="745"/>
      <c r="I4" s="745"/>
      <c r="J4" s="745"/>
      <c r="K4" s="745"/>
      <c r="L4" s="745"/>
      <c r="Q4" s="492" t="s">
        <v>180</v>
      </c>
      <c r="S4" s="493"/>
    </row>
    <row r="5" spans="1:19" ht="18" customHeight="1">
      <c r="Q5" s="492" t="s">
        <v>184</v>
      </c>
      <c r="S5" s="493"/>
    </row>
    <row r="6" spans="1:19" ht="18" customHeight="1">
      <c r="A6" s="496" t="str">
        <f>'Sch-1'!A6</f>
        <v>Bidder’s Name and Address</v>
      </c>
      <c r="B6" s="496"/>
      <c r="C6" s="496"/>
      <c r="D6" s="521"/>
      <c r="E6" s="521"/>
      <c r="F6" s="497"/>
      <c r="G6" s="497"/>
      <c r="H6" s="497"/>
      <c r="I6" s="497"/>
      <c r="J6" s="484" t="s">
        <v>216</v>
      </c>
      <c r="K6" s="484"/>
      <c r="L6" s="484"/>
      <c r="Q6" s="492" t="s">
        <v>185</v>
      </c>
      <c r="S6" s="493"/>
    </row>
    <row r="7" spans="1:19" ht="18" customHeight="1">
      <c r="A7" s="498" t="str">
        <f>'Sch-1'!A7</f>
        <v xml:space="preserve">Bidder as </v>
      </c>
      <c r="B7" s="498"/>
      <c r="C7" s="498"/>
      <c r="D7" s="522"/>
      <c r="E7" s="522"/>
      <c r="J7" s="499" t="s">
        <v>515</v>
      </c>
      <c r="K7" s="499"/>
      <c r="L7" s="484"/>
      <c r="M7" s="497"/>
      <c r="Q7" s="492" t="s">
        <v>181</v>
      </c>
      <c r="S7" s="493"/>
    </row>
    <row r="8" spans="1:19">
      <c r="A8" s="496" t="s">
        <v>499</v>
      </c>
      <c r="B8" s="496"/>
      <c r="C8" s="634" t="str">
        <f>IF('Sch-1'!C8=0, "", 'Sch-1'!C8)</f>
        <v/>
      </c>
      <c r="D8" s="521"/>
      <c r="E8" s="521"/>
      <c r="F8" s="634" t="str">
        <f>IF('Sch-1'!G8=0, "", 'Sch-1'!G8)</f>
        <v/>
      </c>
      <c r="G8" s="634"/>
      <c r="H8" s="634"/>
      <c r="I8" s="634"/>
      <c r="J8" s="499" t="s">
        <v>407</v>
      </c>
      <c r="K8" s="499"/>
      <c r="L8" s="484"/>
      <c r="M8" s="497"/>
      <c r="Q8" s="492" t="s">
        <v>182</v>
      </c>
      <c r="S8" s="493"/>
    </row>
    <row r="9" spans="1:19">
      <c r="A9" s="496" t="s">
        <v>235</v>
      </c>
      <c r="B9" s="496"/>
      <c r="C9" s="634" t="str">
        <f>IF('Sch-1'!C9=0, "", 'Sch-1'!C9)</f>
        <v/>
      </c>
      <c r="D9" s="521"/>
      <c r="E9" s="521"/>
      <c r="F9" s="743" t="str">
        <f>IF('Sch-1'!G9=0, "", 'Sch-1'!G9)</f>
        <v/>
      </c>
      <c r="G9" s="743"/>
      <c r="H9" s="743"/>
      <c r="I9" s="743"/>
      <c r="J9" s="499" t="s">
        <v>451</v>
      </c>
      <c r="K9" s="499"/>
      <c r="L9" s="484"/>
      <c r="M9" s="497"/>
      <c r="Q9" s="492" t="s">
        <v>183</v>
      </c>
      <c r="S9" s="493"/>
    </row>
    <row r="10" spans="1:19">
      <c r="A10" s="496"/>
      <c r="B10" s="497"/>
      <c r="C10" s="634" t="str">
        <f>IF('Sch-1'!C10=0, "", 'Sch-1'!C10)</f>
        <v/>
      </c>
      <c r="D10" s="523"/>
      <c r="E10" s="523"/>
      <c r="F10" s="743" t="str">
        <f>IF('Sch-1'!G10=0, "", 'Sch-1'!G10)</f>
        <v/>
      </c>
      <c r="G10" s="743"/>
      <c r="H10" s="743"/>
      <c r="I10" s="743"/>
      <c r="J10" s="499" t="s">
        <v>452</v>
      </c>
      <c r="K10" s="499"/>
      <c r="L10" s="484"/>
      <c r="M10" s="497"/>
    </row>
    <row r="11" spans="1:19">
      <c r="A11" s="496"/>
      <c r="B11" s="497"/>
      <c r="C11" s="634" t="str">
        <f>IF('Sch-1'!C11=0, "", 'Sch-1'!C11)</f>
        <v/>
      </c>
      <c r="D11" s="523"/>
      <c r="E11" s="523"/>
      <c r="F11" s="743" t="str">
        <f>IF('Sch-1'!G11=0, "", 'Sch-1'!G11)</f>
        <v/>
      </c>
      <c r="G11" s="743"/>
      <c r="H11" s="743"/>
      <c r="I11" s="743"/>
      <c r="J11" s="499" t="s">
        <v>453</v>
      </c>
      <c r="K11" s="499"/>
      <c r="L11" s="484"/>
      <c r="M11" s="497"/>
    </row>
    <row r="12" spans="1:19" ht="18" customHeight="1">
      <c r="A12" s="496"/>
      <c r="B12" s="497"/>
      <c r="C12" s="497"/>
      <c r="D12" s="523"/>
      <c r="E12" s="523"/>
      <c r="F12" s="496"/>
      <c r="G12" s="496"/>
      <c r="H12" s="496"/>
      <c r="I12" s="496"/>
      <c r="J12" s="497"/>
      <c r="K12" s="497"/>
      <c r="L12" s="484"/>
    </row>
    <row r="13" spans="1:19" ht="18" customHeight="1">
      <c r="A13" s="527"/>
      <c r="B13" s="500"/>
      <c r="C13" s="500"/>
      <c r="D13" s="524"/>
      <c r="E13" s="524"/>
      <c r="F13" s="500"/>
      <c r="G13" s="500"/>
      <c r="H13" s="500"/>
      <c r="I13" s="500"/>
      <c r="J13" s="500"/>
      <c r="K13" s="500"/>
      <c r="L13" s="500"/>
    </row>
    <row r="14" spans="1:19" ht="18.600000000000001" customHeight="1">
      <c r="A14" s="496"/>
      <c r="B14" s="497"/>
      <c r="C14" s="497"/>
      <c r="D14" s="523"/>
      <c r="E14" s="523"/>
      <c r="F14" s="496"/>
      <c r="G14" s="496"/>
      <c r="H14" s="496"/>
      <c r="I14" s="496"/>
      <c r="J14" s="496"/>
      <c r="K14" s="496"/>
      <c r="L14" s="488" t="s">
        <v>463</v>
      </c>
    </row>
    <row r="15" spans="1:19" ht="204" customHeight="1">
      <c r="A15" s="501" t="s">
        <v>191</v>
      </c>
      <c r="B15" s="501" t="s">
        <v>495</v>
      </c>
      <c r="C15" s="501" t="s">
        <v>215</v>
      </c>
      <c r="D15" s="502" t="s">
        <v>189</v>
      </c>
      <c r="E15" s="502" t="s">
        <v>192</v>
      </c>
      <c r="F15" s="501" t="s">
        <v>467</v>
      </c>
      <c r="G15" s="501" t="s">
        <v>492</v>
      </c>
      <c r="H15" s="501" t="s">
        <v>464</v>
      </c>
      <c r="I15" s="501" t="s">
        <v>491</v>
      </c>
      <c r="J15" s="501" t="s">
        <v>609</v>
      </c>
      <c r="K15" s="503" t="s">
        <v>483</v>
      </c>
      <c r="L15" s="501" t="s">
        <v>610</v>
      </c>
      <c r="R15" s="504" t="s">
        <v>196</v>
      </c>
      <c r="S15" s="504" t="s">
        <v>233</v>
      </c>
    </row>
    <row r="16" spans="1:19">
      <c r="A16" s="502">
        <v>1</v>
      </c>
      <c r="B16" s="502">
        <v>2</v>
      </c>
      <c r="C16" s="502">
        <v>2</v>
      </c>
      <c r="D16" s="502">
        <v>3</v>
      </c>
      <c r="E16" s="502">
        <v>4</v>
      </c>
      <c r="F16" s="502">
        <v>5</v>
      </c>
      <c r="G16" s="502">
        <v>6</v>
      </c>
      <c r="H16" s="502">
        <v>7</v>
      </c>
      <c r="I16" s="502">
        <v>8</v>
      </c>
      <c r="J16" s="502">
        <v>9</v>
      </c>
      <c r="K16" s="502">
        <v>10</v>
      </c>
      <c r="L16" s="502">
        <v>11</v>
      </c>
      <c r="R16" s="505">
        <v>5</v>
      </c>
      <c r="S16" s="505" t="s">
        <v>225</v>
      </c>
    </row>
    <row r="17" spans="1:22" s="642" customFormat="1" ht="29.25" customHeight="1">
      <c r="A17" s="749" t="s">
        <v>611</v>
      </c>
      <c r="B17" s="750"/>
      <c r="C17" s="750"/>
      <c r="D17" s="750"/>
      <c r="E17" s="750"/>
      <c r="F17" s="750"/>
      <c r="G17" s="750"/>
      <c r="H17" s="750"/>
      <c r="I17" s="750"/>
      <c r="J17" s="750"/>
      <c r="K17" s="750"/>
      <c r="L17" s="751"/>
      <c r="M17" s="641"/>
      <c r="Q17" s="190"/>
      <c r="R17" s="184"/>
      <c r="S17" s="184"/>
      <c r="T17" s="190"/>
      <c r="U17" s="190"/>
      <c r="V17" s="190"/>
    </row>
    <row r="18" spans="1:22" s="642" customFormat="1">
      <c r="A18" s="639">
        <v>1</v>
      </c>
      <c r="B18" s="506"/>
      <c r="C18" s="655" t="s">
        <v>582</v>
      </c>
      <c r="D18" s="548"/>
      <c r="E18" s="99"/>
      <c r="F18" s="529"/>
      <c r="G18" s="529"/>
      <c r="H18" s="529"/>
      <c r="I18" s="529"/>
      <c r="J18" s="254"/>
      <c r="K18" s="254"/>
      <c r="L18" s="254"/>
      <c r="M18" s="641"/>
      <c r="Q18" s="190"/>
      <c r="R18" s="184"/>
      <c r="S18" s="184"/>
      <c r="T18" s="190"/>
      <c r="U18" s="190"/>
      <c r="V18" s="190"/>
    </row>
    <row r="19" spans="1:22" s="642" customFormat="1">
      <c r="A19" s="639" t="s">
        <v>367</v>
      </c>
      <c r="B19" s="506"/>
      <c r="C19" s="656" t="s">
        <v>613</v>
      </c>
      <c r="D19" s="640" t="s">
        <v>565</v>
      </c>
      <c r="E19" s="637">
        <v>0.80900000000000005</v>
      </c>
      <c r="F19" s="632">
        <v>998344</v>
      </c>
      <c r="G19" s="530" t="s">
        <v>475</v>
      </c>
      <c r="H19" s="549">
        <v>18</v>
      </c>
      <c r="I19" s="530" t="s">
        <v>475</v>
      </c>
      <c r="J19" s="652"/>
      <c r="K19" s="653">
        <f>IF( OR( I19="",I19="Confirmed"), H19*L19%, I19*L19%)</f>
        <v>1.8000000000000002E-3</v>
      </c>
      <c r="L19" s="654" t="str">
        <f>IF(J19=0,"0.01",J19*E19)</f>
        <v>0.01</v>
      </c>
      <c r="M19" s="641"/>
      <c r="Q19" s="190"/>
      <c r="R19" s="184"/>
      <c r="S19" s="184"/>
      <c r="T19" s="190"/>
      <c r="U19" s="190"/>
      <c r="V19" s="190"/>
    </row>
    <row r="20" spans="1:22" s="642" customFormat="1" ht="93.75">
      <c r="A20" s="639">
        <v>2</v>
      </c>
      <c r="B20" s="506"/>
      <c r="C20" s="655" t="s">
        <v>583</v>
      </c>
      <c r="D20" s="548"/>
      <c r="E20" s="99"/>
      <c r="F20" s="529"/>
      <c r="G20" s="529"/>
      <c r="H20" s="529"/>
      <c r="I20" s="529"/>
      <c r="J20" s="254"/>
      <c r="K20" s="254"/>
      <c r="L20" s="254"/>
      <c r="M20" s="641"/>
      <c r="Q20" s="190"/>
      <c r="R20" s="184"/>
      <c r="S20" s="184"/>
      <c r="T20" s="190"/>
      <c r="U20" s="190"/>
      <c r="V20" s="190"/>
    </row>
    <row r="21" spans="1:22" s="642" customFormat="1">
      <c r="A21" s="639" t="s">
        <v>367</v>
      </c>
      <c r="B21" s="506"/>
      <c r="C21" s="656" t="s">
        <v>604</v>
      </c>
      <c r="D21" s="640" t="s">
        <v>514</v>
      </c>
      <c r="E21" s="637">
        <v>73.587999999999994</v>
      </c>
      <c r="F21" s="632">
        <v>995455</v>
      </c>
      <c r="G21" s="530" t="s">
        <v>475</v>
      </c>
      <c r="H21" s="549">
        <v>18</v>
      </c>
      <c r="I21" s="530" t="s">
        <v>475</v>
      </c>
      <c r="J21" s="652"/>
      <c r="K21" s="653">
        <f t="shared" ref="K21:K44" si="0">IF( OR( I21="",I21="Confirmed"), H21*L21%, I21*L21%)</f>
        <v>1.8000000000000002E-3</v>
      </c>
      <c r="L21" s="654" t="str">
        <f t="shared" ref="L21:L44" si="1">IF(J21=0,"0.01",J21*E21)</f>
        <v>0.01</v>
      </c>
      <c r="M21" s="641"/>
      <c r="Q21" s="190"/>
      <c r="R21" s="184"/>
      <c r="S21" s="184"/>
      <c r="T21" s="190"/>
      <c r="U21" s="190"/>
      <c r="V21" s="190"/>
    </row>
    <row r="22" spans="1:22" s="642" customFormat="1" ht="37.5">
      <c r="A22" s="639">
        <v>3</v>
      </c>
      <c r="B22" s="506"/>
      <c r="C22" s="655" t="s">
        <v>520</v>
      </c>
      <c r="D22" s="548"/>
      <c r="E22" s="99"/>
      <c r="F22" s="529"/>
      <c r="G22" s="529"/>
      <c r="H22" s="529"/>
      <c r="I22" s="529"/>
      <c r="J22" s="254"/>
      <c r="K22" s="254"/>
      <c r="L22" s="254"/>
      <c r="M22" s="641"/>
      <c r="Q22" s="190"/>
      <c r="R22" s="184"/>
      <c r="S22" s="184"/>
      <c r="T22" s="190"/>
      <c r="U22" s="190"/>
      <c r="V22" s="190"/>
    </row>
    <row r="23" spans="1:22" s="642" customFormat="1">
      <c r="A23" s="639">
        <v>3.1</v>
      </c>
      <c r="B23" s="506"/>
      <c r="C23" s="655" t="s">
        <v>585</v>
      </c>
      <c r="D23" s="548"/>
      <c r="E23" s="99"/>
      <c r="F23" s="529"/>
      <c r="G23" s="529"/>
      <c r="H23" s="529"/>
      <c r="I23" s="529"/>
      <c r="J23" s="254"/>
      <c r="K23" s="254"/>
      <c r="L23" s="254"/>
      <c r="M23" s="641"/>
      <c r="Q23" s="190"/>
      <c r="R23" s="184"/>
      <c r="S23" s="184"/>
      <c r="T23" s="190"/>
      <c r="U23" s="190"/>
      <c r="V23" s="190"/>
    </row>
    <row r="24" spans="1:22" s="642" customFormat="1">
      <c r="A24" s="639" t="s">
        <v>367</v>
      </c>
      <c r="B24" s="506"/>
      <c r="C24" s="656" t="s">
        <v>521</v>
      </c>
      <c r="D24" s="640" t="s">
        <v>603</v>
      </c>
      <c r="E24" s="637">
        <v>403.44</v>
      </c>
      <c r="F24" s="632">
        <v>995433</v>
      </c>
      <c r="G24" s="530" t="s">
        <v>475</v>
      </c>
      <c r="H24" s="549">
        <v>18</v>
      </c>
      <c r="I24" s="530" t="s">
        <v>475</v>
      </c>
      <c r="J24" s="652"/>
      <c r="K24" s="653">
        <f t="shared" si="0"/>
        <v>1.8000000000000002E-3</v>
      </c>
      <c r="L24" s="654" t="str">
        <f t="shared" si="1"/>
        <v>0.01</v>
      </c>
      <c r="M24" s="641"/>
      <c r="Q24" s="190"/>
      <c r="R24" s="184"/>
      <c r="S24" s="184"/>
      <c r="T24" s="190"/>
      <c r="U24" s="190"/>
      <c r="V24" s="190"/>
    </row>
    <row r="25" spans="1:22" s="642" customFormat="1">
      <c r="A25" s="639" t="s">
        <v>602</v>
      </c>
      <c r="B25" s="506"/>
      <c r="C25" s="656" t="s">
        <v>522</v>
      </c>
      <c r="D25" s="640" t="s">
        <v>603</v>
      </c>
      <c r="E25" s="637">
        <v>1210.32</v>
      </c>
      <c r="F25" s="632">
        <v>995433</v>
      </c>
      <c r="G25" s="530" t="s">
        <v>475</v>
      </c>
      <c r="H25" s="549">
        <v>18</v>
      </c>
      <c r="I25" s="530" t="s">
        <v>475</v>
      </c>
      <c r="J25" s="652"/>
      <c r="K25" s="653">
        <f t="shared" si="0"/>
        <v>1.8000000000000002E-3</v>
      </c>
      <c r="L25" s="654" t="str">
        <f t="shared" si="1"/>
        <v>0.01</v>
      </c>
      <c r="M25" s="641"/>
      <c r="Q25" s="190"/>
      <c r="R25" s="184"/>
      <c r="S25" s="184"/>
      <c r="T25" s="190"/>
      <c r="U25" s="190"/>
      <c r="V25" s="190"/>
    </row>
    <row r="26" spans="1:22" s="642" customFormat="1" ht="75">
      <c r="A26" s="639">
        <v>3.2</v>
      </c>
      <c r="B26" s="506"/>
      <c r="C26" s="655" t="s">
        <v>586</v>
      </c>
      <c r="D26" s="548"/>
      <c r="E26" s="99"/>
      <c r="F26" s="529"/>
      <c r="G26" s="529"/>
      <c r="H26" s="529"/>
      <c r="I26" s="529"/>
      <c r="J26" s="254"/>
      <c r="K26" s="254"/>
      <c r="L26" s="254"/>
      <c r="M26" s="641"/>
      <c r="Q26" s="190"/>
      <c r="R26" s="184"/>
      <c r="S26" s="184"/>
      <c r="T26" s="190"/>
      <c r="U26" s="190"/>
      <c r="V26" s="190"/>
    </row>
    <row r="27" spans="1:22" s="642" customFormat="1">
      <c r="A27" s="639" t="s">
        <v>367</v>
      </c>
      <c r="B27" s="506"/>
      <c r="C27" s="656" t="s">
        <v>587</v>
      </c>
      <c r="D27" s="640" t="s">
        <v>603</v>
      </c>
      <c r="E27" s="637">
        <v>270.38</v>
      </c>
      <c r="F27" s="632">
        <v>995454</v>
      </c>
      <c r="G27" s="530" t="s">
        <v>475</v>
      </c>
      <c r="H27" s="549">
        <v>18</v>
      </c>
      <c r="I27" s="530" t="s">
        <v>475</v>
      </c>
      <c r="J27" s="652"/>
      <c r="K27" s="653">
        <f t="shared" si="0"/>
        <v>1.8000000000000002E-3</v>
      </c>
      <c r="L27" s="654" t="str">
        <f t="shared" si="1"/>
        <v>0.01</v>
      </c>
      <c r="M27" s="641"/>
      <c r="Q27" s="190"/>
      <c r="R27" s="184"/>
      <c r="S27" s="184"/>
      <c r="T27" s="190"/>
      <c r="U27" s="190"/>
      <c r="V27" s="190"/>
    </row>
    <row r="28" spans="1:22" s="642" customFormat="1">
      <c r="A28" s="639" t="s">
        <v>370</v>
      </c>
      <c r="B28" s="506"/>
      <c r="C28" s="656" t="s">
        <v>588</v>
      </c>
      <c r="D28" s="640" t="s">
        <v>603</v>
      </c>
      <c r="E28" s="637">
        <v>24.96</v>
      </c>
      <c r="F28" s="632">
        <v>995454</v>
      </c>
      <c r="G28" s="530" t="s">
        <v>475</v>
      </c>
      <c r="H28" s="549">
        <v>18</v>
      </c>
      <c r="I28" s="530" t="s">
        <v>475</v>
      </c>
      <c r="J28" s="652"/>
      <c r="K28" s="653">
        <f t="shared" si="0"/>
        <v>1.8000000000000002E-3</v>
      </c>
      <c r="L28" s="654" t="str">
        <f t="shared" si="1"/>
        <v>0.01</v>
      </c>
      <c r="M28" s="641"/>
      <c r="Q28" s="190"/>
      <c r="R28" s="184"/>
      <c r="S28" s="184"/>
      <c r="T28" s="190"/>
      <c r="U28" s="190"/>
      <c r="V28" s="190"/>
    </row>
    <row r="29" spans="1:22" s="642" customFormat="1" ht="37.5">
      <c r="A29" s="639">
        <v>3.3</v>
      </c>
      <c r="B29" s="506"/>
      <c r="C29" s="655" t="s">
        <v>589</v>
      </c>
      <c r="D29" s="640" t="s">
        <v>514</v>
      </c>
      <c r="E29" s="637">
        <v>17.443000000000001</v>
      </c>
      <c r="F29" s="632">
        <v>995454</v>
      </c>
      <c r="G29" s="530" t="s">
        <v>475</v>
      </c>
      <c r="H29" s="549">
        <v>18</v>
      </c>
      <c r="I29" s="530" t="s">
        <v>475</v>
      </c>
      <c r="J29" s="652"/>
      <c r="K29" s="653">
        <f t="shared" si="0"/>
        <v>1.8000000000000002E-3</v>
      </c>
      <c r="L29" s="654" t="str">
        <f t="shared" si="1"/>
        <v>0.01</v>
      </c>
      <c r="M29" s="641"/>
      <c r="Q29" s="190"/>
      <c r="R29" s="184"/>
      <c r="S29" s="184"/>
      <c r="T29" s="190"/>
      <c r="U29" s="190"/>
      <c r="V29" s="190"/>
    </row>
    <row r="30" spans="1:22" s="642" customFormat="1">
      <c r="A30" s="639">
        <v>4</v>
      </c>
      <c r="B30" s="506"/>
      <c r="C30" s="655" t="s">
        <v>590</v>
      </c>
      <c r="D30" s="640" t="s">
        <v>514</v>
      </c>
      <c r="E30" s="637">
        <v>3.3929999999999998</v>
      </c>
      <c r="F30" s="632">
        <v>995455</v>
      </c>
      <c r="G30" s="530" t="s">
        <v>475</v>
      </c>
      <c r="H30" s="549">
        <v>18</v>
      </c>
      <c r="I30" s="530" t="s">
        <v>475</v>
      </c>
      <c r="J30" s="652"/>
      <c r="K30" s="653">
        <f t="shared" si="0"/>
        <v>1.8000000000000002E-3</v>
      </c>
      <c r="L30" s="654" t="str">
        <f t="shared" si="1"/>
        <v>0.01</v>
      </c>
      <c r="M30" s="641"/>
      <c r="Q30" s="190"/>
      <c r="R30" s="184"/>
      <c r="S30" s="184"/>
      <c r="T30" s="190"/>
      <c r="U30" s="190"/>
      <c r="V30" s="190"/>
    </row>
    <row r="31" spans="1:22" s="642" customFormat="1" ht="37.5">
      <c r="A31" s="639">
        <v>5</v>
      </c>
      <c r="B31" s="506"/>
      <c r="C31" s="655" t="s">
        <v>591</v>
      </c>
      <c r="D31" s="548"/>
      <c r="E31" s="99"/>
      <c r="F31" s="529"/>
      <c r="G31" s="529"/>
      <c r="H31" s="529"/>
      <c r="I31" s="529"/>
      <c r="J31" s="254"/>
      <c r="K31" s="254"/>
      <c r="L31" s="254"/>
      <c r="M31" s="641"/>
      <c r="Q31" s="190"/>
      <c r="R31" s="184"/>
      <c r="S31" s="184"/>
      <c r="T31" s="190"/>
      <c r="U31" s="190"/>
      <c r="V31" s="190"/>
    </row>
    <row r="32" spans="1:22" s="642" customFormat="1" ht="75">
      <c r="A32" s="639" t="s">
        <v>367</v>
      </c>
      <c r="B32" s="506"/>
      <c r="C32" s="667" t="s">
        <v>592</v>
      </c>
      <c r="D32" s="640" t="s">
        <v>519</v>
      </c>
      <c r="E32" s="637">
        <v>2</v>
      </c>
      <c r="F32" s="632">
        <v>995468</v>
      </c>
      <c r="G32" s="530" t="s">
        <v>475</v>
      </c>
      <c r="H32" s="549">
        <v>18</v>
      </c>
      <c r="I32" s="530" t="s">
        <v>475</v>
      </c>
      <c r="J32" s="652"/>
      <c r="K32" s="653">
        <f t="shared" si="0"/>
        <v>1.8000000000000002E-3</v>
      </c>
      <c r="L32" s="654" t="str">
        <f t="shared" si="1"/>
        <v>0.01</v>
      </c>
      <c r="M32" s="641"/>
      <c r="Q32" s="190"/>
      <c r="R32" s="184"/>
      <c r="S32" s="184"/>
      <c r="T32" s="190"/>
      <c r="U32" s="190"/>
      <c r="V32" s="190"/>
    </row>
    <row r="33" spans="1:22" s="642" customFormat="1">
      <c r="A33" s="639">
        <v>6</v>
      </c>
      <c r="B33" s="506"/>
      <c r="C33" s="655" t="s">
        <v>593</v>
      </c>
      <c r="D33" s="548"/>
      <c r="E33" s="99"/>
      <c r="F33" s="529"/>
      <c r="G33" s="529"/>
      <c r="H33" s="529"/>
      <c r="I33" s="529"/>
      <c r="J33" s="254"/>
      <c r="K33" s="254"/>
      <c r="L33" s="254"/>
      <c r="M33" s="641"/>
      <c r="Q33" s="190"/>
      <c r="R33" s="184"/>
      <c r="S33" s="184"/>
      <c r="T33" s="190"/>
      <c r="U33" s="190"/>
      <c r="V33" s="190"/>
    </row>
    <row r="34" spans="1:22" s="642" customFormat="1">
      <c r="A34" s="639" t="s">
        <v>367</v>
      </c>
      <c r="B34" s="506"/>
      <c r="C34" s="656" t="s">
        <v>535</v>
      </c>
      <c r="D34" s="640" t="s">
        <v>563</v>
      </c>
      <c r="E34" s="637">
        <v>2</v>
      </c>
      <c r="F34" s="632">
        <v>995444</v>
      </c>
      <c r="G34" s="530" t="s">
        <v>475</v>
      </c>
      <c r="H34" s="549">
        <v>18</v>
      </c>
      <c r="I34" s="530" t="s">
        <v>475</v>
      </c>
      <c r="J34" s="652"/>
      <c r="K34" s="653">
        <f t="shared" si="0"/>
        <v>1.8000000000000002E-3</v>
      </c>
      <c r="L34" s="654" t="str">
        <f t="shared" si="1"/>
        <v>0.01</v>
      </c>
      <c r="M34" s="641"/>
      <c r="Q34" s="190"/>
      <c r="R34" s="184"/>
      <c r="S34" s="184"/>
      <c r="T34" s="190"/>
      <c r="U34" s="190"/>
      <c r="V34" s="190"/>
    </row>
    <row r="35" spans="1:22" s="642" customFormat="1">
      <c r="A35" s="639" t="s">
        <v>370</v>
      </c>
      <c r="B35" s="506"/>
      <c r="C35" s="656" t="s">
        <v>536</v>
      </c>
      <c r="D35" s="640" t="s">
        <v>563</v>
      </c>
      <c r="E35" s="637">
        <v>2</v>
      </c>
      <c r="F35" s="632">
        <v>995444</v>
      </c>
      <c r="G35" s="530" t="s">
        <v>475</v>
      </c>
      <c r="H35" s="549">
        <v>18</v>
      </c>
      <c r="I35" s="530" t="s">
        <v>475</v>
      </c>
      <c r="J35" s="652"/>
      <c r="K35" s="653">
        <f t="shared" si="0"/>
        <v>1.8000000000000002E-3</v>
      </c>
      <c r="L35" s="654" t="str">
        <f t="shared" si="1"/>
        <v>0.01</v>
      </c>
      <c r="M35" s="641"/>
      <c r="Q35" s="190"/>
      <c r="R35" s="184"/>
      <c r="S35" s="184"/>
      <c r="T35" s="190"/>
      <c r="U35" s="190"/>
      <c r="V35" s="190"/>
    </row>
    <row r="36" spans="1:22" s="642" customFormat="1">
      <c r="A36" s="639" t="s">
        <v>372</v>
      </c>
      <c r="B36" s="506"/>
      <c r="C36" s="656" t="s">
        <v>594</v>
      </c>
      <c r="D36" s="640" t="s">
        <v>519</v>
      </c>
      <c r="E36" s="637">
        <v>2</v>
      </c>
      <c r="F36" s="632">
        <v>995444</v>
      </c>
      <c r="G36" s="530" t="s">
        <v>475</v>
      </c>
      <c r="H36" s="549">
        <v>18</v>
      </c>
      <c r="I36" s="530" t="s">
        <v>475</v>
      </c>
      <c r="J36" s="652"/>
      <c r="K36" s="653">
        <f t="shared" si="0"/>
        <v>1.8000000000000002E-3</v>
      </c>
      <c r="L36" s="654" t="str">
        <f t="shared" si="1"/>
        <v>0.01</v>
      </c>
      <c r="M36" s="641"/>
      <c r="Q36" s="190"/>
      <c r="R36" s="184"/>
      <c r="S36" s="184"/>
      <c r="T36" s="190"/>
      <c r="U36" s="190"/>
      <c r="V36" s="190"/>
    </row>
    <row r="37" spans="1:22" s="642" customFormat="1">
      <c r="A37" s="639" t="s">
        <v>373</v>
      </c>
      <c r="B37" s="506"/>
      <c r="C37" s="656" t="s">
        <v>595</v>
      </c>
      <c r="D37" s="640" t="s">
        <v>563</v>
      </c>
      <c r="E37" s="637">
        <v>1</v>
      </c>
      <c r="F37" s="632">
        <v>995444</v>
      </c>
      <c r="G37" s="530" t="s">
        <v>475</v>
      </c>
      <c r="H37" s="549">
        <v>18</v>
      </c>
      <c r="I37" s="530" t="s">
        <v>475</v>
      </c>
      <c r="J37" s="652"/>
      <c r="K37" s="653">
        <f t="shared" si="0"/>
        <v>1.8000000000000002E-3</v>
      </c>
      <c r="L37" s="654" t="str">
        <f t="shared" si="1"/>
        <v>0.01</v>
      </c>
      <c r="M37" s="641"/>
      <c r="Q37" s="190"/>
      <c r="R37" s="184"/>
      <c r="S37" s="184"/>
      <c r="T37" s="190"/>
      <c r="U37" s="190"/>
      <c r="V37" s="190"/>
    </row>
    <row r="38" spans="1:22" s="642" customFormat="1">
      <c r="A38" s="639" t="s">
        <v>375</v>
      </c>
      <c r="B38" s="506"/>
      <c r="C38" s="656" t="s">
        <v>596</v>
      </c>
      <c r="D38" s="640" t="s">
        <v>519</v>
      </c>
      <c r="E38" s="637">
        <v>2</v>
      </c>
      <c r="F38" s="632">
        <v>995444</v>
      </c>
      <c r="G38" s="530" t="s">
        <v>475</v>
      </c>
      <c r="H38" s="549">
        <v>18</v>
      </c>
      <c r="I38" s="530" t="s">
        <v>475</v>
      </c>
      <c r="J38" s="652"/>
      <c r="K38" s="653">
        <f t="shared" si="0"/>
        <v>1.8000000000000002E-3</v>
      </c>
      <c r="L38" s="654" t="str">
        <f t="shared" si="1"/>
        <v>0.01</v>
      </c>
      <c r="M38" s="641"/>
      <c r="Q38" s="190"/>
      <c r="R38" s="184"/>
      <c r="S38" s="184"/>
      <c r="T38" s="190"/>
      <c r="U38" s="190"/>
      <c r="V38" s="190"/>
    </row>
    <row r="39" spans="1:22" s="642" customFormat="1" ht="112.5">
      <c r="A39" s="639">
        <v>7</v>
      </c>
      <c r="B39" s="506"/>
      <c r="C39" s="655" t="s">
        <v>597</v>
      </c>
      <c r="D39" s="548"/>
      <c r="E39" s="99"/>
      <c r="F39" s="529"/>
      <c r="G39" s="529"/>
      <c r="H39" s="529"/>
      <c r="I39" s="529"/>
      <c r="J39" s="254"/>
      <c r="K39" s="254"/>
      <c r="L39" s="254"/>
      <c r="M39" s="641"/>
      <c r="Q39" s="190"/>
      <c r="R39" s="184"/>
      <c r="S39" s="184"/>
      <c r="T39" s="190"/>
      <c r="U39" s="190"/>
      <c r="V39" s="190"/>
    </row>
    <row r="40" spans="1:22" s="642" customFormat="1">
      <c r="A40" s="639" t="s">
        <v>367</v>
      </c>
      <c r="B40" s="506"/>
      <c r="C40" s="656" t="s">
        <v>605</v>
      </c>
      <c r="D40" s="640" t="s">
        <v>565</v>
      </c>
      <c r="E40" s="637">
        <v>0.80900000000000005</v>
      </c>
      <c r="F40" s="632">
        <v>995468</v>
      </c>
      <c r="G40" s="530" t="s">
        <v>475</v>
      </c>
      <c r="H40" s="549">
        <v>18</v>
      </c>
      <c r="I40" s="530" t="s">
        <v>475</v>
      </c>
      <c r="J40" s="652"/>
      <c r="K40" s="653">
        <f t="shared" si="0"/>
        <v>1.8000000000000002E-3</v>
      </c>
      <c r="L40" s="654" t="str">
        <f t="shared" si="1"/>
        <v>0.01</v>
      </c>
      <c r="M40" s="641"/>
      <c r="Q40" s="190"/>
      <c r="R40" s="184"/>
      <c r="S40" s="184"/>
      <c r="T40" s="190"/>
      <c r="U40" s="190"/>
      <c r="V40" s="190"/>
    </row>
    <row r="41" spans="1:22" s="642" customFormat="1">
      <c r="A41" s="639">
        <v>8</v>
      </c>
      <c r="B41" s="506"/>
      <c r="C41" s="655" t="s">
        <v>599</v>
      </c>
      <c r="D41" s="548"/>
      <c r="E41" s="99"/>
      <c r="F41" s="529"/>
      <c r="G41" s="529"/>
      <c r="H41" s="529"/>
      <c r="I41" s="529"/>
      <c r="J41" s="254"/>
      <c r="K41" s="254"/>
      <c r="L41" s="254"/>
      <c r="M41" s="641"/>
      <c r="Q41" s="190"/>
      <c r="R41" s="184"/>
      <c r="S41" s="184"/>
      <c r="T41" s="190"/>
      <c r="U41" s="190"/>
      <c r="V41" s="190"/>
    </row>
    <row r="42" spans="1:22" s="642" customFormat="1" ht="112.5">
      <c r="A42" s="639" t="s">
        <v>367</v>
      </c>
      <c r="B42" s="506"/>
      <c r="C42" s="667" t="s">
        <v>600</v>
      </c>
      <c r="D42" s="640" t="s">
        <v>514</v>
      </c>
      <c r="E42" s="637">
        <v>36.793999999999997</v>
      </c>
      <c r="F42" s="632">
        <v>995468</v>
      </c>
      <c r="G42" s="530" t="s">
        <v>475</v>
      </c>
      <c r="H42" s="549">
        <v>18</v>
      </c>
      <c r="I42" s="530" t="s">
        <v>475</v>
      </c>
      <c r="J42" s="652"/>
      <c r="K42" s="653">
        <f t="shared" si="0"/>
        <v>1.8000000000000002E-3</v>
      </c>
      <c r="L42" s="654" t="str">
        <f t="shared" si="1"/>
        <v>0.01</v>
      </c>
      <c r="M42" s="641"/>
      <c r="Q42" s="190"/>
      <c r="R42" s="184"/>
      <c r="S42" s="184"/>
      <c r="T42" s="190"/>
      <c r="U42" s="190"/>
      <c r="V42" s="190"/>
    </row>
    <row r="43" spans="1:22" s="642" customFormat="1" ht="37.5">
      <c r="A43" s="639" t="s">
        <v>370</v>
      </c>
      <c r="B43" s="506"/>
      <c r="C43" s="667" t="s">
        <v>606</v>
      </c>
      <c r="D43" s="640" t="s">
        <v>565</v>
      </c>
      <c r="E43" s="637">
        <v>0.77500000000000002</v>
      </c>
      <c r="F43" s="632">
        <v>995468</v>
      </c>
      <c r="G43" s="530" t="s">
        <v>475</v>
      </c>
      <c r="H43" s="549">
        <v>18</v>
      </c>
      <c r="I43" s="530" t="s">
        <v>475</v>
      </c>
      <c r="J43" s="652"/>
      <c r="K43" s="653">
        <f t="shared" si="0"/>
        <v>1.8000000000000002E-3</v>
      </c>
      <c r="L43" s="654" t="str">
        <f t="shared" si="1"/>
        <v>0.01</v>
      </c>
      <c r="M43" s="641"/>
      <c r="Q43" s="190"/>
      <c r="R43" s="184"/>
      <c r="S43" s="184"/>
      <c r="T43" s="190"/>
      <c r="U43" s="190"/>
      <c r="V43" s="190"/>
    </row>
    <row r="44" spans="1:22" s="642" customFormat="1">
      <c r="A44" s="639">
        <v>9</v>
      </c>
      <c r="B44" s="506"/>
      <c r="C44" s="668" t="s">
        <v>614</v>
      </c>
      <c r="D44" s="640" t="s">
        <v>615</v>
      </c>
      <c r="E44" s="637">
        <v>4</v>
      </c>
      <c r="F44" s="632">
        <v>995455</v>
      </c>
      <c r="G44" s="530" t="s">
        <v>475</v>
      </c>
      <c r="H44" s="549">
        <v>18</v>
      </c>
      <c r="I44" s="530" t="s">
        <v>475</v>
      </c>
      <c r="J44" s="652"/>
      <c r="K44" s="653">
        <f t="shared" si="0"/>
        <v>1.8000000000000002E-3</v>
      </c>
      <c r="L44" s="654" t="str">
        <f t="shared" si="1"/>
        <v>0.01</v>
      </c>
      <c r="M44" s="641"/>
      <c r="Q44" s="190"/>
      <c r="R44" s="184"/>
      <c r="S44" s="184"/>
      <c r="T44" s="190"/>
      <c r="U44" s="190"/>
      <c r="V44" s="190"/>
    </row>
    <row r="45" spans="1:22" s="642" customFormat="1" ht="30" customHeight="1">
      <c r="A45" s="752" t="s">
        <v>612</v>
      </c>
      <c r="B45" s="753"/>
      <c r="C45" s="753"/>
      <c r="D45" s="753"/>
      <c r="E45" s="753"/>
      <c r="F45" s="753"/>
      <c r="G45" s="753"/>
      <c r="H45" s="753"/>
      <c r="I45" s="753"/>
      <c r="J45" s="753"/>
      <c r="K45" s="753"/>
      <c r="L45" s="754"/>
      <c r="M45" s="641"/>
      <c r="Q45" s="190"/>
      <c r="R45" s="184"/>
      <c r="S45" s="184"/>
      <c r="T45" s="190"/>
      <c r="U45" s="190"/>
      <c r="V45" s="190"/>
    </row>
    <row r="46" spans="1:22" s="642" customFormat="1">
      <c r="A46" s="639">
        <v>1</v>
      </c>
      <c r="B46" s="506"/>
      <c r="C46" s="655" t="s">
        <v>582</v>
      </c>
      <c r="D46" s="548"/>
      <c r="E46" s="99"/>
      <c r="F46" s="529"/>
      <c r="G46" s="529"/>
      <c r="H46" s="529"/>
      <c r="I46" s="529"/>
      <c r="J46" s="254"/>
      <c r="K46" s="254"/>
      <c r="L46" s="254"/>
      <c r="M46" s="641"/>
      <c r="Q46" s="190"/>
      <c r="R46" s="184"/>
      <c r="S46" s="184"/>
      <c r="T46" s="190"/>
      <c r="U46" s="190"/>
      <c r="V46" s="190"/>
    </row>
    <row r="47" spans="1:22" s="642" customFormat="1">
      <c r="A47" s="639" t="s">
        <v>367</v>
      </c>
      <c r="B47" s="506"/>
      <c r="C47" s="656" t="s">
        <v>613</v>
      </c>
      <c r="D47" s="643" t="s">
        <v>565</v>
      </c>
      <c r="E47" s="638">
        <v>0.91800000000000004</v>
      </c>
      <c r="F47" s="632">
        <v>998344</v>
      </c>
      <c r="G47" s="530" t="s">
        <v>475</v>
      </c>
      <c r="H47" s="549">
        <v>18</v>
      </c>
      <c r="I47" s="530" t="s">
        <v>475</v>
      </c>
      <c r="J47" s="652"/>
      <c r="K47" s="653">
        <f t="shared" ref="K47" si="2">IF( OR( I47="",I47="Confirmed"), H47*L47%, I47*L47%)</f>
        <v>1.8000000000000002E-3</v>
      </c>
      <c r="L47" s="654" t="str">
        <f t="shared" ref="L47" si="3">IF(J47=0,"0.01",J47*E47)</f>
        <v>0.01</v>
      </c>
      <c r="M47" s="641"/>
      <c r="Q47" s="190"/>
      <c r="R47" s="184"/>
      <c r="S47" s="184"/>
      <c r="T47" s="190"/>
      <c r="U47" s="190"/>
      <c r="V47" s="190"/>
    </row>
    <row r="48" spans="1:22" s="642" customFormat="1" ht="93.75">
      <c r="A48" s="639">
        <v>2</v>
      </c>
      <c r="B48" s="506"/>
      <c r="C48" s="655" t="s">
        <v>583</v>
      </c>
      <c r="D48" s="548"/>
      <c r="E48" s="99"/>
      <c r="F48" s="529"/>
      <c r="G48" s="529"/>
      <c r="H48" s="529"/>
      <c r="I48" s="529"/>
      <c r="J48" s="254"/>
      <c r="K48" s="254"/>
      <c r="L48" s="254"/>
      <c r="M48" s="641"/>
      <c r="Q48" s="190"/>
      <c r="R48" s="184"/>
      <c r="S48" s="184"/>
      <c r="T48" s="190"/>
      <c r="U48" s="190"/>
      <c r="V48" s="190"/>
    </row>
    <row r="49" spans="1:22" s="642" customFormat="1">
      <c r="A49" s="639" t="s">
        <v>367</v>
      </c>
      <c r="B49" s="506"/>
      <c r="C49" s="656" t="s">
        <v>584</v>
      </c>
      <c r="D49" s="643" t="s">
        <v>514</v>
      </c>
      <c r="E49" s="638">
        <v>30.628</v>
      </c>
      <c r="F49" s="632">
        <v>995455</v>
      </c>
      <c r="G49" s="530" t="s">
        <v>475</v>
      </c>
      <c r="H49" s="549">
        <v>18</v>
      </c>
      <c r="I49" s="530" t="s">
        <v>475</v>
      </c>
      <c r="J49" s="652"/>
      <c r="K49" s="653">
        <f t="shared" ref="K49:K72" si="4">IF( OR( I49="",I49="Confirmed"), H49*L49%, I49*L49%)</f>
        <v>1.8000000000000002E-3</v>
      </c>
      <c r="L49" s="654" t="str">
        <f t="shared" ref="L49:L72" si="5">IF(J49=0,"0.01",J49*E49)</f>
        <v>0.01</v>
      </c>
      <c r="M49" s="641"/>
      <c r="Q49" s="190"/>
      <c r="R49" s="184"/>
      <c r="S49" s="184"/>
      <c r="T49" s="190"/>
      <c r="U49" s="190"/>
      <c r="V49" s="190"/>
    </row>
    <row r="50" spans="1:22" s="642" customFormat="1" ht="37.5">
      <c r="A50" s="639">
        <v>3</v>
      </c>
      <c r="B50" s="506"/>
      <c r="C50" s="655" t="s">
        <v>520</v>
      </c>
      <c r="D50" s="643"/>
      <c r="E50" s="638"/>
      <c r="F50" s="529"/>
      <c r="G50" s="529"/>
      <c r="H50" s="529"/>
      <c r="I50" s="529"/>
      <c r="J50" s="254"/>
      <c r="K50" s="254"/>
      <c r="L50" s="254"/>
      <c r="M50" s="641"/>
      <c r="Q50" s="190"/>
      <c r="R50" s="184"/>
      <c r="S50" s="184"/>
      <c r="T50" s="190"/>
      <c r="U50" s="190"/>
      <c r="V50" s="190"/>
    </row>
    <row r="51" spans="1:22" s="642" customFormat="1">
      <c r="A51" s="639">
        <v>3.1</v>
      </c>
      <c r="B51" s="506"/>
      <c r="C51" s="655" t="s">
        <v>585</v>
      </c>
      <c r="D51" s="643"/>
      <c r="E51" s="638"/>
      <c r="F51" s="529"/>
      <c r="G51" s="529"/>
      <c r="H51" s="529"/>
      <c r="I51" s="529"/>
      <c r="J51" s="254"/>
      <c r="K51" s="254"/>
      <c r="L51" s="254"/>
      <c r="M51" s="641"/>
      <c r="Q51" s="190"/>
      <c r="R51" s="184"/>
      <c r="S51" s="184"/>
      <c r="T51" s="190"/>
      <c r="U51" s="190"/>
      <c r="V51" s="190"/>
    </row>
    <row r="52" spans="1:22" s="642" customFormat="1">
      <c r="A52" s="639" t="s">
        <v>367</v>
      </c>
      <c r="B52" s="506"/>
      <c r="C52" s="656" t="s">
        <v>521</v>
      </c>
      <c r="D52" s="643" t="s">
        <v>603</v>
      </c>
      <c r="E52" s="638">
        <v>195.85900000000001</v>
      </c>
      <c r="F52" s="632">
        <v>995433</v>
      </c>
      <c r="G52" s="530" t="s">
        <v>475</v>
      </c>
      <c r="H52" s="549">
        <v>18</v>
      </c>
      <c r="I52" s="530" t="s">
        <v>475</v>
      </c>
      <c r="J52" s="652"/>
      <c r="K52" s="653">
        <f t="shared" si="4"/>
        <v>1.8000000000000002E-3</v>
      </c>
      <c r="L52" s="654" t="str">
        <f t="shared" si="5"/>
        <v>0.01</v>
      </c>
      <c r="M52" s="641"/>
      <c r="Q52" s="190"/>
      <c r="R52" s="184"/>
      <c r="S52" s="184"/>
      <c r="T52" s="190"/>
      <c r="U52" s="190"/>
      <c r="V52" s="190"/>
    </row>
    <row r="53" spans="1:22" s="642" customFormat="1">
      <c r="A53" s="639" t="s">
        <v>602</v>
      </c>
      <c r="B53" s="506"/>
      <c r="C53" s="656" t="s">
        <v>522</v>
      </c>
      <c r="D53" s="643" t="s">
        <v>603</v>
      </c>
      <c r="E53" s="638">
        <v>195.85900000000001</v>
      </c>
      <c r="F53" s="632">
        <v>995433</v>
      </c>
      <c r="G53" s="530" t="s">
        <v>475</v>
      </c>
      <c r="H53" s="549">
        <v>18</v>
      </c>
      <c r="I53" s="530" t="s">
        <v>475</v>
      </c>
      <c r="J53" s="652"/>
      <c r="K53" s="653">
        <f t="shared" si="4"/>
        <v>1.8000000000000002E-3</v>
      </c>
      <c r="L53" s="654" t="str">
        <f t="shared" si="5"/>
        <v>0.01</v>
      </c>
      <c r="M53" s="641"/>
      <c r="Q53" s="190"/>
      <c r="R53" s="184"/>
      <c r="S53" s="184"/>
      <c r="T53" s="190"/>
      <c r="U53" s="190"/>
      <c r="V53" s="190"/>
    </row>
    <row r="54" spans="1:22" s="642" customFormat="1" ht="75">
      <c r="A54" s="639">
        <v>3.2</v>
      </c>
      <c r="B54" s="506"/>
      <c r="C54" s="655" t="s">
        <v>586</v>
      </c>
      <c r="D54" s="643"/>
      <c r="E54" s="638"/>
      <c r="F54" s="529"/>
      <c r="G54" s="529"/>
      <c r="H54" s="529"/>
      <c r="I54" s="529"/>
      <c r="J54" s="254"/>
      <c r="K54" s="254"/>
      <c r="L54" s="254"/>
      <c r="M54" s="641"/>
      <c r="Q54" s="190"/>
      <c r="R54" s="184"/>
      <c r="S54" s="184"/>
      <c r="T54" s="190"/>
      <c r="U54" s="190"/>
      <c r="V54" s="190"/>
    </row>
    <row r="55" spans="1:22" s="642" customFormat="1">
      <c r="A55" s="639" t="s">
        <v>367</v>
      </c>
      <c r="B55" s="506"/>
      <c r="C55" s="656" t="s">
        <v>587</v>
      </c>
      <c r="D55" s="643" t="s">
        <v>603</v>
      </c>
      <c r="E55" s="638">
        <v>42.146000000000001</v>
      </c>
      <c r="F55" s="632">
        <v>995454</v>
      </c>
      <c r="G55" s="530" t="s">
        <v>475</v>
      </c>
      <c r="H55" s="549">
        <v>18</v>
      </c>
      <c r="I55" s="530" t="s">
        <v>475</v>
      </c>
      <c r="J55" s="652"/>
      <c r="K55" s="653">
        <f t="shared" si="4"/>
        <v>1.8000000000000002E-3</v>
      </c>
      <c r="L55" s="654" t="str">
        <f t="shared" si="5"/>
        <v>0.01</v>
      </c>
      <c r="M55" s="641"/>
      <c r="Q55" s="190"/>
      <c r="R55" s="184"/>
      <c r="S55" s="184"/>
      <c r="T55" s="190"/>
      <c r="U55" s="190"/>
      <c r="V55" s="190"/>
    </row>
    <row r="56" spans="1:22" s="642" customFormat="1">
      <c r="A56" s="639" t="s">
        <v>370</v>
      </c>
      <c r="B56" s="506"/>
      <c r="C56" s="656" t="s">
        <v>588</v>
      </c>
      <c r="D56" s="643" t="s">
        <v>603</v>
      </c>
      <c r="E56" s="638">
        <v>5.5940000000000003</v>
      </c>
      <c r="F56" s="632">
        <v>995454</v>
      </c>
      <c r="G56" s="530" t="s">
        <v>475</v>
      </c>
      <c r="H56" s="549">
        <v>18</v>
      </c>
      <c r="I56" s="530" t="s">
        <v>475</v>
      </c>
      <c r="J56" s="652"/>
      <c r="K56" s="653">
        <f t="shared" si="4"/>
        <v>1.8000000000000002E-3</v>
      </c>
      <c r="L56" s="654" t="str">
        <f t="shared" si="5"/>
        <v>0.01</v>
      </c>
      <c r="M56" s="641"/>
      <c r="Q56" s="190"/>
      <c r="R56" s="184"/>
      <c r="S56" s="184"/>
      <c r="T56" s="190"/>
      <c r="U56" s="190"/>
      <c r="V56" s="190"/>
    </row>
    <row r="57" spans="1:22" s="642" customFormat="1" ht="37.5">
      <c r="A57" s="639">
        <v>3.3</v>
      </c>
      <c r="B57" s="506"/>
      <c r="C57" s="655" t="s">
        <v>589</v>
      </c>
      <c r="D57" s="643" t="s">
        <v>514</v>
      </c>
      <c r="E57" s="638">
        <v>17.443000000000001</v>
      </c>
      <c r="F57" s="632">
        <v>995454</v>
      </c>
      <c r="G57" s="530" t="s">
        <v>475</v>
      </c>
      <c r="H57" s="549">
        <v>18</v>
      </c>
      <c r="I57" s="530" t="s">
        <v>475</v>
      </c>
      <c r="J57" s="652"/>
      <c r="K57" s="653">
        <f t="shared" si="4"/>
        <v>1.8000000000000002E-3</v>
      </c>
      <c r="L57" s="654" t="str">
        <f t="shared" si="5"/>
        <v>0.01</v>
      </c>
      <c r="M57" s="641"/>
      <c r="Q57" s="190"/>
      <c r="R57" s="184"/>
      <c r="S57" s="184"/>
      <c r="T57" s="190"/>
      <c r="U57" s="190"/>
      <c r="V57" s="190"/>
    </row>
    <row r="58" spans="1:22" s="642" customFormat="1">
      <c r="A58" s="639">
        <v>4</v>
      </c>
      <c r="B58" s="506"/>
      <c r="C58" s="655" t="s">
        <v>590</v>
      </c>
      <c r="D58" s="643" t="s">
        <v>514</v>
      </c>
      <c r="E58" s="638">
        <v>1.071</v>
      </c>
      <c r="F58" s="632">
        <v>995455</v>
      </c>
      <c r="G58" s="530" t="s">
        <v>475</v>
      </c>
      <c r="H58" s="549">
        <v>18</v>
      </c>
      <c r="I58" s="530" t="s">
        <v>475</v>
      </c>
      <c r="J58" s="652"/>
      <c r="K58" s="653">
        <f t="shared" si="4"/>
        <v>1.8000000000000002E-3</v>
      </c>
      <c r="L58" s="654" t="str">
        <f t="shared" si="5"/>
        <v>0.01</v>
      </c>
      <c r="M58" s="641"/>
      <c r="Q58" s="190"/>
      <c r="R58" s="184"/>
      <c r="S58" s="184"/>
      <c r="T58" s="190"/>
      <c r="U58" s="190"/>
      <c r="V58" s="190"/>
    </row>
    <row r="59" spans="1:22" s="642" customFormat="1" ht="37.5">
      <c r="A59" s="639">
        <v>5</v>
      </c>
      <c r="B59" s="506"/>
      <c r="C59" s="655" t="s">
        <v>591</v>
      </c>
      <c r="D59" s="643"/>
      <c r="E59" s="638"/>
      <c r="F59" s="529"/>
      <c r="G59" s="529"/>
      <c r="H59" s="529"/>
      <c r="I59" s="529"/>
      <c r="J59" s="254"/>
      <c r="K59" s="254"/>
      <c r="L59" s="254"/>
      <c r="M59" s="641"/>
      <c r="Q59" s="190"/>
      <c r="R59" s="184"/>
      <c r="S59" s="184"/>
      <c r="T59" s="190"/>
      <c r="U59" s="190"/>
      <c r="V59" s="190"/>
    </row>
    <row r="60" spans="1:22" s="642" customFormat="1" ht="75">
      <c r="A60" s="639" t="s">
        <v>367</v>
      </c>
      <c r="B60" s="506"/>
      <c r="C60" s="667" t="s">
        <v>592</v>
      </c>
      <c r="D60" s="643" t="s">
        <v>519</v>
      </c>
      <c r="E60" s="638">
        <v>2</v>
      </c>
      <c r="F60" s="632">
        <v>995468</v>
      </c>
      <c r="G60" s="530" t="s">
        <v>475</v>
      </c>
      <c r="H60" s="549">
        <v>18</v>
      </c>
      <c r="I60" s="530" t="s">
        <v>475</v>
      </c>
      <c r="J60" s="652"/>
      <c r="K60" s="653">
        <f t="shared" si="4"/>
        <v>1.8000000000000002E-3</v>
      </c>
      <c r="L60" s="654" t="str">
        <f t="shared" si="5"/>
        <v>0.01</v>
      </c>
      <c r="M60" s="641"/>
      <c r="Q60" s="190"/>
      <c r="R60" s="184"/>
      <c r="S60" s="184"/>
      <c r="T60" s="190"/>
      <c r="U60" s="190"/>
      <c r="V60" s="190"/>
    </row>
    <row r="61" spans="1:22" s="642" customFormat="1">
      <c r="A61" s="639">
        <v>6</v>
      </c>
      <c r="B61" s="506"/>
      <c r="C61" s="655" t="s">
        <v>593</v>
      </c>
      <c r="D61" s="643"/>
      <c r="E61" s="638"/>
      <c r="F61" s="529"/>
      <c r="G61" s="529"/>
      <c r="H61" s="529"/>
      <c r="I61" s="529"/>
      <c r="J61" s="254"/>
      <c r="K61" s="254"/>
      <c r="L61" s="254"/>
      <c r="M61" s="641"/>
      <c r="Q61" s="190"/>
      <c r="R61" s="184"/>
      <c r="S61" s="184"/>
      <c r="T61" s="190"/>
      <c r="U61" s="190"/>
      <c r="V61" s="190"/>
    </row>
    <row r="62" spans="1:22" s="642" customFormat="1">
      <c r="A62" s="639" t="s">
        <v>367</v>
      </c>
      <c r="B62" s="506"/>
      <c r="C62" s="656" t="s">
        <v>535</v>
      </c>
      <c r="D62" s="643" t="s">
        <v>563</v>
      </c>
      <c r="E62" s="638">
        <v>2</v>
      </c>
      <c r="F62" s="632">
        <v>995444</v>
      </c>
      <c r="G62" s="530" t="s">
        <v>475</v>
      </c>
      <c r="H62" s="549">
        <v>18</v>
      </c>
      <c r="I62" s="530" t="s">
        <v>475</v>
      </c>
      <c r="J62" s="652"/>
      <c r="K62" s="653">
        <f t="shared" si="4"/>
        <v>1.8000000000000002E-3</v>
      </c>
      <c r="L62" s="654" t="str">
        <f t="shared" si="5"/>
        <v>0.01</v>
      </c>
      <c r="M62" s="641"/>
      <c r="Q62" s="190"/>
      <c r="R62" s="184"/>
      <c r="S62" s="184"/>
      <c r="T62" s="190"/>
      <c r="U62" s="190"/>
      <c r="V62" s="190"/>
    </row>
    <row r="63" spans="1:22" s="642" customFormat="1">
      <c r="A63" s="639" t="s">
        <v>370</v>
      </c>
      <c r="B63" s="506"/>
      <c r="C63" s="656" t="s">
        <v>536</v>
      </c>
      <c r="D63" s="643" t="s">
        <v>563</v>
      </c>
      <c r="E63" s="638">
        <v>2</v>
      </c>
      <c r="F63" s="632">
        <v>995444</v>
      </c>
      <c r="G63" s="530" t="s">
        <v>475</v>
      </c>
      <c r="H63" s="549">
        <v>18</v>
      </c>
      <c r="I63" s="530" t="s">
        <v>475</v>
      </c>
      <c r="J63" s="652"/>
      <c r="K63" s="653">
        <f t="shared" si="4"/>
        <v>1.8000000000000002E-3</v>
      </c>
      <c r="L63" s="654" t="str">
        <f t="shared" si="5"/>
        <v>0.01</v>
      </c>
      <c r="M63" s="641"/>
      <c r="Q63" s="190"/>
      <c r="R63" s="184"/>
      <c r="S63" s="184"/>
      <c r="T63" s="190"/>
      <c r="U63" s="190"/>
      <c r="V63" s="190"/>
    </row>
    <row r="64" spans="1:22" s="642" customFormat="1">
      <c r="A64" s="639" t="s">
        <v>372</v>
      </c>
      <c r="B64" s="506"/>
      <c r="C64" s="656" t="s">
        <v>594</v>
      </c>
      <c r="D64" s="643" t="s">
        <v>519</v>
      </c>
      <c r="E64" s="638">
        <v>2</v>
      </c>
      <c r="F64" s="632">
        <v>995444</v>
      </c>
      <c r="G64" s="530" t="s">
        <v>475</v>
      </c>
      <c r="H64" s="549">
        <v>18</v>
      </c>
      <c r="I64" s="530" t="s">
        <v>475</v>
      </c>
      <c r="J64" s="652"/>
      <c r="K64" s="653">
        <f t="shared" si="4"/>
        <v>1.8000000000000002E-3</v>
      </c>
      <c r="L64" s="654" t="str">
        <f t="shared" si="5"/>
        <v>0.01</v>
      </c>
      <c r="M64" s="641"/>
      <c r="Q64" s="190"/>
      <c r="R64" s="184"/>
      <c r="S64" s="184"/>
      <c r="T64" s="190"/>
      <c r="U64" s="190"/>
      <c r="V64" s="190"/>
    </row>
    <row r="65" spans="1:22" s="642" customFormat="1">
      <c r="A65" s="639" t="s">
        <v>373</v>
      </c>
      <c r="B65" s="506"/>
      <c r="C65" s="656" t="s">
        <v>595</v>
      </c>
      <c r="D65" s="643" t="s">
        <v>563</v>
      </c>
      <c r="E65" s="638">
        <v>2</v>
      </c>
      <c r="F65" s="632">
        <v>995444</v>
      </c>
      <c r="G65" s="530" t="s">
        <v>475</v>
      </c>
      <c r="H65" s="549">
        <v>18</v>
      </c>
      <c r="I65" s="530" t="s">
        <v>475</v>
      </c>
      <c r="J65" s="652"/>
      <c r="K65" s="653">
        <f t="shared" si="4"/>
        <v>1.8000000000000002E-3</v>
      </c>
      <c r="L65" s="654" t="str">
        <f t="shared" si="5"/>
        <v>0.01</v>
      </c>
      <c r="M65" s="641"/>
      <c r="Q65" s="190"/>
      <c r="R65" s="184"/>
      <c r="S65" s="184"/>
      <c r="T65" s="190"/>
      <c r="U65" s="190"/>
      <c r="V65" s="190"/>
    </row>
    <row r="66" spans="1:22" s="642" customFormat="1">
      <c r="A66" s="639" t="s">
        <v>375</v>
      </c>
      <c r="B66" s="506"/>
      <c r="C66" s="656" t="s">
        <v>596</v>
      </c>
      <c r="D66" s="643" t="s">
        <v>519</v>
      </c>
      <c r="E66" s="638">
        <v>2</v>
      </c>
      <c r="F66" s="632">
        <v>995444</v>
      </c>
      <c r="G66" s="530" t="s">
        <v>475</v>
      </c>
      <c r="H66" s="549">
        <v>18</v>
      </c>
      <c r="I66" s="530" t="s">
        <v>475</v>
      </c>
      <c r="J66" s="652"/>
      <c r="K66" s="653">
        <f t="shared" si="4"/>
        <v>1.8000000000000002E-3</v>
      </c>
      <c r="L66" s="654" t="str">
        <f t="shared" si="5"/>
        <v>0.01</v>
      </c>
      <c r="M66" s="641"/>
      <c r="Q66" s="190"/>
      <c r="R66" s="184"/>
      <c r="S66" s="184"/>
      <c r="T66" s="190"/>
      <c r="U66" s="190"/>
      <c r="V66" s="190"/>
    </row>
    <row r="67" spans="1:22" s="642" customFormat="1" ht="112.5">
      <c r="A67" s="639">
        <v>7</v>
      </c>
      <c r="B67" s="506"/>
      <c r="C67" s="655" t="s">
        <v>597</v>
      </c>
      <c r="D67" s="643"/>
      <c r="E67" s="638"/>
      <c r="F67" s="529"/>
      <c r="G67" s="529"/>
      <c r="H67" s="529"/>
      <c r="I67" s="529"/>
      <c r="J67" s="254"/>
      <c r="K67" s="254"/>
      <c r="L67" s="254"/>
      <c r="M67" s="641"/>
      <c r="Q67" s="190"/>
      <c r="R67" s="184"/>
      <c r="S67" s="184"/>
      <c r="T67" s="190"/>
      <c r="U67" s="190"/>
      <c r="V67" s="190"/>
    </row>
    <row r="68" spans="1:22" s="642" customFormat="1">
      <c r="A68" s="639" t="s">
        <v>367</v>
      </c>
      <c r="B68" s="506"/>
      <c r="C68" s="656" t="s">
        <v>598</v>
      </c>
      <c r="D68" s="643" t="s">
        <v>565</v>
      </c>
      <c r="E68" s="638">
        <v>0.91800000000000004</v>
      </c>
      <c r="F68" s="632">
        <v>995468</v>
      </c>
      <c r="G68" s="530" t="s">
        <v>475</v>
      </c>
      <c r="H68" s="549">
        <v>18</v>
      </c>
      <c r="I68" s="530" t="s">
        <v>475</v>
      </c>
      <c r="J68" s="652"/>
      <c r="K68" s="653">
        <f t="shared" si="4"/>
        <v>1.8000000000000002E-3</v>
      </c>
      <c r="L68" s="654" t="str">
        <f t="shared" si="5"/>
        <v>0.01</v>
      </c>
      <c r="M68" s="641"/>
      <c r="Q68" s="190"/>
      <c r="R68" s="184"/>
      <c r="S68" s="184"/>
      <c r="T68" s="190"/>
      <c r="U68" s="190"/>
      <c r="V68" s="190"/>
    </row>
    <row r="69" spans="1:22" s="642" customFormat="1">
      <c r="A69" s="639">
        <v>8</v>
      </c>
      <c r="B69" s="506"/>
      <c r="C69" s="655" t="s">
        <v>599</v>
      </c>
      <c r="D69" s="643"/>
      <c r="E69" s="638"/>
      <c r="F69" s="529"/>
      <c r="G69" s="529"/>
      <c r="H69" s="529"/>
      <c r="I69" s="529"/>
      <c r="J69" s="254"/>
      <c r="K69" s="254"/>
      <c r="L69" s="254"/>
      <c r="M69" s="641"/>
      <c r="Q69" s="190"/>
      <c r="R69" s="184"/>
      <c r="S69" s="184"/>
      <c r="T69" s="190"/>
      <c r="U69" s="190"/>
      <c r="V69" s="190"/>
    </row>
    <row r="70" spans="1:22" s="642" customFormat="1" ht="112.5">
      <c r="A70" s="639" t="s">
        <v>367</v>
      </c>
      <c r="B70" s="506"/>
      <c r="C70" s="667" t="s">
        <v>600</v>
      </c>
      <c r="D70" s="643" t="s">
        <v>514</v>
      </c>
      <c r="E70" s="638">
        <v>10.971</v>
      </c>
      <c r="F70" s="632">
        <v>995468</v>
      </c>
      <c r="G70" s="530" t="s">
        <v>475</v>
      </c>
      <c r="H70" s="549">
        <v>18</v>
      </c>
      <c r="I70" s="530" t="s">
        <v>475</v>
      </c>
      <c r="J70" s="652"/>
      <c r="K70" s="653">
        <f t="shared" si="4"/>
        <v>1.8000000000000002E-3</v>
      </c>
      <c r="L70" s="654" t="str">
        <f t="shared" si="5"/>
        <v>0.01</v>
      </c>
      <c r="M70" s="641"/>
      <c r="Q70" s="190"/>
      <c r="R70" s="184"/>
      <c r="S70" s="184"/>
      <c r="T70" s="190"/>
      <c r="U70" s="190"/>
      <c r="V70" s="190"/>
    </row>
    <row r="71" spans="1:22" s="642" customFormat="1" ht="37.5">
      <c r="A71" s="639" t="s">
        <v>370</v>
      </c>
      <c r="B71" s="506"/>
      <c r="C71" s="669" t="s">
        <v>601</v>
      </c>
      <c r="D71" s="643" t="s">
        <v>565</v>
      </c>
      <c r="E71" s="638">
        <v>0.96</v>
      </c>
      <c r="F71" s="632">
        <v>995468</v>
      </c>
      <c r="G71" s="530" t="s">
        <v>475</v>
      </c>
      <c r="H71" s="549">
        <v>18</v>
      </c>
      <c r="I71" s="530" t="s">
        <v>475</v>
      </c>
      <c r="J71" s="652"/>
      <c r="K71" s="653">
        <f t="shared" si="4"/>
        <v>1.8000000000000002E-3</v>
      </c>
      <c r="L71" s="654" t="str">
        <f t="shared" si="5"/>
        <v>0.01</v>
      </c>
      <c r="M71" s="641"/>
      <c r="Q71" s="190"/>
      <c r="R71" s="184"/>
      <c r="S71" s="184"/>
      <c r="T71" s="190"/>
      <c r="U71" s="190"/>
      <c r="V71" s="190"/>
    </row>
    <row r="72" spans="1:22" s="642" customFormat="1">
      <c r="A72" s="639">
        <v>9</v>
      </c>
      <c r="B72" s="506"/>
      <c r="C72" s="668" t="s">
        <v>614</v>
      </c>
      <c r="D72" s="643" t="s">
        <v>615</v>
      </c>
      <c r="E72" s="638">
        <v>8</v>
      </c>
      <c r="F72" s="632">
        <v>995455</v>
      </c>
      <c r="G72" s="530" t="s">
        <v>475</v>
      </c>
      <c r="H72" s="549">
        <v>18</v>
      </c>
      <c r="I72" s="530" t="s">
        <v>475</v>
      </c>
      <c r="J72" s="652"/>
      <c r="K72" s="653">
        <f t="shared" si="4"/>
        <v>1.8000000000000002E-3</v>
      </c>
      <c r="L72" s="654" t="str">
        <f t="shared" si="5"/>
        <v>0.01</v>
      </c>
      <c r="M72" s="641"/>
      <c r="Q72" s="190"/>
      <c r="R72" s="184"/>
      <c r="S72" s="184"/>
      <c r="T72" s="190"/>
      <c r="U72" s="190"/>
      <c r="V72" s="190"/>
    </row>
    <row r="73" spans="1:22" ht="23.25">
      <c r="A73" s="483"/>
      <c r="B73" s="507"/>
      <c r="C73" s="746" t="s">
        <v>607</v>
      </c>
      <c r="D73" s="747"/>
      <c r="E73" s="747"/>
      <c r="F73" s="747"/>
      <c r="G73" s="747"/>
      <c r="H73" s="747"/>
      <c r="I73" s="747"/>
      <c r="J73" s="748"/>
      <c r="K73" s="646">
        <f>SUM(K19:K72)</f>
        <v>6.4800000000000038E-2</v>
      </c>
      <c r="L73" s="590">
        <f>SUM(L19:L72)</f>
        <v>0</v>
      </c>
      <c r="R73" s="508"/>
      <c r="S73" s="509" t="e">
        <f>ROUND(SUM(#REF!),0)</f>
        <v>#REF!</v>
      </c>
    </row>
    <row r="74" spans="1:22">
      <c r="A74" s="528"/>
      <c r="B74" s="510"/>
      <c r="C74" s="510"/>
      <c r="D74" s="525"/>
      <c r="E74" s="525"/>
      <c r="F74" s="510"/>
      <c r="G74" s="510"/>
      <c r="H74" s="510"/>
      <c r="I74" s="510"/>
      <c r="J74" s="510"/>
      <c r="K74" s="633"/>
      <c r="L74" s="511"/>
      <c r="R74" s="508"/>
      <c r="S74" s="509"/>
    </row>
    <row r="75" spans="1:22" ht="45" customHeight="1">
      <c r="A75" s="742" t="s">
        <v>496</v>
      </c>
      <c r="B75" s="742"/>
      <c r="C75" s="742"/>
      <c r="D75" s="742"/>
      <c r="E75" s="742"/>
      <c r="F75" s="742"/>
      <c r="G75" s="742"/>
      <c r="H75" s="742"/>
      <c r="I75" s="742"/>
      <c r="J75" s="742"/>
      <c r="K75" s="742"/>
      <c r="L75" s="511"/>
      <c r="R75" s="508"/>
      <c r="S75" s="509"/>
    </row>
    <row r="76" spans="1:22">
      <c r="A76" s="528"/>
      <c r="B76" s="510"/>
      <c r="C76" s="510"/>
      <c r="D76" s="525"/>
      <c r="E76" s="525"/>
      <c r="F76" s="512"/>
      <c r="G76" s="512"/>
      <c r="H76" s="512"/>
      <c r="I76" s="512"/>
      <c r="J76" s="512"/>
      <c r="K76" s="633"/>
      <c r="L76" s="511"/>
      <c r="R76" s="508"/>
      <c r="S76" s="509"/>
    </row>
    <row r="77" spans="1:22">
      <c r="A77" s="528"/>
      <c r="B77" s="510"/>
      <c r="C77" s="510"/>
      <c r="D77" s="525"/>
      <c r="E77" s="525"/>
      <c r="F77" s="512"/>
      <c r="G77" s="512"/>
      <c r="H77" s="512"/>
      <c r="I77" s="512"/>
      <c r="J77" s="512"/>
      <c r="K77" s="633"/>
      <c r="L77" s="511"/>
      <c r="R77" s="508"/>
      <c r="S77" s="509"/>
    </row>
    <row r="78" spans="1:22" ht="33.6" customHeight="1">
      <c r="A78" s="513" t="s">
        <v>226</v>
      </c>
      <c r="B78" s="513"/>
      <c r="C78" s="514" t="str">
        <f>IF('Sch-1'!C101=0,"", 'Sch-1'!C101)</f>
        <v/>
      </c>
      <c r="D78" s="633"/>
      <c r="E78" s="633"/>
      <c r="F78" s="514" t="str">
        <f>IF('Sch-1'!G101=0,"", 'Sch-1'!G101)</f>
        <v/>
      </c>
      <c r="G78" s="514"/>
      <c r="H78" s="514"/>
      <c r="I78" s="514"/>
      <c r="K78" s="515" t="s">
        <v>229</v>
      </c>
      <c r="L78" s="516" t="str">
        <f>IF('Sch-1'!M101=0,"",'Sch-1'!M101)</f>
        <v/>
      </c>
    </row>
    <row r="79" spans="1:22" ht="33.6" customHeight="1">
      <c r="A79" s="513" t="s">
        <v>227</v>
      </c>
      <c r="B79" s="513"/>
      <c r="C79" s="514" t="str">
        <f>IF('Sch-1'!C102=0,"", 'Sch-1'!C102)</f>
        <v/>
      </c>
      <c r="D79" s="633"/>
      <c r="E79" s="633"/>
      <c r="F79" s="514" t="str">
        <f>IF('Sch-1'!G102=0,"", 'Sch-1'!G102)</f>
        <v/>
      </c>
      <c r="G79" s="514"/>
      <c r="H79" s="514"/>
      <c r="I79" s="514"/>
      <c r="K79" s="515" t="s">
        <v>230</v>
      </c>
      <c r="L79" s="516" t="str">
        <f>IF('Sch-1'!M102=0,"",'Sch-1'!M102)</f>
        <v/>
      </c>
    </row>
    <row r="80" spans="1:22" ht="33.6" customHeight="1">
      <c r="A80" s="633"/>
      <c r="B80" s="517"/>
      <c r="C80" s="517"/>
      <c r="D80" s="517"/>
      <c r="E80" s="517"/>
      <c r="F80" s="491"/>
      <c r="G80" s="491"/>
      <c r="H80" s="491"/>
      <c r="I80" s="491"/>
    </row>
    <row r="81" spans="1:12" ht="33.6" customHeight="1">
      <c r="A81" s="633"/>
      <c r="B81" s="517"/>
      <c r="C81" s="517"/>
      <c r="D81" s="517"/>
      <c r="E81" s="517"/>
      <c r="F81" s="491"/>
      <c r="G81" s="491"/>
      <c r="H81" s="491"/>
      <c r="I81" s="491"/>
      <c r="J81" s="515"/>
      <c r="K81" s="515"/>
      <c r="L81" s="518"/>
    </row>
  </sheetData>
  <sheetProtection algorithmName="SHA-512" hashValue="1Fpvfilinsp1QYH92Pj9xmxRVd8mB3GvB3iO5pBHPfgf3GBxMGPO7veA78y7xqOk5Wp3GuzvQo/6YGws1Q+YKA==" saltValue="MtYMP/Dqe/HjQnyqd37Dxw==" spinCount="100000" sheet="1" formatColumns="0" formatRows="0" selectLockedCells="1"/>
  <customSheetViews>
    <customSheetView guid="{9CA44E70-650F-49CD-967F-298619682CA2}" topLeftCell="A10">
      <selection activeCell="D18" sqref="D18"/>
      <colBreaks count="1" manualBreakCount="1">
        <brk id="7" max="1048575" man="1"/>
      </colBreaks>
      <pageMargins left="0.51181102362204722" right="0.26" top="0.54" bottom="0.51" header="0.27" footer="0.32"/>
      <printOptions horizontalCentered="1"/>
      <pageSetup paperSize="9" orientation="portrait" horizontalDpi="300" verticalDpi="300" r:id="rId1"/>
      <headerFooter alignWithMargins="0">
        <oddFooter>&amp;R&amp;"Book Antiqua,Bold"&amp;10Schedule-3/ Page &amp;P of &amp;N</oddFooter>
      </headerFooter>
    </customSheetView>
    <customSheetView guid="{C39F923C-6CD3-45D8-86F8-6C4D806DDD7E}">
      <selection activeCell="F45" sqref="F45"/>
      <colBreaks count="1" manualBreakCount="1">
        <brk id="7" max="1048575" man="1"/>
      </colBreaks>
      <pageMargins left="0.51181102362204722" right="0.26" top="0.54" bottom="0.51" header="0.27" footer="0.32"/>
      <printOptions horizontalCentered="1"/>
      <pageSetup paperSize="9" orientation="portrait" horizontalDpi="300" verticalDpi="300" r:id="rId2"/>
      <headerFooter alignWithMargins="0">
        <oddFooter>&amp;R&amp;"Book Antiqua,Bold"&amp;10Schedule-3/ Page &amp;P of &amp;N</oddFooter>
      </headerFooter>
    </customSheetView>
    <customSheetView guid="{B1277D53-29D6-4226-81E2-084FB62977B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3"/>
      <headerFooter alignWithMargins="0">
        <oddFooter>&amp;R&amp;"Book Antiqua,Bold"&amp;10Schedule-3/ Page &amp;P of &amp;N</oddFooter>
      </headerFooter>
    </customSheetView>
    <customSheetView guid="{58D82F59-8CF6-455F-B9F4-081499FDF243}" topLeftCell="A7">
      <colBreaks count="1" manualBreakCount="1">
        <brk id="7" max="1048575" man="1"/>
      </colBreaks>
      <pageMargins left="0.51181102362204722" right="0.26" top="0.54" bottom="0.51" header="0.27" footer="0.32"/>
      <printOptions horizontalCentered="1"/>
      <pageSetup paperSize="9" orientation="portrait" horizontalDpi="300" verticalDpi="300" r:id="rId4"/>
      <headerFooter alignWithMargins="0">
        <oddFooter>&amp;R&amp;"Book Antiqua,Bold"&amp;10Schedule-3/ Page &amp;P of &amp;N</oddFooter>
      </headerFooter>
    </customSheetView>
    <customSheetView guid="{4F65FF32-EC61-4022-A399-2986D7B6B8B3}" showPageBreaks="1" zeroValues="0" printArea="1" view="pageBreakPreview" showRuler="0" topLeftCell="A20">
      <selection activeCell="B2" sqref="B2:E2"/>
      <colBreaks count="1" manualBreakCount="1">
        <brk id="6" max="1048575" man="1"/>
      </colBreaks>
      <pageMargins left="0.51181102362204722" right="0.26" top="0.54" bottom="0.51" header="0.27" footer="0.32"/>
      <printOptions horizontalCentered="1"/>
      <pageSetup paperSize="9" scale="87" orientation="portrait" horizontalDpi="300" verticalDpi="300" r:id="rId5"/>
      <headerFooter alignWithMargins="0">
        <oddFooter>&amp;R&amp;"Book Antiqua,Bold"&amp;10Page &amp;P of &amp;N</oddFooter>
      </headerFooter>
    </customSheetView>
    <customSheetView guid="{696D9240-6693-44E8-B9A4-2BFADD101EE2}">
      <colBreaks count="1" manualBreakCount="1">
        <brk id="7" max="1048575" man="1"/>
      </colBreaks>
      <pageMargins left="0.51181102362204722" right="0.26" top="0.54" bottom="0.51" header="0.27" footer="0.32"/>
      <printOptions horizontalCentered="1"/>
      <pageSetup paperSize="9" orientation="portrait" horizontalDpi="300" verticalDpi="300" r:id="rId6"/>
      <headerFooter alignWithMargins="0">
        <oddFooter>&amp;R&amp;"Book Antiqua,Bold"&amp;10Schedule-3/ Page &amp;P of &amp;N</oddFooter>
      </headerFooter>
    </customSheetView>
    <customSheetView guid="{B0EE7D76-5806-4718-BDAD-3A3EA691E5E4}" topLeftCell="A7">
      <colBreaks count="1" manualBreakCount="1">
        <brk id="7" max="1048575" man="1"/>
      </colBreaks>
      <pageMargins left="0.51181102362204722" right="0.26" top="0.54" bottom="0.51" header="0.27" footer="0.32"/>
      <printOptions horizontalCentered="1"/>
      <pageSetup paperSize="9" orientation="portrait" horizontalDpi="300" verticalDpi="300" r:id="rId7"/>
      <headerFooter alignWithMargins="0">
        <oddFooter>&amp;R&amp;"Book Antiqua,Bold"&amp;10Schedule-3/ Page &amp;P of &amp;N</oddFooter>
      </headerFooter>
    </customSheetView>
    <customSheetView guid="{E95B21C1-D936-4435-AF6F-90CF0B6A750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8"/>
      <headerFooter alignWithMargins="0">
        <oddFooter>&amp;R&amp;"Book Antiqua,Bold"&amp;10Schedule-3/ Page &amp;P of &amp;N</oddFooter>
      </headerFooter>
    </customSheetView>
    <customSheetView guid="{08A645C4-A23F-4400-B0CE-1685BC312A6F}">
      <colBreaks count="1" manualBreakCount="1">
        <brk id="7" max="1048575" man="1"/>
      </colBreaks>
      <pageMargins left="0.51181102362204722" right="0.26" top="0.54" bottom="0.51" header="0.27" footer="0.32"/>
      <printOptions horizontalCentered="1"/>
      <pageSetup paperSize="9" orientation="portrait" horizontalDpi="300" verticalDpi="300" r:id="rId9"/>
      <headerFooter alignWithMargins="0">
        <oddFooter>&amp;R&amp;"Book Antiqua,Bold"&amp;10Schedule-3/ Page &amp;P of &amp;N</oddFooter>
      </headerFooter>
    </customSheetView>
  </customSheetViews>
  <mergeCells count="9">
    <mergeCell ref="A75:K75"/>
    <mergeCell ref="F10:I10"/>
    <mergeCell ref="F11:I11"/>
    <mergeCell ref="A3:L3"/>
    <mergeCell ref="A4:L4"/>
    <mergeCell ref="F9:I9"/>
    <mergeCell ref="C73:J73"/>
    <mergeCell ref="A17:L17"/>
    <mergeCell ref="A45:L45"/>
  </mergeCells>
  <phoneticPr fontId="3" type="noConversion"/>
  <dataValidations count="2">
    <dataValidation operator="greaterThan" allowBlank="1" showInputMessage="1" showErrorMessage="1" sqref="J18:K44 J46:K72" xr:uid="{00000000-0002-0000-0800-000000000000}"/>
    <dataValidation type="list" allowBlank="1" showInputMessage="1" showErrorMessage="1" sqref="I18:I44 I46:I72" xr:uid="{00000000-0002-0000-0800-000001000000}">
      <formula1>"Confirmed, 0,5,12,18,28"</formula1>
    </dataValidation>
  </dataValidations>
  <printOptions horizontalCentered="1"/>
  <pageMargins left="0.51181102362204722" right="0.27559055118110237" top="0.55118110236220474" bottom="0.51181102362204722" header="0.27559055118110237" footer="0.31496062992125984"/>
  <pageSetup paperSize="9" scale="33" orientation="landscape" horizontalDpi="300" verticalDpi="300" r:id="rId10"/>
  <headerFooter alignWithMargins="0">
    <oddFooter>&amp;R&amp;"Book Antiqua,Bold"&amp;10Schedule-3/ Page &amp;P of &amp;N</oddFooter>
  </headerFooter>
  <colBreaks count="1" manualBreakCount="1">
    <brk id="12" max="1048575" man="1"/>
  </col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29</vt:i4>
      </vt:variant>
    </vt:vector>
  </HeadingPairs>
  <TitlesOfParts>
    <vt:vector size="51" baseType="lpstr">
      <vt:lpstr>Basic Data</vt:lpstr>
      <vt:lpstr>Cover</vt:lpstr>
      <vt:lpstr>Instructions</vt:lpstr>
      <vt:lpstr>Names of Bidder</vt:lpstr>
      <vt:lpstr>Sch-1</vt:lpstr>
      <vt:lpstr>Sch-1 Dis</vt:lpstr>
      <vt:lpstr>Sch-2</vt:lpstr>
      <vt:lpstr>Sch-2 Dis</vt:lpstr>
      <vt:lpstr>Sch-3 </vt:lpstr>
      <vt:lpstr>Sch-4</vt:lpstr>
      <vt:lpstr>Sch-4 Dis</vt:lpstr>
      <vt:lpstr>Sch-5</vt:lpstr>
      <vt:lpstr>Sch-5 After Discount</vt:lpstr>
      <vt:lpstr>Sch-6 Dis</vt:lpstr>
      <vt:lpstr>Discount</vt:lpstr>
      <vt:lpstr>Octroi</vt:lpstr>
      <vt:lpstr>Entry Tax</vt:lpstr>
      <vt:lpstr>Other Taxes &amp; Duties</vt:lpstr>
      <vt:lpstr>Bid Form 2nd Envelope</vt:lpstr>
      <vt:lpstr>Q &amp; C</vt:lpstr>
      <vt:lpstr>T &amp; D</vt:lpstr>
      <vt:lpstr>N to W</vt:lpstr>
      <vt:lpstr>'Bid Form 2nd Envelope'!Print_Area</vt:lpstr>
      <vt:lpstr>Cover!Print_Area</vt:lpstr>
      <vt:lpstr>Discount!Print_Area</vt:lpstr>
      <vt:lpstr>'Entry Tax'!Print_Area</vt:lpstr>
      <vt:lpstr>Instructions!Print_Area</vt:lpstr>
      <vt:lpstr>Octroi!Print_Area</vt:lpstr>
      <vt:lpstr>'Other Taxes &amp; Duties'!Print_Area</vt:lpstr>
      <vt:lpstr>'Q &amp; C'!Print_Area</vt:lpstr>
      <vt:lpstr>'Sch-1'!Print_Area</vt:lpstr>
      <vt:lpstr>'Sch-1 Dis'!Print_Area</vt:lpstr>
      <vt:lpstr>'Sch-2'!Print_Area</vt:lpstr>
      <vt:lpstr>'Sch-2 Dis'!Print_Area</vt:lpstr>
      <vt:lpstr>'Sch-3 '!Print_Area</vt:lpstr>
      <vt:lpstr>'Sch-4'!Print_Area</vt:lpstr>
      <vt:lpstr>'Sch-4 Dis'!Print_Area</vt:lpstr>
      <vt:lpstr>'Sch-5'!Print_Area</vt:lpstr>
      <vt:lpstr>'Sch-5 After Discount'!Print_Area</vt:lpstr>
      <vt:lpstr>'Sch-6 Dis'!Print_Area</vt:lpstr>
      <vt:lpstr>'T &amp; D'!Print_Area</vt:lpstr>
      <vt:lpstr>'Sch-1'!Print_Titles</vt:lpstr>
      <vt:lpstr>'Sch-1 Dis'!Print_Titles</vt:lpstr>
      <vt:lpstr>'Sch-2'!Print_Titles</vt:lpstr>
      <vt:lpstr>'Sch-2 Dis'!Print_Titles</vt:lpstr>
      <vt:lpstr>'Sch-3 '!Print_Titles</vt:lpstr>
      <vt:lpstr>'Sch-4'!Print_Titles</vt:lpstr>
      <vt:lpstr>'Sch-4 Dis'!Print_Titles</vt:lpstr>
      <vt:lpstr>'Sch-5'!Print_Titles</vt:lpstr>
      <vt:lpstr>'Sch-5 After Discount'!Print_Titles</vt:lpstr>
      <vt:lpstr>'Sch-6 Dis'!Print_Titles</vt:lpstr>
    </vt:vector>
  </TitlesOfParts>
  <Company>POWERGRID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Udugundla Harish {उदुगुन्ड्ला हरीश}</cp:lastModifiedBy>
  <cp:lastPrinted>2021-04-16T07:22:27Z</cp:lastPrinted>
  <dcterms:created xsi:type="dcterms:W3CDTF">2001-07-26T10:23:15Z</dcterms:created>
  <dcterms:modified xsi:type="dcterms:W3CDTF">2025-08-04T07:51:29Z</dcterms:modified>
</cp:coreProperties>
</file>