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backupFile="1" codeName="ThisWorkbook" defaultThemeVersion="124226"/>
  <mc:AlternateContent xmlns:mc="http://schemas.openxmlformats.org/markup-compatibility/2006">
    <mc:Choice Requires="x15">
      <x15ac:absPath xmlns:x15ac="http://schemas.microsoft.com/office/spreadsheetml/2010/11/ac" url="https://powergrid1989-my.sharepoint.com/personal/wr2_powergrid_in/Documents/WR-II RHQ/C&amp;M/Rajesh Singh/E-tender/SRM_/SRM Open/E-1138015 diversion of 400kV DC Vadodara-Pirana TL/Doc for Upload/"/>
    </mc:Choice>
  </mc:AlternateContent>
  <xr:revisionPtr revIDLastSave="0" documentId="8_{997F19FC-1F59-41FB-8482-C75D795306CD}" xr6:coauthVersionLast="47" xr6:coauthVersionMax="47" xr10:uidLastSave="{00000000-0000-0000-0000-000000000000}"/>
  <workbookProtection workbookPassword="DC2B" lockStructure="1"/>
  <bookViews>
    <workbookView xWindow="-120" yWindow="-120" windowWidth="29040" windowHeight="15720" tabRatio="577" activeTab="4" xr2:uid="{CE808D9F-9CC1-4077-871E-7559E17DD031}"/>
  </bookViews>
  <sheets>
    <sheet name="BASIC " sheetId="47" r:id="rId1"/>
    <sheet name="Names of Bidder" sheetId="52" r:id="rId2"/>
    <sheet name="Sch-I Supply Works" sheetId="54" r:id="rId3"/>
    <sheet name="Sch-II F&amp;I" sheetId="57" r:id="rId4"/>
    <sheet name="Sch-III Erection Works" sheetId="34" r:id="rId5"/>
    <sheet name="Schedule IV-Taxes" sheetId="55" r:id="rId6"/>
    <sheet name="Schedule V- Summary" sheetId="56" r:id="rId7"/>
    <sheet name="Sch-5 Taxes and duties" sheetId="35" state="hidden" r:id="rId8"/>
    <sheet name="Sch-6 GRAND SUMMARY" sheetId="36" state="hidden" r:id="rId9"/>
    <sheet name="Sheet7" sheetId="53" state="hidden" r:id="rId10"/>
    <sheet name="Bid Form " sheetId="49" state="hidden" r:id="rId11"/>
    <sheet name="Sheet5" sheetId="51" state="hidden" r:id="rId12"/>
  </sheets>
  <externalReferences>
    <externalReference r:id="rId13"/>
    <externalReference r:id="rId14"/>
    <externalReference r:id="rId15"/>
    <externalReference r:id="rId16"/>
    <externalReference r:id="rId17"/>
  </externalReferences>
  <definedNames>
    <definedName name="_xlnm.Print_Area" localSheetId="10">'Bid Form '!$A$1:$F$62</definedName>
    <definedName name="_xlnm.Print_Area" localSheetId="8">'Sch-6 GRAND SUMMARY'!$A$1:$D$21</definedName>
    <definedName name="_xlnm.Print_Area" localSheetId="4">'Sch-III Erection Works'!$A$1:$L$75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4" l="1"/>
  <c r="G55" i="57" l="1"/>
  <c r="G54" i="57"/>
  <c r="G52" i="57"/>
  <c r="E55" i="57"/>
  <c r="E54" i="57"/>
  <c r="E53" i="57"/>
  <c r="E52" i="57"/>
  <c r="E48" i="57"/>
  <c r="G48" i="57"/>
  <c r="E47" i="57"/>
  <c r="G47" i="57" s="1"/>
  <c r="E46" i="57"/>
  <c r="G46" i="57"/>
  <c r="G18" i="57"/>
  <c r="E21" i="57"/>
  <c r="E20" i="57"/>
  <c r="E19" i="57"/>
  <c r="E18" i="57"/>
  <c r="E17" i="57"/>
  <c r="G17" i="57" s="1"/>
  <c r="K61" i="34"/>
  <c r="L61" i="34" s="1"/>
  <c r="K60" i="34"/>
  <c r="L60" i="34" s="1"/>
  <c r="K59" i="34"/>
  <c r="L59" i="34"/>
  <c r="I40" i="34"/>
  <c r="K57" i="34"/>
  <c r="L57" i="34" s="1"/>
  <c r="K56" i="34"/>
  <c r="L56" i="34"/>
  <c r="K55" i="34"/>
  <c r="L55" i="34" s="1"/>
  <c r="K54" i="34"/>
  <c r="L54" i="34"/>
  <c r="K53" i="34"/>
  <c r="L53" i="34" s="1"/>
  <c r="I67" i="34"/>
  <c r="K69" i="34"/>
  <c r="L69" i="34" s="1"/>
  <c r="I68" i="34"/>
  <c r="I66" i="34"/>
  <c r="I65" i="34"/>
  <c r="K65" i="34" s="1"/>
  <c r="L65" i="34" s="1"/>
  <c r="I64" i="34"/>
  <c r="I63" i="34"/>
  <c r="I50" i="34"/>
  <c r="I49" i="34"/>
  <c r="I48" i="34"/>
  <c r="I47" i="34"/>
  <c r="K47" i="34" s="1"/>
  <c r="L47" i="34" s="1"/>
  <c r="I44" i="34"/>
  <c r="I43" i="34"/>
  <c r="I42" i="34"/>
  <c r="K42" i="34" s="1"/>
  <c r="L42" i="34" s="1"/>
  <c r="I41" i="34"/>
  <c r="I39" i="34"/>
  <c r="I37" i="34"/>
  <c r="I35" i="34"/>
  <c r="K35" i="34" s="1"/>
  <c r="L35" i="34" s="1"/>
  <c r="I34" i="34"/>
  <c r="I33" i="34"/>
  <c r="I32" i="34"/>
  <c r="I30" i="34"/>
  <c r="K30" i="34" s="1"/>
  <c r="L30" i="34" s="1"/>
  <c r="I29" i="34"/>
  <c r="K29" i="34" s="1"/>
  <c r="L29" i="34" s="1"/>
  <c r="I28" i="34"/>
  <c r="I27" i="34"/>
  <c r="I26" i="34"/>
  <c r="K26" i="34" s="1"/>
  <c r="L26" i="34" s="1"/>
  <c r="I25" i="34"/>
  <c r="I24" i="34"/>
  <c r="I23" i="34"/>
  <c r="I21" i="34"/>
  <c r="I20" i="34"/>
  <c r="K20" i="34" s="1"/>
  <c r="L20" i="34" s="1"/>
  <c r="I18" i="34"/>
  <c r="I17" i="34"/>
  <c r="K17" i="34" s="1"/>
  <c r="L17" i="34" s="1"/>
  <c r="I15" i="34"/>
  <c r="I62" i="54"/>
  <c r="E62" i="57" s="1"/>
  <c r="G62" i="57" s="1"/>
  <c r="I15" i="54"/>
  <c r="I14" i="54"/>
  <c r="K14" i="54" s="1"/>
  <c r="L14" i="54" s="1"/>
  <c r="I71" i="54"/>
  <c r="I70" i="54"/>
  <c r="E70" i="57" s="1"/>
  <c r="I69" i="54"/>
  <c r="I67" i="54"/>
  <c r="E67" i="57" s="1"/>
  <c r="I66" i="54"/>
  <c r="K66" i="54" s="1"/>
  <c r="L66" i="54" s="1"/>
  <c r="I65" i="54"/>
  <c r="K65" i="54" s="1"/>
  <c r="L65" i="54" s="1"/>
  <c r="I64" i="54"/>
  <c r="I60" i="54"/>
  <c r="K60" i="54" s="1"/>
  <c r="L60" i="54" s="1"/>
  <c r="I59" i="54"/>
  <c r="K59" i="54" s="1"/>
  <c r="L59" i="54" s="1"/>
  <c r="I56" i="54"/>
  <c r="I58" i="54"/>
  <c r="I57" i="54"/>
  <c r="K55" i="54"/>
  <c r="L55" i="54" s="1"/>
  <c r="K54" i="54"/>
  <c r="L54" i="54" s="1"/>
  <c r="I51" i="54"/>
  <c r="K51" i="54" s="1"/>
  <c r="L51" i="54" s="1"/>
  <c r="I50" i="54"/>
  <c r="I49" i="54"/>
  <c r="K48" i="54"/>
  <c r="L48" i="54"/>
  <c r="K47" i="54"/>
  <c r="L47" i="54" s="1"/>
  <c r="K46" i="54"/>
  <c r="L46" i="54" s="1"/>
  <c r="I41" i="54"/>
  <c r="K41" i="54" s="1"/>
  <c r="L41" i="54" s="1"/>
  <c r="I40" i="54"/>
  <c r="I38" i="54"/>
  <c r="I34" i="54"/>
  <c r="K34" i="54" s="1"/>
  <c r="L34" i="54" s="1"/>
  <c r="I33" i="54"/>
  <c r="I32" i="54"/>
  <c r="K32" i="54" s="1"/>
  <c r="L32" i="54" s="1"/>
  <c r="I31" i="54"/>
  <c r="I30" i="54"/>
  <c r="I27" i="54"/>
  <c r="K27" i="54" s="1"/>
  <c r="L27" i="54" s="1"/>
  <c r="I25" i="54"/>
  <c r="E25" i="57" s="1"/>
  <c r="I24" i="54"/>
  <c r="I23" i="54"/>
  <c r="E23" i="57" s="1"/>
  <c r="K21" i="54"/>
  <c r="L21" i="54" s="1"/>
  <c r="K20" i="54"/>
  <c r="L20" i="54"/>
  <c r="K19" i="54"/>
  <c r="L19" i="54" s="1"/>
  <c r="K18" i="54"/>
  <c r="L18" i="54"/>
  <c r="K17" i="54"/>
  <c r="L17" i="54" s="1"/>
  <c r="I12" i="54"/>
  <c r="E12" i="57" s="1"/>
  <c r="I11" i="54"/>
  <c r="K11" i="54" s="1"/>
  <c r="L11" i="54" s="1"/>
  <c r="I9" i="54"/>
  <c r="I8" i="54"/>
  <c r="K8" i="54" s="1"/>
  <c r="G64" i="57"/>
  <c r="G58" i="57"/>
  <c r="G56" i="57"/>
  <c r="G49" i="57"/>
  <c r="G44" i="57"/>
  <c r="G42" i="57"/>
  <c r="G35" i="57"/>
  <c r="G30" i="57"/>
  <c r="G26" i="57"/>
  <c r="G15" i="57"/>
  <c r="G8" i="57"/>
  <c r="E71" i="57"/>
  <c r="E69" i="57"/>
  <c r="G69" i="57" s="1"/>
  <c r="E68" i="57"/>
  <c r="G68" i="57" s="1"/>
  <c r="E56" i="57"/>
  <c r="E44" i="57"/>
  <c r="E42" i="57"/>
  <c r="E41" i="57"/>
  <c r="E40" i="57"/>
  <c r="E39" i="57"/>
  <c r="G39" i="57" s="1"/>
  <c r="E38" i="57"/>
  <c r="G38" i="57" s="1"/>
  <c r="E32" i="57"/>
  <c r="E31" i="57"/>
  <c r="G31" i="57" s="1"/>
  <c r="E30" i="57"/>
  <c r="E28" i="57"/>
  <c r="E27" i="57"/>
  <c r="G27" i="57" s="1"/>
  <c r="E26" i="57"/>
  <c r="E24" i="57"/>
  <c r="E15" i="57"/>
  <c r="E14" i="57"/>
  <c r="E9" i="57"/>
  <c r="E8" i="57"/>
  <c r="K67" i="34"/>
  <c r="L67" i="34" s="1"/>
  <c r="K68" i="34"/>
  <c r="L68" i="34" s="1"/>
  <c r="K31" i="34"/>
  <c r="I62" i="34"/>
  <c r="K62" i="34" s="1"/>
  <c r="L62" i="34" s="1"/>
  <c r="K50" i="34"/>
  <c r="L50" i="34" s="1"/>
  <c r="K49" i="34"/>
  <c r="L49" i="34" s="1"/>
  <c r="K48" i="34"/>
  <c r="L48" i="34" s="1"/>
  <c r="K39" i="34"/>
  <c r="L39" i="34"/>
  <c r="K37" i="34"/>
  <c r="L37" i="34" s="1"/>
  <c r="K34" i="34"/>
  <c r="L34" i="34" s="1"/>
  <c r="K33" i="34"/>
  <c r="L33" i="34" s="1"/>
  <c r="K32" i="34"/>
  <c r="L32" i="34" s="1"/>
  <c r="K25" i="34"/>
  <c r="L25" i="34" s="1"/>
  <c r="K24" i="34"/>
  <c r="L24" i="34" s="1"/>
  <c r="K23" i="34"/>
  <c r="L23" i="34" s="1"/>
  <c r="K18" i="34"/>
  <c r="L18" i="34" s="1"/>
  <c r="K62" i="54"/>
  <c r="L62" i="54" s="1"/>
  <c r="E64" i="57"/>
  <c r="K58" i="54"/>
  <c r="L58" i="54" s="1"/>
  <c r="E57" i="57"/>
  <c r="E50" i="57"/>
  <c r="E49" i="57"/>
  <c r="I43" i="54"/>
  <c r="E43" i="57" s="1"/>
  <c r="K43" i="54"/>
  <c r="L43" i="54" s="1"/>
  <c r="I39" i="54"/>
  <c r="K38" i="54"/>
  <c r="L38" i="54" s="1"/>
  <c r="I36" i="54"/>
  <c r="E36" i="57" s="1"/>
  <c r="G36" i="57" s="1"/>
  <c r="K36" i="54"/>
  <c r="L36" i="54" s="1"/>
  <c r="E35" i="57"/>
  <c r="E33" i="57"/>
  <c r="I28" i="54"/>
  <c r="K24" i="54"/>
  <c r="L24" i="54" s="1"/>
  <c r="K9" i="54"/>
  <c r="L9" i="54" s="1"/>
  <c r="K12" i="54"/>
  <c r="L12" i="54"/>
  <c r="K15" i="54"/>
  <c r="L15" i="54" s="1"/>
  <c r="K26" i="54"/>
  <c r="L26" i="54" s="1"/>
  <c r="K28" i="54"/>
  <c r="L28" i="54" s="1"/>
  <c r="K30" i="54"/>
  <c r="L30" i="54" s="1"/>
  <c r="K31" i="54"/>
  <c r="L31" i="54"/>
  <c r="K33" i="54"/>
  <c r="L33" i="54" s="1"/>
  <c r="K39" i="54"/>
  <c r="L39" i="54" s="1"/>
  <c r="K40" i="54"/>
  <c r="L40" i="54"/>
  <c r="K42" i="54"/>
  <c r="L42" i="54" s="1"/>
  <c r="K44" i="54"/>
  <c r="L44" i="54" s="1"/>
  <c r="K52" i="54"/>
  <c r="L52" i="54" s="1"/>
  <c r="K53" i="54"/>
  <c r="L53" i="54"/>
  <c r="K56" i="54"/>
  <c r="L56" i="54" s="1"/>
  <c r="K57" i="54"/>
  <c r="L57" i="54"/>
  <c r="K64" i="54"/>
  <c r="L64" i="54" s="1"/>
  <c r="K68" i="54"/>
  <c r="L68" i="54" s="1"/>
  <c r="K69" i="54"/>
  <c r="L69" i="54"/>
  <c r="K70" i="54"/>
  <c r="L70" i="54" s="1"/>
  <c r="K71" i="54"/>
  <c r="L71" i="54" s="1"/>
  <c r="K46" i="34"/>
  <c r="L46" i="34" s="1"/>
  <c r="K45" i="34"/>
  <c r="L45" i="34" s="1"/>
  <c r="K19" i="34"/>
  <c r="L19" i="34" s="1"/>
  <c r="K66" i="34"/>
  <c r="L66" i="34"/>
  <c r="K28" i="34"/>
  <c r="L28" i="34" s="1"/>
  <c r="K27" i="34"/>
  <c r="L27" i="34"/>
  <c r="K21" i="34"/>
  <c r="L21" i="34"/>
  <c r="K41" i="34"/>
  <c r="L41" i="34" s="1"/>
  <c r="K43" i="34"/>
  <c r="L43" i="34" s="1"/>
  <c r="K44" i="34"/>
  <c r="L44" i="34" s="1"/>
  <c r="K63" i="34"/>
  <c r="L63" i="34"/>
  <c r="K64" i="34"/>
  <c r="L64" i="34" s="1"/>
  <c r="J75" i="34"/>
  <c r="J74" i="34"/>
  <c r="C75" i="34"/>
  <c r="C74" i="34"/>
  <c r="K40" i="34"/>
  <c r="L40" i="34" s="1"/>
  <c r="B21" i="36"/>
  <c r="B20" i="36"/>
  <c r="D21" i="36"/>
  <c r="D20" i="36"/>
  <c r="B7" i="35"/>
  <c r="B6" i="35"/>
  <c r="B5" i="35"/>
  <c r="B7" i="36"/>
  <c r="B6" i="36"/>
  <c r="B5" i="36"/>
  <c r="B4" i="36"/>
  <c r="A13" i="52"/>
  <c r="A8" i="52"/>
  <c r="A1" i="52"/>
  <c r="A1" i="49"/>
  <c r="C15" i="49"/>
  <c r="A62" i="49"/>
  <c r="B51" i="49"/>
  <c r="E50" i="49"/>
  <c r="B50" i="49"/>
  <c r="E49" i="49"/>
  <c r="B49" i="49"/>
  <c r="F47" i="49"/>
  <c r="C47" i="49"/>
  <c r="A46" i="49"/>
  <c r="F44" i="49"/>
  <c r="B44" i="49"/>
  <c r="F43" i="49"/>
  <c r="B43" i="49"/>
  <c r="F41" i="49"/>
  <c r="B38" i="49"/>
  <c r="A11" i="49"/>
  <c r="A10" i="49"/>
  <c r="A9" i="49"/>
  <c r="B6" i="49"/>
  <c r="D16" i="35"/>
  <c r="B16" i="35"/>
  <c r="D15" i="35"/>
  <c r="B15" i="35"/>
  <c r="D11" i="35"/>
  <c r="D12" i="35" s="1"/>
  <c r="D15" i="36" s="1"/>
  <c r="K50" i="54"/>
  <c r="L50" i="54" s="1"/>
  <c r="E58" i="57"/>
  <c r="K49" i="54"/>
  <c r="L49" i="54" s="1"/>
  <c r="K35" i="54"/>
  <c r="L35" i="54" s="1"/>
  <c r="G33" i="57"/>
  <c r="G40" i="57"/>
  <c r="G9" i="57"/>
  <c r="G32" i="57"/>
  <c r="G70" i="57" l="1"/>
  <c r="G43" i="57"/>
  <c r="G41" i="57"/>
  <c r="G28" i="57"/>
  <c r="G57" i="57"/>
  <c r="G25" i="57"/>
  <c r="G53" i="57"/>
  <c r="G71" i="57"/>
  <c r="G50" i="57"/>
  <c r="G23" i="57"/>
  <c r="G14" i="57"/>
  <c r="G19" i="57"/>
  <c r="G20" i="57"/>
  <c r="G24" i="57"/>
  <c r="G21" i="57"/>
  <c r="G12" i="57"/>
  <c r="G67" i="57"/>
  <c r="L15" i="34"/>
  <c r="L8" i="54"/>
  <c r="I16" i="34"/>
  <c r="K16" i="34" s="1"/>
  <c r="L16" i="34" s="1"/>
  <c r="E51" i="57"/>
  <c r="G51" i="57" s="1"/>
  <c r="E34" i="57"/>
  <c r="G34" i="57" s="1"/>
  <c r="E11" i="57"/>
  <c r="G11" i="57" s="1"/>
  <c r="K25" i="54"/>
  <c r="L25" i="54" s="1"/>
  <c r="E59" i="57"/>
  <c r="G59" i="57" s="1"/>
  <c r="K67" i="54"/>
  <c r="L67" i="54" s="1"/>
  <c r="K23" i="54"/>
  <c r="L23" i="54" s="1"/>
  <c r="E66" i="57"/>
  <c r="G66" i="57" s="1"/>
  <c r="E60" i="57"/>
  <c r="G60" i="57" s="1"/>
  <c r="E65" i="57"/>
  <c r="G65" i="57" s="1"/>
  <c r="G72" i="57" l="1"/>
  <c r="D9" i="56" s="1"/>
  <c r="K72" i="54"/>
  <c r="D5" i="56" s="1"/>
  <c r="L72" i="54"/>
  <c r="K70" i="34"/>
  <c r="L70" i="34"/>
  <c r="D12" i="36" l="1"/>
  <c r="K71" i="34"/>
  <c r="D6" i="56"/>
  <c r="D7" i="56"/>
  <c r="D6" i="55"/>
  <c r="D7" i="55"/>
  <c r="D8" i="56"/>
  <c r="D8" i="55" l="1"/>
  <c r="D10" i="56"/>
  <c r="D13" i="36"/>
  <c r="D17" i="36" s="1"/>
  <c r="AB17" i="49" s="1"/>
  <c r="B17" i="49" s="1"/>
  <c r="E12" i="36"/>
  <c r="E17" i="36" s="1"/>
</calcChain>
</file>

<file path=xl/sharedStrings.xml><?xml version="1.0" encoding="utf-8"?>
<sst xmlns="http://schemas.openxmlformats.org/spreadsheetml/2006/main" count="638" uniqueCount="355">
  <si>
    <t>23</t>
  </si>
  <si>
    <t>1</t>
  </si>
  <si>
    <t>2</t>
  </si>
  <si>
    <t>19</t>
  </si>
  <si>
    <t>20</t>
  </si>
  <si>
    <t>5</t>
  </si>
  <si>
    <t>6</t>
  </si>
  <si>
    <t>7</t>
  </si>
  <si>
    <t>8</t>
  </si>
  <si>
    <t>9</t>
  </si>
  <si>
    <t>10</t>
  </si>
  <si>
    <t>21</t>
  </si>
  <si>
    <t>24</t>
  </si>
  <si>
    <t>3</t>
  </si>
  <si>
    <t>WRTS-II,RHQ,VADODARA</t>
  </si>
  <si>
    <t>POWER GRID CORPORATION OF INDIA LTD.</t>
  </si>
  <si>
    <t>13</t>
  </si>
  <si>
    <t>26</t>
  </si>
  <si>
    <t>Description</t>
  </si>
  <si>
    <t>Unit</t>
  </si>
  <si>
    <t>To:</t>
  </si>
  <si>
    <t>Contract Services</t>
  </si>
  <si>
    <t>Power Grid Corporation of India Ltd.,</t>
  </si>
  <si>
    <t>Western Region Transmission syatem -II</t>
  </si>
  <si>
    <t xml:space="preserve">Plot No. 54, Near Riya revati resort , </t>
  </si>
  <si>
    <t>Sama - savli road, vadodara-390008</t>
  </si>
  <si>
    <t>Sl. No.</t>
  </si>
  <si>
    <t>Activity Header / Substation Name</t>
  </si>
  <si>
    <t>SAC</t>
  </si>
  <si>
    <t>Unit Erection Charges</t>
  </si>
  <si>
    <t>Total Erection Charges</t>
  </si>
  <si>
    <t>Total Tax GST</t>
  </si>
  <si>
    <t>(Service Accounting Codes)</t>
  </si>
  <si>
    <t>(SUMMARY OF TAXES &amp; DUTIES)</t>
  </si>
  <si>
    <t>Item Nos.</t>
  </si>
  <si>
    <t>Total Price (INR)</t>
  </si>
  <si>
    <t>TOTAL GST on Services</t>
  </si>
  <si>
    <t>a.</t>
  </si>
  <si>
    <t xml:space="preserve">Date : </t>
  </si>
  <si>
    <t>Printed Name   :</t>
  </si>
  <si>
    <t>Place :</t>
  </si>
  <si>
    <t>Designation   :</t>
  </si>
  <si>
    <t>Total Price
 (in ₹)</t>
  </si>
  <si>
    <t># In case the bidder leaves the cell for confirmation of the SAC and/or  GST rate “blank”,  the SAC and corresponding GST rate indicated by the Employer shall be deemed to be the one confirmed by the Bidder.</t>
  </si>
  <si>
    <t>Whether SAC in column ‘2’ is confirmed. If not  indicate applicable the SAC #</t>
  </si>
  <si>
    <t>Whether  rate of GST in column ‘4’ is confirmed. If not  indicate applicable rate of GST #</t>
  </si>
  <si>
    <t>Total of Service/Installation Charge 
(ITEMS TAB: Item 01  for BID PRICE SUMMARY Statement )</t>
  </si>
  <si>
    <t>Total GST against Service/Installation Charge
(ITEMS TAB: Item 02  for BID PRICE SUMMARY Statement )</t>
  </si>
  <si>
    <t xml:space="preserve">Grand Total </t>
  </si>
  <si>
    <t>Service/Installation Charges</t>
  </si>
  <si>
    <t xml:space="preserve">Schedule-5 </t>
  </si>
  <si>
    <t xml:space="preserve">Schedule-6 </t>
  </si>
  <si>
    <t>(Grand Summary)</t>
  </si>
  <si>
    <t>Name of Package :</t>
  </si>
  <si>
    <t>Specification No. :</t>
  </si>
  <si>
    <t>Completion Period</t>
  </si>
  <si>
    <t xml:space="preserve">Name </t>
  </si>
  <si>
    <t>Address</t>
  </si>
  <si>
    <r>
      <t>Bid Form 2</t>
    </r>
    <r>
      <rPr>
        <b/>
        <vertAlign val="superscript"/>
        <sz val="11"/>
        <rFont val="Book Antiqua"/>
        <family val="1"/>
      </rPr>
      <t>nd</t>
    </r>
    <r>
      <rPr>
        <b/>
        <sz val="11"/>
        <rFont val="Book Antiqua"/>
        <family val="1"/>
      </rPr>
      <t xml:space="preserve"> Envelope</t>
    </r>
  </si>
  <si>
    <t>BID FORM (Second Envelope)</t>
  </si>
  <si>
    <t>Bid Proposal Ref. No.</t>
  </si>
  <si>
    <t>Date      :</t>
  </si>
  <si>
    <t>Name of Contract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</si>
  <si>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</si>
  <si>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</si>
  <si>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</si>
  <si>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</si>
  <si>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</si>
  <si>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NA</t>
  </si>
  <si>
    <t>Sch-2</t>
  </si>
  <si>
    <t>Sch-3</t>
  </si>
  <si>
    <t xml:space="preserve">Installation/Service Charges </t>
  </si>
  <si>
    <t>Sch-4</t>
  </si>
  <si>
    <t>Sch-5</t>
  </si>
  <si>
    <t>Taxes &amp; Duties</t>
  </si>
  <si>
    <t>Sch-6</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</si>
  <si>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</si>
  <si>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</si>
  <si>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relevant Clause  Section –II:ITB, Vol.-I of the Bidding Documents, prices quoted by us in the Price Schedules shall be Firm and Fixed through out the currency of the contract .</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</si>
  <si>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</si>
  <si>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</si>
  <si>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</si>
  <si>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</si>
  <si>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supplies by us to you</t>
    </r>
    <r>
      <rPr>
        <sz val="11"/>
        <rFont val="Book Antiqua"/>
        <family val="1"/>
      </rPr>
      <t>, imposed on the Plant &amp; Equipment including Mandatory Spare Parts to be incorporated into the Facilities including  Type Test charges for Type test to be conducted in India specified in Schedule No. 1,  Installation Services specified in Schedule No. 3 and  Charges for Training to be imparted in India specified in Schedule No. 4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</si>
  <si>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</si>
  <si>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</si>
  <si>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</si>
  <si>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</si>
  <si>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</si>
  <si>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</si>
  <si>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Printed Name :</t>
  </si>
  <si>
    <t>Designation :</t>
  </si>
  <si>
    <t>Please provide additional information of the Bidder</t>
  </si>
  <si>
    <t>Business Address                       :</t>
  </si>
  <si>
    <t>Country of Incorporation         :</t>
  </si>
  <si>
    <t>State/Province to be indicated :</t>
  </si>
  <si>
    <t>Name of Principal Officer         :</t>
  </si>
  <si>
    <t>Address of  Principal Officer    :</t>
  </si>
  <si>
    <t>* * *</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</si>
  <si>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t>
  </si>
  <si>
    <t xml:space="preserve"> /- only or such other sums as may be determined in accordance with the terms and conditions of the Bidding Documents.</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</si>
  <si>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</si>
  <si>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</si>
  <si>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</si>
  <si>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</si>
  <si>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</si>
  <si>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</si>
  <si>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</si>
  <si>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</si>
  <si>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</si>
  <si>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Rate of GST applicable  (in %)</t>
  </si>
  <si>
    <t>Item Description</t>
  </si>
  <si>
    <t>11</t>
  </si>
  <si>
    <t>12</t>
  </si>
  <si>
    <t>15</t>
  </si>
  <si>
    <t>16</t>
  </si>
  <si>
    <t>17</t>
  </si>
  <si>
    <t>18</t>
  </si>
  <si>
    <t>(b) Check Survey</t>
  </si>
  <si>
    <t>(b) Fissured Rock</t>
  </si>
  <si>
    <t>(b) Wet Soil</t>
  </si>
  <si>
    <t>(b) Number Plate</t>
  </si>
  <si>
    <t>(b) Stone bound in galvanising wire netting including excavation</t>
  </si>
  <si>
    <t>KM</t>
  </si>
  <si>
    <t>CUM</t>
  </si>
  <si>
    <t>MT</t>
  </si>
  <si>
    <t>(a)</t>
  </si>
  <si>
    <t>GRAND TOTAL</t>
  </si>
  <si>
    <r>
      <t xml:space="preserve">Total GST on Installation Services  (identified in Non-Schedule Erection Works) </t>
    </r>
    <r>
      <rPr>
        <sz val="10"/>
        <rFont val="Bookman Old Style"/>
        <family val="1"/>
      </rPr>
      <t>which are not included in the Installations as per the provision of the Bidding Documents, as applicable</t>
    </r>
  </si>
  <si>
    <t>Non-Schedule Erection Works</t>
  </si>
  <si>
    <t>(e) Anti-Climbing Device</t>
  </si>
  <si>
    <r>
      <t xml:space="preserve">2. Detailed Soil Investigation
</t>
    </r>
    <r>
      <rPr>
        <sz val="12"/>
        <color indexed="8"/>
        <rFont val="Calibri"/>
        <family val="2"/>
      </rPr>
      <t>(a) All kind of Soil except Fissured/Soft Rock</t>
    </r>
  </si>
  <si>
    <r>
      <t xml:space="preserve">5. Excavation in various types of soils
</t>
    </r>
    <r>
      <rPr>
        <sz val="12"/>
        <color indexed="8"/>
        <rFont val="Calibri"/>
        <family val="2"/>
      </rPr>
      <t>(a) Dry Soil</t>
    </r>
  </si>
  <si>
    <r>
      <t>7. Reinforcement Steel</t>
    </r>
    <r>
      <rPr>
        <sz val="12"/>
        <color indexed="8"/>
        <rFont val="Calibri"/>
        <family val="2"/>
      </rPr>
      <t xml:space="preserve">
(a) Supply and Placement</t>
    </r>
  </si>
  <si>
    <r>
      <t xml:space="preserve">10. Installation of the following tower accessories
</t>
    </r>
    <r>
      <rPr>
        <sz val="12"/>
        <color indexed="8"/>
        <rFont val="Calibri"/>
        <family val="2"/>
      </rPr>
      <t>(a) Danger Plate</t>
    </r>
  </si>
  <si>
    <r>
      <t xml:space="preserve">9. Installation of earthing of towers
</t>
    </r>
    <r>
      <rPr>
        <sz val="12"/>
        <color indexed="8"/>
        <rFont val="Calibri"/>
        <family val="2"/>
      </rPr>
      <t>(a) Pipe Type Normal Earthing</t>
    </r>
  </si>
  <si>
    <t>Erection works of Diversion of POWERGRID 765KV S/C Bina-Indore TL &amp; 400KV D/C Bina-Shujalpur TL, converging with Ramganj-Mandi to Bhopal Railway Line being constructed by West Central Railway (WCR), Bhopal</t>
  </si>
  <si>
    <t>27</t>
  </si>
  <si>
    <t>28</t>
  </si>
  <si>
    <t>29</t>
  </si>
  <si>
    <t xml:space="preserve">Plot NO 54, Near Riya revati resort , </t>
  </si>
  <si>
    <t>Sl. NO</t>
  </si>
  <si>
    <t>(c) Phase Plate (SET of three)</t>
  </si>
  <si>
    <t>SET</t>
  </si>
  <si>
    <t>(d) Circuit Plate (SET of two)</t>
  </si>
  <si>
    <t>Total Amount</t>
  </si>
  <si>
    <t>Grand Total in INR including GST</t>
  </si>
  <si>
    <t xml:space="preserve">All prices in INR </t>
  </si>
  <si>
    <t>31</t>
  </si>
  <si>
    <t>34</t>
  </si>
  <si>
    <t>(d) M15 Conc. Nominal Mix 1:2:4 for top seal cover</t>
  </si>
  <si>
    <t>Quantity</t>
  </si>
  <si>
    <t>10 = 8 x 9</t>
  </si>
  <si>
    <t>14 = 10 x 4/5</t>
  </si>
  <si>
    <t xml:space="preserve">(c) Dry Fissured Rock </t>
  </si>
  <si>
    <t>(b) Fissure Rock</t>
  </si>
  <si>
    <t>(e) Hard Rock</t>
  </si>
  <si>
    <r>
      <t>8. Installation of Stub &amp; Template including bolts and nuts</t>
    </r>
    <r>
      <rPr>
        <sz val="12"/>
        <color indexed="8"/>
        <rFont val="Calibri"/>
        <family val="2"/>
      </rPr>
      <t xml:space="preserve">
(a) For Normal Tower</t>
    </r>
  </si>
  <si>
    <r>
      <t xml:space="preserve">4. Erection of various type of towers,tower parts and tower extension (complete) with bolts and nuts,Hangers, D Shackles, Step Bolts, pack washers etc including tack welding and supply and application of zinc rich primer and enamel paint 
</t>
    </r>
    <r>
      <rPr>
        <sz val="12"/>
        <color indexed="8"/>
        <rFont val="Calibri"/>
        <family val="2"/>
      </rPr>
      <t>(a) Normal Towers 400kV</t>
    </r>
  </si>
  <si>
    <t>Rod Type Earthing</t>
  </si>
  <si>
    <r>
      <rPr>
        <b/>
        <sz val="12"/>
        <rFont val="Calibri"/>
        <family val="2"/>
      </rPr>
      <t>13. OPGW</t>
    </r>
    <r>
      <rPr>
        <sz val="12"/>
        <rFont val="Calibri"/>
        <family val="2"/>
      </rPr>
      <t xml:space="preserve">
(a)Installation of  Joint Box (24 Fibre) including Splicing</t>
    </r>
  </si>
  <si>
    <t>(c) Back filling and gap levelling of volumes enclosed by revetment</t>
  </si>
  <si>
    <t>4</t>
  </si>
  <si>
    <t>EA</t>
  </si>
  <si>
    <r>
      <t xml:space="preserve">16. Dismantling and Transportation of Dismantled Towers
</t>
    </r>
    <r>
      <rPr>
        <sz val="12"/>
        <color indexed="8"/>
        <rFont val="Calibri"/>
        <family val="2"/>
      </rPr>
      <t>(a) Dismantling of existing towers in safe condition without damaging any tower members for connecting existing line and transportation to nearest Site Store</t>
    </r>
  </si>
  <si>
    <t>25</t>
  </si>
  <si>
    <t>35</t>
  </si>
  <si>
    <t>36</t>
  </si>
  <si>
    <r>
      <t xml:space="preserve">1. Survey
</t>
    </r>
    <r>
      <rPr>
        <sz val="12"/>
        <color indexed="8"/>
        <rFont val="Calibri"/>
        <family val="2"/>
      </rPr>
      <t>(a) Detailed Survey including Profiling &amp;  Tower Spotting</t>
    </r>
    <r>
      <rPr>
        <b/>
        <sz val="12"/>
        <color indexed="8"/>
        <rFont val="Calibri"/>
        <family val="2"/>
      </rPr>
      <t xml:space="preserve"> </t>
    </r>
    <r>
      <rPr>
        <sz val="12"/>
        <color indexed="8"/>
        <rFont val="Calibri"/>
        <family val="2"/>
      </rPr>
      <t>using Modern survey Techniques</t>
    </r>
  </si>
  <si>
    <t>(c) Hard Rock</t>
  </si>
  <si>
    <t xml:space="preserve">( d ) Wet Fissured Rock </t>
  </si>
  <si>
    <r>
      <t>6. Concreting (including all associated works related to foundation not covered in Excavation &amp; Reinforcement steel Works)</t>
    </r>
    <r>
      <rPr>
        <sz val="12"/>
        <color indexed="8"/>
        <rFont val="Calibri"/>
        <family val="2"/>
      </rPr>
      <t xml:space="preserve">
(a) Concreting 1:1.5:3</t>
    </r>
  </si>
  <si>
    <t xml:space="preserve">(b) Lean Concrete 1:3:6 </t>
  </si>
  <si>
    <t>b) Counterpoise type (120m length)</t>
  </si>
  <si>
    <t>Set</t>
  </si>
  <si>
    <r>
      <t xml:space="preserve">11. Protection of tower footing
</t>
    </r>
    <r>
      <rPr>
        <sz val="12"/>
        <color indexed="8"/>
        <rFont val="Calibri"/>
        <family val="2"/>
      </rPr>
      <t>(a) Random rubble stone masonary including excavation (1:5 cement concrete)</t>
    </r>
  </si>
  <si>
    <t>(e)Concrete nominal mix 1:3:6 for foundation of revetment</t>
  </si>
  <si>
    <r>
      <t xml:space="preserve">12. Installation of insulator strings complete with arcing horns &amp; necessary hardware, installing &amp; stringing of conductor including fixing of conductor accessories, installing &amp; stringing of earthwire/OPGW including fixing of earthwire/OPGW accessories for the line 
</t>
    </r>
    <r>
      <rPr>
        <sz val="12"/>
        <color indexed="8"/>
        <rFont val="Calibri"/>
        <family val="2"/>
      </rPr>
      <t>(a) 400kV AC Double Circuit  Twin Conductor</t>
    </r>
  </si>
  <si>
    <r>
      <t>15. DESTRINGING:</t>
    </r>
    <r>
      <rPr>
        <sz val="12"/>
        <color indexed="8"/>
        <rFont val="Calibri"/>
        <family val="2"/>
      </rPr>
      <t xml:space="preserve"> Destringing  of existing line/OPGW/EW in safe condition including associated hardwares and insulators  without damage and transporation to nearest site store 400 kV (D/C) Line</t>
    </r>
    <r>
      <rPr>
        <b/>
        <sz val="12"/>
        <color indexed="8"/>
        <rFont val="Calibri"/>
        <family val="2"/>
      </rPr>
      <t xml:space="preserve"> 
</t>
    </r>
  </si>
  <si>
    <t>14</t>
  </si>
  <si>
    <t>30</t>
  </si>
  <si>
    <t>32</t>
  </si>
  <si>
    <t>33</t>
  </si>
  <si>
    <t>37</t>
  </si>
  <si>
    <t>38</t>
  </si>
  <si>
    <t>39</t>
  </si>
  <si>
    <t>40</t>
  </si>
  <si>
    <t>(f) Bird Guards  ( Set of three)</t>
  </si>
  <si>
    <t>(g) Bird Diverter</t>
  </si>
  <si>
    <t>(b)Counterpoise Type Earthing-120m Length</t>
  </si>
  <si>
    <t>(c)Counterpoise Type Chemical Earthing- 120m Length</t>
  </si>
  <si>
    <t>Shieldwire Earthing including PG clamps, Downlead clamps but  excluding Earthwire bits#
a)   Pipe Type Earthing</t>
  </si>
  <si>
    <t>Schedule-I</t>
  </si>
  <si>
    <t>Supply Portion</t>
  </si>
  <si>
    <t>All prices are in Indian Rupees</t>
  </si>
  <si>
    <t>Sl No</t>
  </si>
  <si>
    <t>Location of Supply</t>
  </si>
  <si>
    <t>HSN Codes</t>
  </si>
  <si>
    <t>Whether HSN in column 'iii' is confirmed. If not indicate applicable HSN #</t>
  </si>
  <si>
    <t>Rate of GST applicable (in %)</t>
  </si>
  <si>
    <t>Whether rate of GST in column 'v' is confirmed. If not indicate applicable rate of GST #</t>
  </si>
  <si>
    <t>Unit Ex works price (Excluding GST)</t>
  </si>
  <si>
    <t>Total Ex works price (Excluding GST)</t>
  </si>
  <si>
    <t>Total GST</t>
  </si>
  <si>
    <t>i</t>
  </si>
  <si>
    <t>ii</t>
  </si>
  <si>
    <t>iii</t>
  </si>
  <si>
    <t>iv</t>
  </si>
  <si>
    <t>v</t>
  </si>
  <si>
    <t>vi</t>
  </si>
  <si>
    <t>vii</t>
  </si>
  <si>
    <t>viii</t>
  </si>
  <si>
    <t>ix</t>
  </si>
  <si>
    <t>x</t>
  </si>
  <si>
    <t>xi</t>
  </si>
  <si>
    <t>xii</t>
  </si>
  <si>
    <t>A</t>
  </si>
  <si>
    <t>B</t>
  </si>
  <si>
    <t>Supply of Earthing of towers</t>
  </si>
  <si>
    <t>C</t>
  </si>
  <si>
    <t xml:space="preserve">(1) Danger Plate
</t>
  </si>
  <si>
    <t xml:space="preserve">(2) Number Plate
</t>
  </si>
  <si>
    <t>(3) Phase Plate ( Set of three)</t>
  </si>
  <si>
    <t>D</t>
  </si>
  <si>
    <t xml:space="preserve">(b) Repair Sleeve </t>
  </si>
  <si>
    <t>(c) Vibration Damper</t>
  </si>
  <si>
    <t>E</t>
  </si>
  <si>
    <t xml:space="preserve">Total of Schedule I Supply </t>
  </si>
  <si>
    <t>Schedule-IV</t>
  </si>
  <si>
    <t>Taxes</t>
  </si>
  <si>
    <t>Total GST on Supply   (indentified in Schedule-I)</t>
  </si>
  <si>
    <t>b.</t>
  </si>
  <si>
    <r>
      <t xml:space="preserve">Total GST on Erection  (indentified in Schedule-III) </t>
    </r>
    <r>
      <rPr>
        <sz val="10"/>
        <rFont val="Bookman Old Style"/>
        <family val="1"/>
      </rPr>
      <t xml:space="preserve"> </t>
    </r>
  </si>
  <si>
    <t xml:space="preserve">GRAND TOTAL </t>
  </si>
  <si>
    <t>Schedule-V</t>
  </si>
  <si>
    <t>Summary</t>
  </si>
  <si>
    <t>(6) Bird Guards (Set of Three)</t>
  </si>
  <si>
    <t>(7) Bird Diverter</t>
  </si>
  <si>
    <t>(1) 7/3.66mm G.S. Earthwire</t>
  </si>
  <si>
    <t>(2) ACSR Moose Conductor</t>
  </si>
  <si>
    <t>(b) 120 KN (Min creepage 13020mm, 3335mm length)</t>
  </si>
  <si>
    <t>(b) Single I Suspension String (Pilot)</t>
  </si>
  <si>
    <t>(c) Double Tension String</t>
  </si>
  <si>
    <t>(b) Flexible Al Bond</t>
  </si>
  <si>
    <t>(d) Suspension Clamp</t>
  </si>
  <si>
    <t>(e) Tension Clamp</t>
  </si>
  <si>
    <t xml:space="preserve">(c ) Vibration Damper </t>
  </si>
  <si>
    <r>
      <rPr>
        <b/>
        <sz val="11"/>
        <rFont val="Calibri"/>
        <family val="2"/>
      </rPr>
      <t>(3) Composite Insulator for 400kV TL</t>
    </r>
    <r>
      <rPr>
        <sz val="11"/>
        <rFont val="Calibri"/>
        <family val="1"/>
      </rPr>
      <t xml:space="preserve">
(a) 160 KN (Min creepage 13020mm, 3910mm length)</t>
    </r>
  </si>
  <si>
    <r>
      <rPr>
        <b/>
        <sz val="11"/>
        <rFont val="Calibri"/>
        <family val="2"/>
      </rPr>
      <t>(4) Hardware Fitting for  400kV AC with twin ACSR Moose Conductor</t>
    </r>
    <r>
      <rPr>
        <sz val="11"/>
        <rFont val="Calibri"/>
        <family val="1"/>
      </rPr>
      <t xml:space="preserve">
(a) Single 'I' Suspension String</t>
    </r>
  </si>
  <si>
    <r>
      <rPr>
        <b/>
        <sz val="11"/>
        <rFont val="Calibri"/>
        <family val="2"/>
      </rPr>
      <t>(1) OPGW cable</t>
    </r>
    <r>
      <rPr>
        <sz val="11"/>
        <rFont val="Calibri"/>
        <family val="1"/>
      </rPr>
      <t xml:space="preserve">
(a) 24 Fibre (DWSM) OPGW fibre optic cable
</t>
    </r>
  </si>
  <si>
    <t>Tension assembly (For Joint Box Locations)(Splicing)</t>
  </si>
  <si>
    <t>Tension assembly for Passing Tension-24F OPGW</t>
  </si>
  <si>
    <t>Tension assembly at Suspension tower (For Joint Box Locations)</t>
  </si>
  <si>
    <t>Vibration Damper- 24F OPGW</t>
  </si>
  <si>
    <t>Down lead Clamp-24F OPGW</t>
  </si>
  <si>
    <t>Joint Box (24 Fibre)</t>
  </si>
  <si>
    <r>
      <t xml:space="preserve">(2) OPGW Accessories 
</t>
    </r>
    <r>
      <rPr>
        <sz val="11"/>
        <rFont val="Calibri"/>
        <family val="2"/>
      </rPr>
      <t>(a) Suspension Clamp-24F OPGW</t>
    </r>
  </si>
  <si>
    <t>Fabrication, Galvanising and Supply of various type of Tower &amp; Tower parts, tower/leg extensions (complete) excluding Stubs and bolts &amp; nuts but including hangers, D-shackles, pack washer etc. For Normal Towers
(a) HT Steel</t>
  </si>
  <si>
    <t>(b) Mild Steel</t>
  </si>
  <si>
    <t>Supply of Stub</t>
  </si>
  <si>
    <t>Supply of Line Materials</t>
  </si>
  <si>
    <t>Supply of Tower accessories</t>
  </si>
  <si>
    <t>Fabrication, Galvanising  and Supply of Stubs with Cleats for various type of Towers, Tower Extensions (complete) with pack washers, excluding supply of bolts &amp; nuts. For Normal Towers
(a) HT Steel</t>
  </si>
  <si>
    <t>Supply of bolts &amp; Nuts including Step bolts and Spring Washers</t>
  </si>
  <si>
    <t>Hexagonal Bolts and Nuts including Step Bolts for Towers</t>
  </si>
  <si>
    <t>Bolts and nuts for Stubs</t>
  </si>
  <si>
    <t xml:space="preserve">Supply of Tower </t>
  </si>
  <si>
    <t xml:space="preserve">(1) Pipe Type Earthing
</t>
  </si>
  <si>
    <t>(2) Rod Type earthing</t>
  </si>
  <si>
    <t>(3) Counterpoise Type Earthing-120m Length</t>
  </si>
  <si>
    <t>(4) Counterpoise Type Chemical Earthing-120m length</t>
  </si>
  <si>
    <t xml:space="preserve">(5) Shieldwire Earthing including PG clamps, Downlead clamps but  excluding Earthwire bits
(a) Pipe Type Earthing
</t>
  </si>
  <si>
    <t>(b) Counterpoise Type (120m Length)</t>
  </si>
  <si>
    <t>(4) Circuit Plate (Set of two)</t>
  </si>
  <si>
    <t>Supply of OPGW materials</t>
  </si>
  <si>
    <t>(5) Anti climbing device of Barbed Wire</t>
  </si>
  <si>
    <t>F</t>
  </si>
  <si>
    <t>G</t>
  </si>
  <si>
    <t>Schedule-II</t>
  </si>
  <si>
    <t>Freight &amp; Insurance</t>
  </si>
  <si>
    <t xml:space="preserve">Tower </t>
  </si>
  <si>
    <t xml:space="preserve"> Stub</t>
  </si>
  <si>
    <t>Bolts &amp; Nuts including Step bolts and Spring Washers</t>
  </si>
  <si>
    <t>Earthing of towers</t>
  </si>
  <si>
    <t>Tower accessories</t>
  </si>
  <si>
    <t>Line Materials</t>
  </si>
  <si>
    <t>OPGW materials</t>
  </si>
  <si>
    <t>Unit Freight, In-Transit insurance, Loading &amp; Unloading charges (inclusive of Taxes)</t>
  </si>
  <si>
    <t>Total Freight, In-Transit insurance, Loading &amp; Unloading charges (inclusive of Taxes)</t>
  </si>
  <si>
    <t>Total of F&amp;I cost</t>
  </si>
  <si>
    <t>Schedule-III : Erection Works</t>
  </si>
  <si>
    <t>TOTAL SCHEDULE-I Supply 
(ITEMS TAB: Item 01  for BID PRICE SUMMARY Statement)</t>
  </si>
  <si>
    <t>Total GST against Supply
(ITEMS TAB: Item 03  for BID PRICE SUMMARY Statement)</t>
  </si>
  <si>
    <t>TOTAL SCHEDULE-III Erection/Installation/Services
(ITEMS TAB: Item 02  for BID PRICE SUMMARY Statement)</t>
  </si>
  <si>
    <t>Total GST against Erection/Installation/Services
(ITEMS TAB: Item 04  for BID PRICE SUMMARY Statement)</t>
  </si>
  <si>
    <t>TOTAL SCHEDULE-II F&amp;I
(ITEMS TAB: Item 05  for BID PRICE SUMMARY Statement)</t>
  </si>
  <si>
    <t>(c) Quad Tension String</t>
  </si>
  <si>
    <t>(d) Quad Spacer Damper- Retaining rod type</t>
  </si>
  <si>
    <t>(`e) Quad Rigid spacer  for jumper</t>
  </si>
  <si>
    <t>H</t>
  </si>
  <si>
    <t>Supply of following items for Aviation Requirements</t>
  </si>
  <si>
    <t>Span Markers</t>
  </si>
  <si>
    <t>No.</t>
  </si>
  <si>
    <r>
      <t xml:space="preserve">17. Dismantling and Transportation of Dismantled Stub (Per Leg)
</t>
    </r>
    <r>
      <rPr>
        <sz val="12"/>
        <color indexed="8"/>
        <rFont val="Calibri"/>
        <family val="2"/>
      </rPr>
      <t>(a) Dismantling of Existing Stub up to 1.5 Meter including Blasting, Reaming, and levelling and handing over of materials to GIS Vadodara Store</t>
    </r>
    <r>
      <rPr>
        <b/>
        <sz val="12"/>
        <color indexed="8"/>
        <rFont val="Calibri"/>
        <family val="2"/>
      </rPr>
      <t xml:space="preserve"> (per leg)</t>
    </r>
  </si>
  <si>
    <t>13. Installation of insulator strings complete with arcing horns &amp; necessary hardware, installing &amp; stringing of conductor including fixing of conductor accessories, installing &amp; stringing of earthwire/OPGW including fixing of earthwire/OPGW accessories for the line 
(a) 400kV AC Double Circuit  Quad Bundle Conductor</t>
  </si>
  <si>
    <t>kM</t>
  </si>
  <si>
    <t>Establishment of Labour camps as per provision under Facilities to be incorporated for labourers in technical specification</t>
  </si>
  <si>
    <t>LS</t>
  </si>
  <si>
    <t>(`c) Reinforcement Cement Concrete (RCC-M25)</t>
  </si>
  <si>
    <t>CuM</t>
  </si>
  <si>
    <t>Installation of following items for Aviation Requirement
(a) Span Markers</t>
  </si>
  <si>
    <t>Nos</t>
  </si>
  <si>
    <t>(b) Painting of Tower- Normal Tower</t>
  </si>
  <si>
    <t>Fabrication &amp; Supply of Pole</t>
  </si>
  <si>
    <t>(a)Fabrication, galvanising and supply of various type of Pole &amp; Pole parts,Pole extensions (complete) excluding Anchor Bolt, Step Bolt but including hangers, D-shackles, pack washer etc.- Grade 450 or Equivalent</t>
  </si>
  <si>
    <t>(b)Fabrication, galvanising and supply of Base plate, Anchor plate etc- Grade 350 or Equivalent</t>
  </si>
  <si>
    <t>(`c)Supply of Bolt &amp; nuts with Spring Washer Grade-5.6 and Step Bolts with spring washer Grade 4.6</t>
  </si>
  <si>
    <t>(d)Supply of Bolt &amp; nuts for Pole including Spring Washer Grade 8.8</t>
  </si>
  <si>
    <t>(`e)Supply of Anchor Bolt &amp; nuts for Pole including Spring Washer Grade 8.8</t>
  </si>
  <si>
    <r>
      <rPr>
        <b/>
        <sz val="11"/>
        <rFont val="Calibri"/>
        <family val="2"/>
      </rPr>
      <t>(4) Hardware Fitting for  400kV AC with Quad ACSR Moose Conductor</t>
    </r>
    <r>
      <rPr>
        <sz val="11"/>
        <rFont val="Calibri"/>
        <family val="1"/>
      </rPr>
      <t xml:space="preserve">
(a) Double 'I' Suspension String</t>
    </r>
  </si>
  <si>
    <t>(5)Hardware fittings for 400kV AC with twin ACSR Moose Conductor</t>
  </si>
  <si>
    <t>(a) Single I Suspension String (Pilot)</t>
  </si>
  <si>
    <t xml:space="preserve">(b) Double Tension string </t>
  </si>
  <si>
    <t>(`c) Single I Suspension String</t>
  </si>
  <si>
    <t>(f) Twin Bundle spacer for conductor</t>
  </si>
  <si>
    <t>(g) Twin spacer for jumper</t>
  </si>
  <si>
    <r>
      <t xml:space="preserve">3. Benching
</t>
    </r>
    <r>
      <rPr>
        <sz val="12"/>
        <color indexed="8"/>
        <rFont val="Calibri"/>
        <family val="2"/>
      </rPr>
      <t>(a) Normal Soil</t>
    </r>
    <r>
      <rPr>
        <b/>
        <sz val="12"/>
        <color indexed="8"/>
        <rFont val="Calibri"/>
        <family val="2"/>
      </rPr>
      <t xml:space="preserve"> (all kinds of soil except Fissured rock, hard rock and sandy soil)</t>
    </r>
  </si>
  <si>
    <t>12. Monopole foundation</t>
  </si>
  <si>
    <t>M</t>
  </si>
  <si>
    <t>M3</t>
  </si>
  <si>
    <t>(a) Boring , providing and installation of bored Cast-in-situ RCC vertical Caisson of specified diameter and length below the ground level with M30 grade of cement concrete including  the cost of boring with temporary Guide casing, bentonite solution, all necessary labour, materials, plants, tools &amp; tackles, complete as necessary for proper execution of the job excluding the cost of reinforcement steel  &amp; Boring in all types of rock: 3800mm diameter R.C.C.vertical bored caisson upto 20 m depth from Ground Level.</t>
  </si>
  <si>
    <t>(b) Extra rate over item (3800mm diameter R.C.C.vertical bored pile upto 20 m from ground level) for boring including socketing,anchoring (if required) with required size,nos. &amp; depth of Reinforcement in all types of rocks other than hard rock upto 20m from ground level</t>
  </si>
  <si>
    <t>(e) Providing and installation of Cast-in-situ RCC vertical Caisson of specified diameter and of specified length above the ground level with M30 grade of cement concrete including  temporary Guide casing/shuttering, all necessary labour, materials, plants, tools &amp; tackles complete as necessary for proper execution of the job excluding the cost of reinforcement steel : 3800mm diameter R.C.C.vertical bored caisson upto 3.225m from Ground Level.</t>
  </si>
  <si>
    <t>(f) Supply and placing of steel reinforcement for R.C.C. work in Cassion foundation including  cost of all labours ,materials, straightening, cleaning,cutting, bending, binding etc. all complete as per construction drawing and instruction of Engineer-In-Charge.</t>
  </si>
  <si>
    <t>(c) Extra rate over item (3800mm diameter R.C.C.vertical bored pile upto 20 m from ground level) for boring including socketing,anchoring (if required) with required size,nos. &amp; depth of Reinforcement in hard rock upto 5m depth till founding level</t>
  </si>
  <si>
    <t>13. Erection of Monopole</t>
  </si>
  <si>
    <t>(a) Installation of transmission line pole &amp; pole extension and all other strucutral components suitable for pole structures (400kV DC) as per approved design and instruction of Engineer In charge</t>
  </si>
  <si>
    <t>(b) Installation of Anchor Plate, Foundation bolts, Base plate and Template as per approved design and instruction of Engineer In charge</t>
  </si>
  <si>
    <r>
      <rPr>
        <b/>
        <sz val="11"/>
        <rFont val="Calibri"/>
        <family val="2"/>
      </rPr>
      <t>(6) Accessories for ACSR Moose Conductor for 400kV TL</t>
    </r>
    <r>
      <rPr>
        <sz val="11"/>
        <rFont val="Calibri"/>
        <family val="1"/>
      </rPr>
      <t xml:space="preserve">
(a) Mid span compression joint </t>
    </r>
  </si>
  <si>
    <r>
      <rPr>
        <b/>
        <sz val="11"/>
        <rFont val="Calibri"/>
        <family val="2"/>
      </rPr>
      <t>(7) Accessories for 7/3.66mm Earthwire</t>
    </r>
    <r>
      <rPr>
        <sz val="11"/>
        <rFont val="Calibri"/>
        <family val="1"/>
      </rPr>
      <t xml:space="preserve"> 
(a) Mid span compression joint </t>
    </r>
  </si>
  <si>
    <t>Diversion of 400kV DC Vadodara-Pirana TL &amp; 400kV DC Pirana-Ranchhodpura &amp; Pirana-Nicol TL due to construction of new Railway line from Barajedi to Sanand District by Western Railway, Ahmedabad</t>
  </si>
  <si>
    <t>41</t>
  </si>
  <si>
    <t>42</t>
  </si>
  <si>
    <t>43</t>
  </si>
  <si>
    <t>44</t>
  </si>
  <si>
    <t>45</t>
  </si>
  <si>
    <t>46</t>
  </si>
  <si>
    <t>47</t>
  </si>
  <si>
    <t>48</t>
  </si>
  <si>
    <t>49</t>
  </si>
  <si>
    <t>50</t>
  </si>
  <si>
    <t>51</t>
  </si>
  <si>
    <t>WR2/NT/W-CIVIL/DOM/G01/26/07698</t>
  </si>
  <si>
    <t>15 Months</t>
  </si>
  <si>
    <t>RFX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</si>
</sst>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0"/>
    <numFmt numFmtId="167" formatCode="#\,##\,##0.00"/>
    <numFmt numFmtId="168" formatCode="[$-409]dd\-mmm\-yy;@"/>
    <numFmt numFmtId="169" formatCode="0;\-0;;@"/>
    <numFmt numFmtId="170" formatCode="0;0;;@"/>
    <numFmt numFmtId="171" formatCode="[$₹-4009]\ #,##0.00"/>
  </numFmts>
  <fonts count="56" x14ac:knownFonts="1">
    <font>
      <sz val="10"/>
      <name val="Arial"/>
    </font>
    <font>
      <sz val="10"/>
      <name val="Arial"/>
      <family val="2"/>
    </font>
    <font>
      <sz val="10"/>
      <name val="Arial"/>
      <family val="2"/>
    </font>
    <font>
      <sz val="10"/>
      <name val="Bookman Old Style"/>
      <family val="1"/>
    </font>
    <font>
      <b/>
      <sz val="10"/>
      <name val="Bookman Old Style"/>
      <family val="1"/>
    </font>
    <font>
      <sz val="11"/>
      <name val="Bookman Old Style"/>
      <family val="1"/>
    </font>
    <font>
      <b/>
      <sz val="16"/>
      <name val="Bookman Old Style"/>
      <family val="1"/>
    </font>
    <font>
      <b/>
      <sz val="11"/>
      <name val="Bookman Old Style"/>
      <family val="1"/>
    </font>
    <font>
      <sz val="11"/>
      <name val="Book Antiqua"/>
      <family val="1"/>
    </font>
    <font>
      <b/>
      <sz val="14"/>
      <name val="Bookman Old Style"/>
      <family val="1"/>
    </font>
    <font>
      <b/>
      <sz val="14"/>
      <name val="Book Antiqua"/>
      <family val="1"/>
    </font>
    <font>
      <b/>
      <sz val="20"/>
      <name val="Bookman Old Style"/>
      <family val="1"/>
    </font>
    <font>
      <b/>
      <sz val="16"/>
      <name val="Book Antiqua"/>
      <family val="1"/>
    </font>
    <font>
      <sz val="14"/>
      <name val="Bookman Old Style"/>
      <family val="1"/>
    </font>
    <font>
      <sz val="16"/>
      <name val="Bookman Old Style"/>
      <family val="1"/>
    </font>
    <font>
      <b/>
      <sz val="12"/>
      <name val="Book Antiqua"/>
      <family val="1"/>
    </font>
    <font>
      <sz val="12"/>
      <name val="Book Antiqua"/>
      <family val="1"/>
    </font>
    <font>
      <sz val="10"/>
      <name val="Book Antiqua"/>
      <family val="1"/>
    </font>
    <font>
      <b/>
      <sz val="11"/>
      <name val="Book Antiqua"/>
      <family val="1"/>
    </font>
    <font>
      <b/>
      <vertAlign val="superscript"/>
      <sz val="11"/>
      <name val="Book Antiqua"/>
      <family val="1"/>
    </font>
    <font>
      <b/>
      <sz val="11"/>
      <color indexed="12"/>
      <name val="Book Antiqua"/>
      <family val="1"/>
    </font>
    <font>
      <b/>
      <sz val="11"/>
      <color indexed="9"/>
      <name val="Book Antiqua"/>
      <family val="1"/>
    </font>
    <font>
      <b/>
      <sz val="10"/>
      <name val="Book Antiqua"/>
      <family val="1"/>
    </font>
    <font>
      <sz val="12"/>
      <color indexed="8"/>
      <name val="Calibri"/>
      <family val="2"/>
    </font>
    <font>
      <sz val="12"/>
      <name val="Calibri"/>
      <family val="2"/>
    </font>
    <font>
      <b/>
      <sz val="12"/>
      <name val="Calibri"/>
      <family val="2"/>
    </font>
    <font>
      <sz val="14"/>
      <name val="Cambria"/>
      <family val="1"/>
    </font>
    <font>
      <sz val="11"/>
      <name val="Times New Roman"/>
      <family val="1"/>
    </font>
    <font>
      <b/>
      <sz val="12"/>
      <color indexed="8"/>
      <name val="Calibri"/>
      <family val="2"/>
    </font>
    <font>
      <sz val="8"/>
      <name val="Arial"/>
      <family val="2"/>
    </font>
    <font>
      <sz val="11"/>
      <name val="Calibri"/>
      <family val="1"/>
    </font>
    <font>
      <sz val="11"/>
      <name val="Calibri"/>
      <family val="2"/>
    </font>
    <font>
      <b/>
      <sz val="11"/>
      <name val="Calibri"/>
      <family val="2"/>
    </font>
    <font>
      <b/>
      <sz val="12"/>
      <name val="Bookman Old Style"/>
      <family val="1"/>
    </font>
    <font>
      <b/>
      <sz val="10"/>
      <name val="Arial"/>
      <family val="2"/>
    </font>
    <font>
      <sz val="11"/>
      <name val="Arial"/>
      <family val="2"/>
    </font>
    <font>
      <sz val="12"/>
      <name val="Arial"/>
      <family val="2"/>
    </font>
    <font>
      <sz val="11"/>
      <color theme="1"/>
      <name val="Calibri"/>
      <family val="2"/>
      <scheme val="minor"/>
    </font>
    <font>
      <b/>
      <sz val="11"/>
      <color theme="1"/>
      <name val="Bookman Old Style"/>
      <family val="1"/>
    </font>
    <font>
      <sz val="12"/>
      <color theme="1"/>
      <name val="Calibri"/>
      <family val="2"/>
    </font>
    <font>
      <b/>
      <sz val="12"/>
      <color theme="1"/>
      <name val="Calibri"/>
      <family val="2"/>
    </font>
    <font>
      <b/>
      <sz val="12"/>
      <color theme="1"/>
      <name val="Calibri"/>
      <family val="2"/>
      <scheme val="minor"/>
    </font>
    <font>
      <sz val="12"/>
      <name val="Calibri"/>
      <family val="2"/>
      <scheme val="minor"/>
    </font>
    <font>
      <sz val="11"/>
      <color theme="1"/>
      <name val="Calibri"/>
      <family val="1"/>
      <scheme val="minor"/>
    </font>
    <font>
      <b/>
      <sz val="11"/>
      <color theme="1"/>
      <name val="Calibri"/>
      <family val="1"/>
      <scheme val="minor"/>
    </font>
    <font>
      <sz val="11"/>
      <color rgb="FF000000"/>
      <name val="Calibri"/>
      <family val="2"/>
      <scheme val="minor"/>
    </font>
    <font>
      <sz val="11"/>
      <name val="Calibri"/>
      <family val="1"/>
      <scheme val="minor"/>
    </font>
    <font>
      <sz val="11"/>
      <name val="Calibri"/>
      <family val="2"/>
      <scheme val="minor"/>
    </font>
    <font>
      <b/>
      <sz val="11"/>
      <name val="Calibri"/>
      <family val="2"/>
      <scheme val="minor"/>
    </font>
    <font>
      <b/>
      <sz val="12"/>
      <color theme="1"/>
      <name val="Calibri"/>
      <family val="1"/>
      <scheme val="minor"/>
    </font>
    <font>
      <b/>
      <sz val="14"/>
      <color theme="1"/>
      <name val="Calibri"/>
      <family val="2"/>
    </font>
    <font>
      <b/>
      <sz val="14"/>
      <color theme="1"/>
      <name val="Cambria"/>
      <family val="1"/>
    </font>
    <font>
      <b/>
      <sz val="14"/>
      <color rgb="FFFF0000"/>
      <name val="Calibri"/>
      <family val="2"/>
    </font>
    <font>
      <sz val="11"/>
      <color theme="1"/>
      <name val="Bookman Old Style"/>
      <family val="1"/>
    </font>
    <font>
      <b/>
      <sz val="18"/>
      <color theme="1"/>
      <name val="Bookman Old Style"/>
      <family val="1"/>
    </font>
    <font>
      <b/>
      <sz val="14"/>
      <color theme="1"/>
      <name val="Book Antiqua"/>
      <family val="1"/>
    </font>
  </fonts>
  <fills count="8">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hair">
        <color indexed="64"/>
      </top>
      <bottom/>
      <diagonal/>
    </border>
    <border>
      <left/>
      <right/>
      <top/>
      <bottom style="hair">
        <color indexed="64"/>
      </bottom>
      <diagonal/>
    </border>
  </borders>
  <cellStyleXfs count="16">
    <xf numFmtId="0" fontId="0"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xf>
    <xf numFmtId="0" fontId="1" fillId="0" borderId="0"/>
    <xf numFmtId="0" fontId="8" fillId="0" borderId="0"/>
    <xf numFmtId="0" fontId="1" fillId="0" borderId="0"/>
    <xf numFmtId="0" fontId="37" fillId="0" borderId="0"/>
    <xf numFmtId="0" fontId="17" fillId="0" borderId="0"/>
    <xf numFmtId="0" fontId="8" fillId="0" borderId="0"/>
    <xf numFmtId="0" fontId="17" fillId="0" borderId="0"/>
    <xf numFmtId="0" fontId="1" fillId="0" borderId="0"/>
    <xf numFmtId="0" fontId="8" fillId="0" borderId="0"/>
    <xf numFmtId="9" fontId="2" fillId="0" borderId="0" applyFont="0" applyFill="0" applyBorder="0" applyAlignment="0" applyProtection="0"/>
    <xf numFmtId="9" fontId="37" fillId="0" borderId="0" applyFont="0" applyFill="0" applyBorder="0" applyAlignment="0" applyProtection="0"/>
  </cellStyleXfs>
  <cellXfs count="321">
    <xf numFmtId="0" fontId="0" fillId="0" borderId="0" xfId="0"/>
    <xf numFmtId="0" fontId="3" fillId="0" borderId="1" xfId="0" applyFont="1" applyBorder="1" applyAlignment="1">
      <alignment horizontal="center" vertical="center"/>
    </xf>
    <xf numFmtId="167" fontId="5" fillId="0" borderId="1" xfId="0" applyNumberFormat="1" applyFont="1" applyBorder="1" applyAlignment="1">
      <alignment vertical="center"/>
    </xf>
    <xf numFmtId="0" fontId="3" fillId="0" borderId="1" xfId="0" applyFont="1" applyBorder="1" applyAlignment="1">
      <alignment vertical="center"/>
    </xf>
    <xf numFmtId="0" fontId="3" fillId="0" borderId="0" xfId="0" applyFont="1"/>
    <xf numFmtId="0" fontId="3" fillId="0" borderId="2" xfId="0" applyFont="1" applyBorder="1" applyAlignment="1">
      <alignment vertical="center"/>
    </xf>
    <xf numFmtId="0" fontId="3" fillId="0" borderId="1" xfId="0" applyFont="1" applyBorder="1" applyAlignment="1">
      <alignment vertical="top" wrapText="1"/>
    </xf>
    <xf numFmtId="0" fontId="3" fillId="0" borderId="2" xfId="0" applyFont="1" applyBorder="1"/>
    <xf numFmtId="0" fontId="3" fillId="0" borderId="0" xfId="0" applyFont="1" applyAlignment="1">
      <alignment horizontal="left"/>
    </xf>
    <xf numFmtId="0" fontId="3" fillId="0" borderId="3" xfId="0" applyFont="1" applyBorder="1" applyAlignment="1">
      <alignment horizontal="left"/>
    </xf>
    <xf numFmtId="0" fontId="3" fillId="0" borderId="4" xfId="0" applyFont="1" applyBorder="1" applyAlignment="1">
      <alignment vertical="center"/>
    </xf>
    <xf numFmtId="0" fontId="38" fillId="0" borderId="1" xfId="0" applyFont="1" applyBorder="1" applyAlignment="1">
      <alignment horizontal="center" vertical="center" wrapText="1"/>
    </xf>
    <xf numFmtId="0" fontId="3" fillId="0" borderId="5" xfId="0" applyFont="1" applyBorder="1" applyAlignment="1">
      <alignment horizontal="center" vertical="center"/>
    </xf>
    <xf numFmtId="0" fontId="38" fillId="0" borderId="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xf numFmtId="2" fontId="38" fillId="0" borderId="1" xfId="0" applyNumberFormat="1" applyFont="1" applyBorder="1" applyAlignment="1">
      <alignment horizontal="right" vertical="center" wrapText="1"/>
    </xf>
    <xf numFmtId="0" fontId="5" fillId="0" borderId="7" xfId="0" applyFont="1" applyBorder="1" applyAlignment="1" applyProtection="1">
      <alignment vertical="center"/>
      <protection hidden="1"/>
    </xf>
    <xf numFmtId="0" fontId="3" fillId="0" borderId="1" xfId="0" applyFont="1" applyBorder="1" applyAlignment="1">
      <alignment horizontal="center" vertical="top"/>
    </xf>
    <xf numFmtId="0" fontId="4" fillId="0" borderId="1" xfId="0" applyFont="1" applyBorder="1" applyAlignment="1">
      <alignment horizontal="center" vertical="center" wrapText="1"/>
    </xf>
    <xf numFmtId="0" fontId="4" fillId="0" borderId="0" xfId="0" applyFont="1" applyAlignment="1">
      <alignment horizontal="center"/>
    </xf>
    <xf numFmtId="2" fontId="3" fillId="0" borderId="1" xfId="0" applyNumberFormat="1" applyFont="1" applyBorder="1" applyAlignment="1">
      <alignment vertical="center"/>
    </xf>
    <xf numFmtId="2" fontId="3" fillId="0" borderId="0" xfId="0" applyNumberFormat="1" applyFont="1"/>
    <xf numFmtId="2" fontId="3" fillId="0" borderId="1" xfId="0" applyNumberFormat="1" applyFont="1" applyBorder="1" applyAlignment="1">
      <alignment vertical="center" wrapText="1"/>
    </xf>
    <xf numFmtId="167" fontId="3" fillId="0" borderId="1" xfId="0" applyNumberFormat="1"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top"/>
    </xf>
    <xf numFmtId="0" fontId="3" fillId="0" borderId="10" xfId="0" applyFont="1" applyBorder="1" applyAlignment="1">
      <alignment vertical="top"/>
    </xf>
    <xf numFmtId="0" fontId="3" fillId="0" borderId="3" xfId="0" applyFont="1" applyBorder="1" applyAlignment="1">
      <alignment horizontal="right" vertical="center"/>
    </xf>
    <xf numFmtId="167" fontId="7" fillId="0" borderId="1" xfId="0" applyNumberFormat="1" applyFont="1" applyBorder="1" applyAlignment="1">
      <alignment vertical="center"/>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4" fillId="0" borderId="0" xfId="0" applyFont="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top"/>
    </xf>
    <xf numFmtId="0" fontId="9"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xf>
    <xf numFmtId="0" fontId="9" fillId="0" borderId="1" xfId="0" applyFont="1" applyBorder="1" applyAlignment="1">
      <alignment horizontal="center" vertical="center"/>
    </xf>
    <xf numFmtId="167" fontId="5" fillId="4" borderId="1" xfId="0" applyNumberFormat="1" applyFont="1" applyFill="1" applyBorder="1" applyAlignment="1">
      <alignment vertical="center"/>
    </xf>
    <xf numFmtId="2" fontId="3" fillId="4" borderId="1" xfId="0" applyNumberFormat="1" applyFont="1" applyFill="1" applyBorder="1" applyAlignment="1">
      <alignment vertical="center"/>
    </xf>
    <xf numFmtId="0" fontId="5" fillId="0" borderId="0" xfId="0" applyFont="1" applyAlignment="1" applyProtection="1">
      <alignment vertical="center"/>
      <protection hidden="1"/>
    </xf>
    <xf numFmtId="0" fontId="5" fillId="0" borderId="0" xfId="0" applyFont="1"/>
    <xf numFmtId="0" fontId="15" fillId="0" borderId="1" xfId="0" applyFont="1" applyBorder="1" applyAlignment="1" applyProtection="1">
      <alignment vertical="center"/>
      <protection hidden="1"/>
    </xf>
    <xf numFmtId="0" fontId="18" fillId="0" borderId="3" xfId="9" applyFont="1" applyBorder="1" applyAlignment="1">
      <alignment vertical="center"/>
    </xf>
    <xf numFmtId="0" fontId="8" fillId="0" borderId="3" xfId="9" applyFont="1" applyBorder="1" applyAlignment="1">
      <alignment vertical="center"/>
    </xf>
    <xf numFmtId="0" fontId="18" fillId="0" borderId="3" xfId="9" applyFont="1" applyBorder="1" applyAlignment="1">
      <alignment horizontal="right" vertical="center"/>
    </xf>
    <xf numFmtId="0" fontId="8" fillId="0" borderId="0" xfId="9" applyFont="1" applyAlignment="1">
      <alignment vertical="center"/>
    </xf>
    <xf numFmtId="0" fontId="18" fillId="0" borderId="0" xfId="9" applyFont="1" applyAlignment="1">
      <alignment horizontal="center" vertical="center"/>
    </xf>
    <xf numFmtId="0" fontId="8" fillId="0" borderId="0" xfId="9" applyFont="1" applyAlignment="1">
      <alignment horizontal="left" vertical="center"/>
    </xf>
    <xf numFmtId="168" fontId="8" fillId="0" borderId="0" xfId="9" applyNumberFormat="1" applyFont="1" applyAlignment="1">
      <alignment horizontal="left" vertical="center"/>
    </xf>
    <xf numFmtId="0" fontId="8" fillId="0" borderId="0" xfId="10" applyAlignment="1">
      <alignment horizontal="left" vertical="center"/>
    </xf>
    <xf numFmtId="0" fontId="18" fillId="0" borderId="0" xfId="10" applyFont="1" applyAlignment="1">
      <alignment horizontal="left" vertical="center"/>
    </xf>
    <xf numFmtId="0" fontId="8" fillId="0" borderId="0" xfId="9" applyFont="1" applyAlignment="1">
      <alignment horizontal="justify" vertical="center"/>
    </xf>
    <xf numFmtId="0" fontId="8" fillId="0" borderId="0" xfId="13" applyAlignment="1">
      <alignment horizontal="left" vertical="center"/>
    </xf>
    <xf numFmtId="0" fontId="8" fillId="0" borderId="0" xfId="9" applyFont="1" applyAlignment="1">
      <alignment vertical="top"/>
    </xf>
    <xf numFmtId="164" fontId="8" fillId="0" borderId="0" xfId="9" applyNumberFormat="1" applyFont="1" applyAlignment="1">
      <alignment horizontal="center" vertical="top"/>
    </xf>
    <xf numFmtId="0" fontId="8" fillId="0" borderId="0" xfId="9" applyFont="1" applyAlignment="1">
      <alignment horizontal="justify" vertical="top"/>
    </xf>
    <xf numFmtId="164" fontId="8" fillId="0" borderId="0" xfId="9" applyNumberFormat="1" applyFont="1" applyAlignment="1">
      <alignment horizontal="center" vertical="center"/>
    </xf>
    <xf numFmtId="0" fontId="8" fillId="0" borderId="0" xfId="9" applyFont="1" applyAlignment="1">
      <alignment horizontal="center" vertical="top"/>
    </xf>
    <xf numFmtId="0" fontId="8" fillId="0" borderId="0" xfId="6" applyAlignment="1">
      <alignment vertical="center"/>
    </xf>
    <xf numFmtId="0" fontId="8" fillId="0" borderId="0" xfId="6" applyAlignment="1">
      <alignment horizontal="center" vertical="center" wrapText="1"/>
    </xf>
    <xf numFmtId="0" fontId="8" fillId="0" borderId="0" xfId="6"/>
    <xf numFmtId="0" fontId="8" fillId="0" borderId="0" xfId="6" applyAlignment="1">
      <alignment horizontal="justify" vertical="center"/>
    </xf>
    <xf numFmtId="164" fontId="8" fillId="0" borderId="0" xfId="6" applyNumberFormat="1" applyAlignment="1">
      <alignment horizontal="center" vertical="center"/>
    </xf>
    <xf numFmtId="0" fontId="8" fillId="0" borderId="0" xfId="6" applyAlignment="1">
      <alignment horizontal="right" vertical="center"/>
    </xf>
    <xf numFmtId="0" fontId="8" fillId="0" borderId="0" xfId="9" applyFont="1"/>
    <xf numFmtId="168" fontId="18" fillId="0" borderId="0" xfId="9" applyNumberFormat="1" applyFont="1" applyAlignment="1">
      <alignment vertical="center"/>
    </xf>
    <xf numFmtId="0" fontId="18" fillId="0" borderId="0" xfId="9" applyFont="1" applyAlignment="1">
      <alignment horizontal="right" vertical="center"/>
    </xf>
    <xf numFmtId="0" fontId="18" fillId="0" borderId="0" xfId="9" applyFont="1" applyAlignment="1">
      <alignment horizontal="left" vertical="center" indent="2"/>
    </xf>
    <xf numFmtId="0" fontId="18" fillId="0" borderId="0" xfId="9" applyFont="1" applyAlignment="1">
      <alignment horizontal="left" vertical="center" indent="1"/>
    </xf>
    <xf numFmtId="0" fontId="8" fillId="0" borderId="0" xfId="9" applyFont="1" applyAlignment="1">
      <alignment horizontal="left" vertical="center" indent="1"/>
    </xf>
    <xf numFmtId="0" fontId="8" fillId="0" borderId="0" xfId="6" applyAlignment="1">
      <alignment horizontal="left" vertical="center" wrapText="1" indent="2"/>
    </xf>
    <xf numFmtId="0" fontId="8" fillId="0" borderId="0" xfId="6" applyAlignment="1">
      <alignment vertical="center" wrapText="1"/>
    </xf>
    <xf numFmtId="168" fontId="18" fillId="0" borderId="0" xfId="6" applyNumberFormat="1" applyFont="1" applyAlignment="1">
      <alignment horizontal="left" vertical="center" indent="1"/>
    </xf>
    <xf numFmtId="0" fontId="8" fillId="2" borderId="0" xfId="6" applyFill="1" applyAlignment="1">
      <alignment vertical="center"/>
    </xf>
    <xf numFmtId="0" fontId="8" fillId="0" borderId="0" xfId="6" applyAlignment="1">
      <alignment horizontal="left" vertical="center" indent="2"/>
    </xf>
    <xf numFmtId="0" fontId="18" fillId="0" borderId="0" xfId="6" applyFont="1" applyAlignment="1">
      <alignment horizontal="left" vertical="center"/>
    </xf>
    <xf numFmtId="0" fontId="8" fillId="2" borderId="13" xfId="6" applyFill="1" applyBorder="1" applyAlignment="1" applyProtection="1">
      <alignment horizontal="left" vertical="center"/>
      <protection locked="0"/>
    </xf>
    <xf numFmtId="0" fontId="8" fillId="0" borderId="0" xfId="9" applyFont="1" applyAlignment="1">
      <alignment horizontal="justify"/>
    </xf>
    <xf numFmtId="0" fontId="8" fillId="0" borderId="0" xfId="9" quotePrefix="1" applyFont="1" applyAlignment="1">
      <alignment horizontal="justify"/>
    </xf>
    <xf numFmtId="4" fontId="15" fillId="0" borderId="0" xfId="9" quotePrefix="1" applyNumberFormat="1" applyFont="1" applyAlignment="1">
      <alignment vertical="center"/>
    </xf>
    <xf numFmtId="0" fontId="18" fillId="0" borderId="0" xfId="11" applyFont="1" applyAlignment="1" applyProtection="1">
      <alignment horizontal="center" vertical="center"/>
      <protection hidden="1"/>
    </xf>
    <xf numFmtId="0" fontId="8" fillId="0" borderId="0" xfId="11" applyFont="1" applyAlignment="1" applyProtection="1">
      <alignment horizontal="justify" vertical="center"/>
      <protection hidden="1"/>
    </xf>
    <xf numFmtId="0" fontId="8" fillId="0" borderId="0" xfId="11" applyFont="1" applyAlignment="1" applyProtection="1">
      <alignment vertical="center"/>
      <protection hidden="1"/>
    </xf>
    <xf numFmtId="0" fontId="8" fillId="0" borderId="9" xfId="11" applyFont="1" applyBorder="1" applyAlignment="1" applyProtection="1">
      <alignment vertical="center" wrapText="1"/>
      <protection hidden="1"/>
    </xf>
    <xf numFmtId="0" fontId="8" fillId="0" borderId="11" xfId="11" applyFont="1" applyBorder="1" applyAlignment="1" applyProtection="1">
      <alignment vertical="center" wrapText="1"/>
      <protection hidden="1"/>
    </xf>
    <xf numFmtId="0" fontId="16" fillId="2" borderId="1" xfId="11" applyFont="1" applyFill="1" applyBorder="1" applyAlignment="1" applyProtection="1">
      <alignment horizontal="left" vertical="center"/>
      <protection locked="0"/>
    </xf>
    <xf numFmtId="0" fontId="8" fillId="0" borderId="0" xfId="11" applyFont="1" applyAlignment="1" applyProtection="1">
      <alignment vertical="center" wrapText="1"/>
      <protection hidden="1"/>
    </xf>
    <xf numFmtId="0" fontId="8" fillId="0" borderId="0" xfId="11" applyFont="1" applyAlignment="1" applyProtection="1">
      <alignment horizontal="center" vertical="center"/>
      <protection hidden="1"/>
    </xf>
    <xf numFmtId="0" fontId="8" fillId="0" borderId="14" xfId="11" applyFont="1" applyBorder="1" applyAlignment="1" applyProtection="1">
      <alignment vertical="center"/>
      <protection hidden="1"/>
    </xf>
    <xf numFmtId="0" fontId="8" fillId="0" borderId="15" xfId="11" applyFont="1" applyBorder="1" applyAlignment="1" applyProtection="1">
      <alignment vertical="center"/>
      <protection hidden="1"/>
    </xf>
    <xf numFmtId="0" fontId="8" fillId="2" borderId="16" xfId="11" applyFont="1" applyFill="1" applyBorder="1" applyAlignment="1" applyProtection="1">
      <alignment vertical="center" wrapText="1"/>
      <protection locked="0"/>
    </xf>
    <xf numFmtId="0" fontId="8" fillId="0" borderId="17" xfId="11" applyFont="1" applyBorder="1" applyAlignment="1" applyProtection="1">
      <alignment vertical="center" wrapText="1"/>
      <protection hidden="1"/>
    </xf>
    <xf numFmtId="0" fontId="8" fillId="0" borderId="18" xfId="11" applyFont="1" applyBorder="1" applyAlignment="1" applyProtection="1">
      <alignment vertical="center"/>
      <protection hidden="1"/>
    </xf>
    <xf numFmtId="0" fontId="8" fillId="0" borderId="19" xfId="11" applyFont="1" applyBorder="1" applyAlignment="1" applyProtection="1">
      <alignment vertical="center"/>
      <protection hidden="1"/>
    </xf>
    <xf numFmtId="0" fontId="8" fillId="0" borderId="20" xfId="11" applyFont="1" applyBorder="1" applyAlignment="1" applyProtection="1">
      <alignment vertical="center"/>
      <protection hidden="1"/>
    </xf>
    <xf numFmtId="0" fontId="8" fillId="0" borderId="6" xfId="11" applyFont="1" applyBorder="1" applyAlignment="1" applyProtection="1">
      <alignment vertical="center"/>
      <protection hidden="1"/>
    </xf>
    <xf numFmtId="0" fontId="8" fillId="0" borderId="4" xfId="11" applyFont="1" applyBorder="1" applyAlignment="1" applyProtection="1">
      <alignment vertical="center"/>
      <protection hidden="1"/>
    </xf>
    <xf numFmtId="0" fontId="8" fillId="0" borderId="17" xfId="11" applyFont="1" applyBorder="1" applyAlignment="1" applyProtection="1">
      <alignment vertical="center"/>
      <protection hidden="1"/>
    </xf>
    <xf numFmtId="0" fontId="8" fillId="0" borderId="9" xfId="11" applyFont="1" applyBorder="1" applyAlignment="1" applyProtection="1">
      <alignment horizontal="left" vertical="center"/>
      <protection hidden="1"/>
    </xf>
    <xf numFmtId="0" fontId="8" fillId="0" borderId="11" xfId="11" applyFont="1" applyBorder="1" applyAlignment="1" applyProtection="1">
      <alignment horizontal="left" vertical="center"/>
      <protection hidden="1"/>
    </xf>
    <xf numFmtId="49" fontId="8" fillId="2" borderId="16" xfId="11" applyNumberFormat="1" applyFont="1" applyFill="1" applyBorder="1" applyAlignment="1" applyProtection="1">
      <alignment vertical="center" wrapText="1"/>
      <protection locked="0"/>
    </xf>
    <xf numFmtId="0" fontId="8" fillId="0" borderId="0" xfId="11" applyFont="1" applyAlignment="1" applyProtection="1">
      <alignment horizontal="left" vertical="center"/>
      <protection hidden="1"/>
    </xf>
    <xf numFmtId="15" fontId="8" fillId="2" borderId="16" xfId="11" applyNumberFormat="1" applyFont="1" applyFill="1" applyBorder="1" applyAlignment="1" applyProtection="1">
      <alignment vertical="center" wrapText="1"/>
      <protection locked="0"/>
    </xf>
    <xf numFmtId="0" fontId="1" fillId="0" borderId="1" xfId="12" applyBorder="1"/>
    <xf numFmtId="15" fontId="3" fillId="0" borderId="0" xfId="0" applyNumberFormat="1" applyFont="1" applyAlignment="1">
      <alignment horizontal="left"/>
    </xf>
    <xf numFmtId="49" fontId="3" fillId="0" borderId="2" xfId="0" applyNumberFormat="1" applyFont="1" applyBorder="1" applyAlignment="1">
      <alignment horizontal="left"/>
    </xf>
    <xf numFmtId="0" fontId="3" fillId="0" borderId="4" xfId="0" applyFont="1" applyBorder="1" applyAlignment="1">
      <alignment horizontal="left"/>
    </xf>
    <xf numFmtId="0" fontId="1" fillId="0" borderId="1" xfId="12" applyBorder="1" applyAlignment="1">
      <alignment horizontal="left"/>
    </xf>
    <xf numFmtId="167" fontId="3" fillId="0" borderId="21" xfId="0" applyNumberFormat="1" applyFont="1" applyBorder="1" applyAlignment="1">
      <alignment vertical="center" wrapText="1"/>
    </xf>
    <xf numFmtId="0" fontId="3" fillId="0" borderId="3" xfId="0" applyFont="1" applyBorder="1" applyAlignment="1">
      <alignment horizontal="center" vertical="center"/>
    </xf>
    <xf numFmtId="0" fontId="39" fillId="5" borderId="0" xfId="0" applyFont="1" applyFill="1" applyProtection="1">
      <protection hidden="1"/>
    </xf>
    <xf numFmtId="0" fontId="40" fillId="5" borderId="1" xfId="0" applyFont="1" applyFill="1" applyBorder="1" applyAlignment="1" applyProtection="1">
      <alignment horizontal="center" vertical="center" wrapText="1"/>
      <protection hidden="1"/>
    </xf>
    <xf numFmtId="0" fontId="39" fillId="5" borderId="0" xfId="0" applyFont="1" applyFill="1" applyAlignment="1" applyProtection="1">
      <alignment horizontal="center"/>
      <protection hidden="1"/>
    </xf>
    <xf numFmtId="0" fontId="39" fillId="5" borderId="1" xfId="0" applyFont="1" applyFill="1" applyBorder="1" applyAlignment="1" applyProtection="1">
      <alignment horizontal="center" vertical="center" wrapText="1"/>
      <protection hidden="1"/>
    </xf>
    <xf numFmtId="0" fontId="39" fillId="5" borderId="1" xfId="0" applyFont="1" applyFill="1" applyBorder="1" applyAlignment="1" applyProtection="1">
      <alignment horizontal="center" vertical="center"/>
      <protection hidden="1"/>
    </xf>
    <xf numFmtId="0" fontId="39" fillId="5" borderId="1" xfId="0" applyFont="1" applyFill="1" applyBorder="1" applyAlignment="1" applyProtection="1">
      <alignment horizontal="center"/>
      <protection hidden="1"/>
    </xf>
    <xf numFmtId="165" fontId="39" fillId="5" borderId="1" xfId="0" applyNumberFormat="1" applyFont="1" applyFill="1" applyBorder="1" applyAlignment="1" applyProtection="1">
      <alignment horizontal="center" vertical="center"/>
      <protection hidden="1"/>
    </xf>
    <xf numFmtId="0" fontId="41" fillId="5" borderId="0" xfId="0" applyFont="1" applyFill="1" applyAlignment="1" applyProtection="1">
      <alignment horizontal="left" vertical="center"/>
      <protection hidden="1"/>
    </xf>
    <xf numFmtId="0" fontId="42" fillId="5" borderId="0" xfId="0" applyFont="1" applyFill="1" applyProtection="1">
      <protection hidden="1"/>
    </xf>
    <xf numFmtId="0" fontId="42" fillId="5" borderId="0" xfId="0" applyFont="1" applyFill="1" applyAlignment="1" applyProtection="1">
      <alignment vertical="center"/>
      <protection hidden="1"/>
    </xf>
    <xf numFmtId="0" fontId="42" fillId="0" borderId="1" xfId="0" applyFont="1" applyBorder="1" applyAlignment="1" applyProtection="1">
      <alignment horizontal="center" vertical="center" wrapText="1"/>
      <protection hidden="1"/>
    </xf>
    <xf numFmtId="2" fontId="39" fillId="5" borderId="1" xfId="0" applyNumberFormat="1" applyFont="1" applyFill="1" applyBorder="1" applyAlignment="1" applyProtection="1">
      <alignment horizontal="center" vertical="center"/>
      <protection hidden="1"/>
    </xf>
    <xf numFmtId="0" fontId="42" fillId="5" borderId="0" xfId="0" applyFont="1" applyFill="1" applyAlignment="1" applyProtection="1">
      <alignment horizontal="center"/>
      <protection hidden="1"/>
    </xf>
    <xf numFmtId="15" fontId="42" fillId="5" borderId="0" xfId="0" applyNumberFormat="1" applyFont="1" applyFill="1" applyProtection="1">
      <protection hidden="1"/>
    </xf>
    <xf numFmtId="2" fontId="39" fillId="0" borderId="1" xfId="0" applyNumberFormat="1" applyFont="1" applyBorder="1" applyAlignment="1" applyProtection="1">
      <alignment horizontal="center" vertical="center"/>
      <protection hidden="1"/>
    </xf>
    <xf numFmtId="0" fontId="39" fillId="5" borderId="1" xfId="0" applyFont="1" applyFill="1" applyBorder="1" applyAlignment="1" applyProtection="1">
      <alignment vertical="center"/>
      <protection hidden="1"/>
    </xf>
    <xf numFmtId="0" fontId="39" fillId="5" borderId="1" xfId="0" applyFont="1" applyFill="1" applyBorder="1" applyAlignment="1" applyProtection="1">
      <alignment vertical="top"/>
      <protection hidden="1"/>
    </xf>
    <xf numFmtId="0" fontId="3" fillId="0" borderId="0" xfId="8" applyFont="1"/>
    <xf numFmtId="0" fontId="38" fillId="0" borderId="1" xfId="8" applyFont="1" applyBorder="1" applyAlignment="1">
      <alignment horizontal="center" vertical="center" wrapText="1"/>
    </xf>
    <xf numFmtId="0" fontId="38" fillId="0" borderId="1" xfId="8" applyFont="1" applyBorder="1" applyAlignment="1">
      <alignment horizontal="center" vertical="center"/>
    </xf>
    <xf numFmtId="0" fontId="3" fillId="0" borderId="1" xfId="8" applyFont="1" applyBorder="1" applyAlignment="1">
      <alignment vertical="top" wrapText="1"/>
    </xf>
    <xf numFmtId="0" fontId="3" fillId="0" borderId="5" xfId="8" applyFont="1" applyBorder="1" applyAlignment="1">
      <alignment horizontal="center" vertical="center"/>
    </xf>
    <xf numFmtId="0" fontId="3" fillId="0" borderId="2" xfId="8" applyFont="1" applyBorder="1"/>
    <xf numFmtId="2" fontId="38" fillId="0" borderId="1" xfId="8" applyNumberFormat="1" applyFont="1" applyBorder="1" applyAlignment="1">
      <alignment horizontal="center" vertical="center" wrapText="1"/>
    </xf>
    <xf numFmtId="0" fontId="3" fillId="0" borderId="1" xfId="8" applyFont="1" applyBorder="1" applyAlignment="1">
      <alignment horizontal="center" vertical="top"/>
    </xf>
    <xf numFmtId="0" fontId="3" fillId="0" borderId="1" xfId="8" applyFont="1" applyBorder="1" applyAlignment="1">
      <alignment horizontal="center" vertical="center"/>
    </xf>
    <xf numFmtId="0" fontId="9"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3" fillId="0" borderId="1" xfId="8" applyFont="1" applyBorder="1" applyAlignment="1">
      <alignment horizontal="center" vertical="center"/>
    </xf>
    <xf numFmtId="171" fontId="33" fillId="0" borderId="1" xfId="8" applyNumberFormat="1" applyFont="1" applyBorder="1" applyAlignment="1">
      <alignment horizontal="center" vertical="center"/>
    </xf>
    <xf numFmtId="0" fontId="1" fillId="0" borderId="0" xfId="0" applyFont="1"/>
    <xf numFmtId="0" fontId="37" fillId="0" borderId="0" xfId="8"/>
    <xf numFmtId="0" fontId="43" fillId="0" borderId="1" xfId="8" applyFont="1" applyBorder="1"/>
    <xf numFmtId="0" fontId="43" fillId="0" borderId="1" xfId="8" applyFont="1" applyBorder="1" applyAlignment="1">
      <alignment horizontal="center" vertical="center"/>
    </xf>
    <xf numFmtId="0" fontId="43" fillId="0" borderId="1" xfId="8" applyFont="1" applyBorder="1" applyAlignment="1">
      <alignment wrapText="1"/>
    </xf>
    <xf numFmtId="0" fontId="44" fillId="0" borderId="1" xfId="8" applyFont="1" applyBorder="1" applyAlignment="1">
      <alignment horizontal="center" vertical="center"/>
    </xf>
    <xf numFmtId="0" fontId="44" fillId="0" borderId="1" xfId="8" applyFont="1" applyBorder="1" applyAlignment="1">
      <alignment horizontal="center" vertical="center" wrapText="1"/>
    </xf>
    <xf numFmtId="0" fontId="43" fillId="0" borderId="1" xfId="8" applyFont="1" applyBorder="1" applyAlignment="1">
      <alignment horizontal="center"/>
    </xf>
    <xf numFmtId="0" fontId="41" fillId="4" borderId="9" xfId="8" applyFont="1" applyFill="1" applyBorder="1" applyAlignment="1">
      <alignment horizontal="center" vertical="center"/>
    </xf>
    <xf numFmtId="0" fontId="44" fillId="4" borderId="1" xfId="8" applyFont="1" applyFill="1" applyBorder="1" applyAlignment="1">
      <alignment vertical="center"/>
    </xf>
    <xf numFmtId="9" fontId="43" fillId="0" borderId="1" xfId="8" applyNumberFormat="1" applyFont="1" applyBorder="1" applyAlignment="1">
      <alignment horizontal="center"/>
    </xf>
    <xf numFmtId="0" fontId="45" fillId="5" borderId="1" xfId="2" applyFont="1" applyFill="1" applyBorder="1" applyAlignment="1">
      <alignment horizontal="left" vertical="center" wrapText="1"/>
    </xf>
    <xf numFmtId="0" fontId="46" fillId="5" borderId="1" xfId="2" applyFont="1" applyFill="1" applyBorder="1" applyAlignment="1">
      <alignment horizontal="center" vertical="center" wrapText="1"/>
    </xf>
    <xf numFmtId="2" fontId="46" fillId="5" borderId="1" xfId="8" applyNumberFormat="1" applyFont="1" applyFill="1" applyBorder="1" applyAlignment="1">
      <alignment horizontal="center" vertical="center" wrapText="1"/>
    </xf>
    <xf numFmtId="0" fontId="37" fillId="0" borderId="1" xfId="8" applyBorder="1" applyAlignment="1">
      <alignment horizontal="center" vertical="center"/>
    </xf>
    <xf numFmtId="0" fontId="43" fillId="5" borderId="1" xfId="8" applyFont="1" applyFill="1" applyBorder="1" applyAlignment="1">
      <alignment horizontal="center" vertical="center"/>
    </xf>
    <xf numFmtId="0" fontId="46" fillId="5" borderId="1" xfId="2" applyFont="1" applyFill="1" applyBorder="1" applyAlignment="1">
      <alignment horizontal="left" vertical="center" wrapText="1"/>
    </xf>
    <xf numFmtId="0" fontId="44" fillId="4" borderId="1" xfId="8" applyFont="1" applyFill="1" applyBorder="1" applyAlignment="1">
      <alignment horizontal="center" vertical="center"/>
    </xf>
    <xf numFmtId="0" fontId="44" fillId="4" borderId="9" xfId="8" applyFont="1" applyFill="1" applyBorder="1" applyAlignment="1">
      <alignment vertical="center"/>
    </xf>
    <xf numFmtId="0" fontId="44" fillId="4" borderId="7" xfId="8" applyFont="1" applyFill="1" applyBorder="1" applyAlignment="1">
      <alignment vertical="center"/>
    </xf>
    <xf numFmtId="0" fontId="37" fillId="4" borderId="1" xfId="8" applyFill="1" applyBorder="1" applyAlignment="1">
      <alignment horizontal="center" vertical="center"/>
    </xf>
    <xf numFmtId="0" fontId="43" fillId="4" borderId="1" xfId="8" applyFont="1" applyFill="1" applyBorder="1" applyAlignment="1">
      <alignment horizontal="center" vertical="center"/>
    </xf>
    <xf numFmtId="165" fontId="46" fillId="5" borderId="1" xfId="8" applyNumberFormat="1" applyFont="1" applyFill="1" applyBorder="1" applyAlignment="1">
      <alignment horizontal="center" vertical="center" wrapText="1"/>
    </xf>
    <xf numFmtId="170" fontId="8" fillId="5" borderId="1" xfId="3" applyNumberFormat="1" applyFont="1" applyFill="1" applyBorder="1" applyAlignment="1">
      <alignment vertical="center" wrapText="1"/>
    </xf>
    <xf numFmtId="170" fontId="46" fillId="5" borderId="1" xfId="8" applyNumberFormat="1" applyFont="1" applyFill="1" applyBorder="1" applyAlignment="1">
      <alignment horizontal="center" vertical="center" wrapText="1"/>
    </xf>
    <xf numFmtId="170" fontId="8" fillId="5" borderId="7" xfId="3" applyNumberFormat="1" applyFont="1" applyFill="1" applyBorder="1" applyAlignment="1">
      <alignment vertical="center" wrapText="1"/>
    </xf>
    <xf numFmtId="170" fontId="46" fillId="0" borderId="1" xfId="8" applyNumberFormat="1" applyFont="1" applyBorder="1" applyAlignment="1">
      <alignment horizontal="center" vertical="center" wrapText="1"/>
    </xf>
    <xf numFmtId="0" fontId="47" fillId="5" borderId="1" xfId="2" applyFont="1" applyFill="1" applyBorder="1" applyAlignment="1">
      <alignment horizontal="left" vertical="center" wrapText="1"/>
    </xf>
    <xf numFmtId="0" fontId="47" fillId="5" borderId="22" xfId="2" applyFont="1" applyFill="1" applyBorder="1" applyAlignment="1">
      <alignment horizontal="left" vertical="center" wrapText="1"/>
    </xf>
    <xf numFmtId="170" fontId="46" fillId="5" borderId="22" xfId="8" applyNumberFormat="1" applyFont="1" applyFill="1" applyBorder="1" applyAlignment="1">
      <alignment horizontal="center" vertical="center" wrapText="1"/>
    </xf>
    <xf numFmtId="0" fontId="37" fillId="0" borderId="1" xfId="8" applyBorder="1" applyAlignment="1">
      <alignment horizontal="left" vertical="center"/>
    </xf>
    <xf numFmtId="0" fontId="44" fillId="0" borderId="1" xfId="8" applyFont="1" applyBorder="1" applyAlignment="1">
      <alignment horizontal="left" vertical="center"/>
    </xf>
    <xf numFmtId="170" fontId="8" fillId="5" borderId="1" xfId="3" applyNumberFormat="1" applyFont="1" applyFill="1" applyBorder="1" applyAlignment="1">
      <alignment horizontal="center" vertical="center"/>
    </xf>
    <xf numFmtId="0" fontId="48" fillId="5" borderId="1" xfId="2" applyFont="1" applyFill="1" applyBorder="1" applyAlignment="1">
      <alignment horizontal="left" vertical="center" wrapText="1"/>
    </xf>
    <xf numFmtId="0" fontId="37" fillId="0" borderId="1" xfId="8" applyBorder="1" applyAlignment="1">
      <alignment horizontal="center"/>
    </xf>
    <xf numFmtId="0" fontId="49" fillId="0" borderId="1" xfId="8" applyFont="1" applyBorder="1" applyAlignment="1">
      <alignment horizontal="center" vertical="center"/>
    </xf>
    <xf numFmtId="165" fontId="44" fillId="4" borderId="7" xfId="8" applyNumberFormat="1" applyFont="1" applyFill="1" applyBorder="1" applyAlignment="1">
      <alignment vertical="center"/>
    </xf>
    <xf numFmtId="165" fontId="44" fillId="4" borderId="1" xfId="8" applyNumberFormat="1" applyFont="1" applyFill="1" applyBorder="1" applyAlignment="1">
      <alignment vertical="center"/>
    </xf>
    <xf numFmtId="0" fontId="3" fillId="5" borderId="0" xfId="0" applyFont="1" applyFill="1" applyAlignment="1">
      <alignment vertical="center"/>
    </xf>
    <xf numFmtId="49" fontId="39" fillId="5" borderId="1" xfId="0" applyNumberFormat="1" applyFont="1" applyFill="1" applyBorder="1" applyAlignment="1">
      <alignment horizontal="center" vertical="center" wrapText="1"/>
    </xf>
    <xf numFmtId="169" fontId="40" fillId="5" borderId="1" xfId="0" applyNumberFormat="1" applyFont="1" applyFill="1" applyBorder="1" applyAlignment="1">
      <alignment horizontal="justify" vertical="center" wrapText="1"/>
    </xf>
    <xf numFmtId="0" fontId="39" fillId="5" borderId="0" xfId="0" applyFont="1" applyFill="1" applyAlignment="1">
      <alignment vertical="center"/>
    </xf>
    <xf numFmtId="169" fontId="39" fillId="5" borderId="1" xfId="0" applyNumberFormat="1" applyFont="1" applyFill="1" applyBorder="1" applyAlignment="1">
      <alignment horizontal="justify" vertical="center" wrapText="1"/>
    </xf>
    <xf numFmtId="169" fontId="39" fillId="0" borderId="1" xfId="0" applyNumberFormat="1" applyFont="1" applyBorder="1" applyAlignment="1">
      <alignment horizontal="justify" vertical="center" wrapText="1"/>
    </xf>
    <xf numFmtId="2" fontId="39" fillId="5" borderId="0" xfId="0" applyNumberFormat="1" applyFont="1" applyFill="1" applyAlignment="1">
      <alignment vertical="center"/>
    </xf>
    <xf numFmtId="169" fontId="40" fillId="0" borderId="1" xfId="0" applyNumberFormat="1" applyFont="1" applyBorder="1" applyAlignment="1">
      <alignment horizontal="justify" vertical="center" wrapText="1"/>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40" fillId="5" borderId="1" xfId="0" applyFont="1" applyFill="1" applyBorder="1" applyAlignment="1">
      <alignment horizontal="left" vertical="center" wrapText="1"/>
    </xf>
    <xf numFmtId="0" fontId="39" fillId="5" borderId="1" xfId="0" applyFont="1" applyFill="1" applyBorder="1" applyAlignment="1">
      <alignment horizontal="left" vertical="center" wrapText="1"/>
    </xf>
    <xf numFmtId="0" fontId="40" fillId="0" borderId="1" xfId="0" applyFont="1" applyBorder="1" applyAlignment="1">
      <alignment horizontal="justify" vertical="center" wrapText="1"/>
    </xf>
    <xf numFmtId="0" fontId="24" fillId="0" borderId="1" xfId="0" applyFont="1" applyBorder="1" applyAlignment="1">
      <alignment wrapText="1"/>
    </xf>
    <xf numFmtId="0" fontId="39" fillId="5" borderId="1" xfId="0" applyFont="1" applyFill="1" applyBorder="1" applyAlignment="1">
      <alignment vertical="center"/>
    </xf>
    <xf numFmtId="0" fontId="39" fillId="5" borderId="1" xfId="0" applyFont="1" applyFill="1" applyBorder="1" applyAlignment="1">
      <alignment horizontal="center" vertical="center"/>
    </xf>
    <xf numFmtId="0" fontId="39" fillId="5" borderId="9" xfId="0" applyFont="1" applyFill="1" applyBorder="1" applyAlignment="1">
      <alignment horizontal="center" vertical="center"/>
    </xf>
    <xf numFmtId="2" fontId="50" fillId="5" borderId="1" xfId="0" applyNumberFormat="1" applyFont="1" applyFill="1" applyBorder="1" applyAlignment="1">
      <alignment horizontal="center" vertical="center"/>
    </xf>
    <xf numFmtId="0" fontId="42" fillId="5" borderId="0" xfId="0" applyFont="1" applyFill="1" applyAlignment="1">
      <alignment horizontal="center" vertical="center"/>
    </xf>
    <xf numFmtId="49" fontId="42" fillId="5" borderId="0" xfId="0" applyNumberFormat="1" applyFont="1" applyFill="1" applyAlignment="1">
      <alignment vertical="center"/>
    </xf>
    <xf numFmtId="166" fontId="42" fillId="5" borderId="0" xfId="0" applyNumberFormat="1" applyFont="1" applyFill="1" applyAlignment="1">
      <alignment horizontal="center" vertical="center"/>
    </xf>
    <xf numFmtId="0" fontId="42" fillId="5" borderId="0" xfId="0" applyFont="1" applyFill="1" applyAlignment="1">
      <alignment vertical="center"/>
    </xf>
    <xf numFmtId="2" fontId="3" fillId="0" borderId="1" xfId="8" applyNumberFormat="1" applyFont="1" applyBorder="1" applyAlignment="1">
      <alignment horizontal="center" vertical="top"/>
    </xf>
    <xf numFmtId="9" fontId="43" fillId="6" borderId="1" xfId="15" applyFont="1" applyFill="1" applyBorder="1" applyAlignment="1" applyProtection="1">
      <alignment horizontal="center" vertical="center"/>
      <protection locked="0"/>
    </xf>
    <xf numFmtId="0" fontId="44" fillId="6" borderId="7" xfId="8" applyFont="1" applyFill="1" applyBorder="1" applyAlignment="1" applyProtection="1">
      <alignment vertical="center"/>
      <protection locked="0"/>
    </xf>
    <xf numFmtId="0" fontId="44" fillId="6" borderId="1" xfId="8" applyFont="1" applyFill="1" applyBorder="1" applyAlignment="1" applyProtection="1">
      <alignment vertical="center"/>
      <protection locked="0"/>
    </xf>
    <xf numFmtId="0" fontId="43" fillId="6" borderId="1" xfId="8" applyFont="1" applyFill="1" applyBorder="1" applyAlignment="1" applyProtection="1">
      <alignment horizontal="center" vertical="center"/>
      <protection locked="0"/>
    </xf>
    <xf numFmtId="0" fontId="44" fillId="6" borderId="1" xfId="8" applyFont="1" applyFill="1" applyBorder="1" applyAlignment="1" applyProtection="1">
      <alignment horizontal="left" vertical="center"/>
      <protection locked="0"/>
    </xf>
    <xf numFmtId="0" fontId="43" fillId="6" borderId="1" xfId="8" applyFont="1" applyFill="1" applyBorder="1" applyAlignment="1" applyProtection="1">
      <alignment horizontal="center"/>
      <protection locked="0"/>
    </xf>
    <xf numFmtId="0" fontId="17" fillId="6" borderId="1" xfId="4" applyFont="1" applyFill="1" applyBorder="1" applyAlignment="1" applyProtection="1">
      <alignment horizontal="center" vertical="center"/>
      <protection locked="0"/>
    </xf>
    <xf numFmtId="0" fontId="17" fillId="6" borderId="10" xfId="4" applyFont="1" applyFill="1" applyBorder="1" applyAlignment="1" applyProtection="1">
      <alignment horizontal="center" vertical="center"/>
      <protection locked="0"/>
    </xf>
    <xf numFmtId="170" fontId="8" fillId="6" borderId="1" xfId="3" applyNumberFormat="1" applyFont="1" applyFill="1" applyBorder="1" applyAlignment="1" applyProtection="1">
      <alignment horizontal="center" vertical="center"/>
      <protection locked="0"/>
    </xf>
    <xf numFmtId="170" fontId="18" fillId="6" borderId="1" xfId="3" applyNumberFormat="1" applyFont="1" applyFill="1" applyBorder="1" applyAlignment="1" applyProtection="1">
      <alignment horizontal="center" vertical="center"/>
      <protection locked="0"/>
    </xf>
    <xf numFmtId="0" fontId="8" fillId="6" borderId="1" xfId="4" applyFont="1" applyFill="1" applyBorder="1" applyAlignment="1" applyProtection="1">
      <alignment horizontal="center" vertical="center"/>
      <protection locked="0"/>
    </xf>
    <xf numFmtId="9" fontId="26" fillId="6" borderId="1" xfId="14" applyFont="1" applyFill="1" applyBorder="1" applyAlignment="1" applyProtection="1">
      <alignment horizontal="center" vertical="center"/>
      <protection locked="0"/>
    </xf>
    <xf numFmtId="0" fontId="44" fillId="0" borderId="10" xfId="8" applyFont="1" applyBorder="1" applyAlignment="1">
      <alignment horizontal="center" vertical="center"/>
    </xf>
    <xf numFmtId="0" fontId="51" fillId="7" borderId="1" xfId="0" applyFont="1" applyFill="1" applyBorder="1" applyAlignment="1">
      <alignment horizontal="center" vertical="center" wrapText="1"/>
    </xf>
    <xf numFmtId="0" fontId="31" fillId="5" borderId="1" xfId="2" applyFont="1" applyFill="1" applyBorder="1" applyAlignment="1">
      <alignment horizontal="left" vertical="center" wrapText="1"/>
    </xf>
    <xf numFmtId="170" fontId="35" fillId="5" borderId="1" xfId="0" applyNumberFormat="1" applyFont="1" applyFill="1" applyBorder="1" applyAlignment="1">
      <alignment vertical="center" wrapText="1"/>
    </xf>
    <xf numFmtId="2" fontId="42" fillId="5" borderId="0" xfId="0" applyNumberFormat="1" applyFont="1" applyFill="1" applyAlignment="1">
      <alignment horizontal="center" vertical="center"/>
    </xf>
    <xf numFmtId="169" fontId="36" fillId="0" borderId="1" xfId="0" applyNumberFormat="1"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left" vertical="top" wrapText="1"/>
    </xf>
    <xf numFmtId="165" fontId="39" fillId="0" borderId="1" xfId="0" applyNumberFormat="1" applyFont="1" applyBorder="1" applyAlignment="1" applyProtection="1">
      <alignment horizontal="center" vertical="center"/>
      <protection hidden="1"/>
    </xf>
    <xf numFmtId="0" fontId="34" fillId="0" borderId="1" xfId="0" applyFont="1" applyBorder="1" applyAlignment="1">
      <alignment wrapText="1"/>
    </xf>
    <xf numFmtId="0" fontId="35" fillId="0" borderId="1" xfId="0" applyFont="1" applyBorder="1" applyAlignment="1">
      <alignment wrapText="1"/>
    </xf>
    <xf numFmtId="9" fontId="39" fillId="5" borderId="1" xfId="0" applyNumberFormat="1" applyFont="1" applyFill="1" applyBorder="1" applyAlignment="1" applyProtection="1">
      <alignment horizontal="center" vertical="center" wrapText="1"/>
      <protection hidden="1"/>
    </xf>
    <xf numFmtId="0" fontId="40" fillId="5" borderId="1" xfId="0" applyFont="1" applyFill="1" applyBorder="1" applyAlignment="1">
      <alignment vertical="center" wrapText="1"/>
    </xf>
    <xf numFmtId="2" fontId="46" fillId="0" borderId="1" xfId="8" applyNumberFormat="1" applyFont="1" applyBorder="1" applyAlignment="1">
      <alignment horizontal="center" vertical="center" wrapText="1"/>
    </xf>
    <xf numFmtId="2" fontId="46" fillId="0" borderId="22" xfId="8" applyNumberFormat="1" applyFont="1" applyBorder="1" applyAlignment="1">
      <alignment horizontal="center" vertical="center" wrapText="1"/>
    </xf>
    <xf numFmtId="0" fontId="44" fillId="0" borderId="1" xfId="8" applyFont="1" applyBorder="1" applyAlignment="1">
      <alignment vertical="center"/>
    </xf>
    <xf numFmtId="2" fontId="8" fillId="6" borderId="1" xfId="4" applyNumberFormat="1" applyFont="1" applyFill="1" applyBorder="1" applyAlignment="1" applyProtection="1">
      <alignment vertical="center"/>
      <protection locked="0"/>
    </xf>
    <xf numFmtId="2" fontId="50" fillId="5" borderId="1" xfId="0" applyNumberFormat="1" applyFont="1" applyFill="1" applyBorder="1" applyAlignment="1">
      <alignment horizontal="center" vertical="center"/>
    </xf>
    <xf numFmtId="0" fontId="51" fillId="7" borderId="1" xfId="0" applyFont="1" applyFill="1" applyBorder="1" applyAlignment="1">
      <alignment horizontal="center" vertical="center" wrapText="1"/>
    </xf>
    <xf numFmtId="0" fontId="50" fillId="5" borderId="9" xfId="0" applyFont="1" applyFill="1" applyBorder="1" applyAlignment="1">
      <alignment horizontal="right" vertical="center"/>
    </xf>
    <xf numFmtId="0" fontId="50" fillId="5" borderId="7" xfId="0" applyFont="1" applyFill="1" applyBorder="1" applyAlignment="1">
      <alignment horizontal="right" vertical="center"/>
    </xf>
    <xf numFmtId="0" fontId="50" fillId="5" borderId="11" xfId="0" applyFont="1" applyFill="1" applyBorder="1" applyAlignment="1">
      <alignment horizontal="right" vertical="center"/>
    </xf>
    <xf numFmtId="0" fontId="39" fillId="5" borderId="1" xfId="0" applyFont="1" applyFill="1" applyBorder="1" applyAlignment="1" applyProtection="1">
      <alignment horizontal="left" vertical="center"/>
      <protection hidden="1"/>
    </xf>
    <xf numFmtId="0" fontId="39" fillId="5" borderId="1" xfId="0" applyFont="1" applyFill="1" applyBorder="1" applyAlignment="1">
      <alignment horizontal="left" vertical="center"/>
    </xf>
    <xf numFmtId="0" fontId="39" fillId="5" borderId="1" xfId="0" applyFont="1" applyFill="1" applyBorder="1" applyAlignment="1" applyProtection="1">
      <alignment vertical="top"/>
      <protection hidden="1"/>
    </xf>
    <xf numFmtId="0" fontId="39" fillId="5" borderId="1" xfId="0" applyFont="1" applyFill="1" applyBorder="1" applyAlignment="1" applyProtection="1">
      <alignment vertical="center"/>
      <protection hidden="1"/>
    </xf>
    <xf numFmtId="49" fontId="6" fillId="5" borderId="1" xfId="0" applyNumberFormat="1" applyFont="1" applyFill="1" applyBorder="1" applyAlignment="1">
      <alignment horizontal="center" vertical="center" wrapText="1"/>
    </xf>
    <xf numFmtId="0" fontId="52" fillId="5" borderId="1" xfId="0" applyFont="1" applyFill="1" applyBorder="1" applyAlignment="1" applyProtection="1">
      <alignment horizontal="center" vertical="center" wrapText="1"/>
      <protection hidden="1"/>
    </xf>
    <xf numFmtId="0" fontId="50" fillId="5" borderId="1" xfId="0" applyFont="1" applyFill="1" applyBorder="1" applyAlignment="1" applyProtection="1">
      <alignment horizontal="center" vertical="center" wrapText="1"/>
      <protection hidden="1"/>
    </xf>
    <xf numFmtId="0" fontId="17" fillId="0" borderId="1" xfId="0" applyFont="1" applyBorder="1" applyAlignment="1" applyProtection="1">
      <alignment horizontal="justify" vertical="center" wrapText="1"/>
      <protection hidden="1"/>
    </xf>
    <xf numFmtId="0" fontId="17" fillId="0" borderId="1" xfId="0" applyFont="1" applyBorder="1" applyAlignment="1" applyProtection="1">
      <alignment horizontal="justify" vertical="center"/>
      <protection hidden="1"/>
    </xf>
    <xf numFmtId="0" fontId="16" fillId="0" borderId="9"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0" fontId="16" fillId="0" borderId="11" xfId="0" applyFont="1" applyBorder="1" applyAlignment="1" applyProtection="1">
      <alignment horizontal="left" vertical="center"/>
      <protection hidden="1"/>
    </xf>
    <xf numFmtId="1" fontId="16" fillId="0" borderId="9" xfId="0" applyNumberFormat="1" applyFont="1" applyBorder="1" applyAlignment="1" applyProtection="1">
      <alignment horizontal="left" vertical="center"/>
      <protection hidden="1"/>
    </xf>
    <xf numFmtId="1" fontId="16" fillId="0" borderId="7" xfId="0" applyNumberFormat="1" applyFont="1" applyBorder="1" applyAlignment="1" applyProtection="1">
      <alignment horizontal="left" vertical="center"/>
      <protection hidden="1"/>
    </xf>
    <xf numFmtId="1" fontId="16" fillId="0" borderId="11" xfId="0" applyNumberFormat="1" applyFont="1" applyBorder="1" applyAlignment="1" applyProtection="1">
      <alignment horizontal="left" vertical="center"/>
      <protection hidden="1"/>
    </xf>
    <xf numFmtId="0" fontId="20" fillId="0" borderId="3" xfId="11" applyFont="1" applyBorder="1" applyAlignment="1" applyProtection="1">
      <alignment horizontal="center" vertical="center" wrapText="1"/>
      <protection hidden="1"/>
    </xf>
    <xf numFmtId="0" fontId="22" fillId="0" borderId="7" xfId="11" applyFont="1" applyBorder="1" applyAlignment="1" applyProtection="1">
      <alignment horizontal="center" vertical="center" wrapText="1"/>
      <protection hidden="1"/>
    </xf>
    <xf numFmtId="0" fontId="21" fillId="3" borderId="0" xfId="11" applyFont="1" applyFill="1" applyAlignment="1" applyProtection="1">
      <alignment horizontal="center" vertical="center"/>
      <protection hidden="1"/>
    </xf>
    <xf numFmtId="0" fontId="1" fillId="5" borderId="0" xfId="12" applyFill="1"/>
    <xf numFmtId="0" fontId="43" fillId="0" borderId="23" xfId="8" applyFont="1" applyBorder="1" applyAlignment="1">
      <alignment horizontal="center" vertical="center"/>
    </xf>
    <xf numFmtId="0" fontId="43" fillId="0" borderId="22" xfId="8" applyFont="1" applyBorder="1" applyAlignment="1">
      <alignment horizontal="center" vertical="center"/>
    </xf>
    <xf numFmtId="0" fontId="41" fillId="0" borderId="9" xfId="8" applyFont="1" applyBorder="1" applyAlignment="1">
      <alignment horizontal="right" vertical="center"/>
    </xf>
    <xf numFmtId="0" fontId="41" fillId="0" borderId="7" xfId="8" applyFont="1" applyBorder="1" applyAlignment="1">
      <alignment horizontal="right" vertical="center"/>
    </xf>
    <xf numFmtId="0" fontId="41" fillId="0" borderId="11" xfId="8" applyFont="1" applyBorder="1" applyAlignment="1">
      <alignment horizontal="right" vertical="center"/>
    </xf>
    <xf numFmtId="0" fontId="43" fillId="0" borderId="10" xfId="8" applyFont="1" applyBorder="1" applyAlignment="1">
      <alignment horizontal="center" vertical="center"/>
    </xf>
    <xf numFmtId="0" fontId="44" fillId="0" borderId="23" xfId="8" applyFont="1" applyBorder="1" applyAlignment="1">
      <alignment horizontal="center" vertical="center"/>
    </xf>
    <xf numFmtId="0" fontId="44" fillId="0" borderId="22" xfId="8" applyFont="1" applyBorder="1" applyAlignment="1">
      <alignment horizontal="center" vertical="center"/>
    </xf>
    <xf numFmtId="0" fontId="44" fillId="0" borderId="10" xfId="8" applyFont="1" applyBorder="1" applyAlignment="1">
      <alignment horizontal="center" vertical="center"/>
    </xf>
    <xf numFmtId="0" fontId="34" fillId="0" borderId="3" xfId="0" applyFont="1" applyBorder="1" applyAlignment="1">
      <alignment horizontal="center" vertical="center"/>
    </xf>
    <xf numFmtId="0" fontId="44" fillId="7" borderId="1" xfId="8" applyFont="1" applyFill="1" applyBorder="1" applyAlignment="1">
      <alignment horizontal="center"/>
    </xf>
    <xf numFmtId="0" fontId="44" fillId="0" borderId="1" xfId="8" applyFont="1" applyBorder="1" applyAlignment="1">
      <alignment horizontal="center"/>
    </xf>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34" fillId="0" borderId="3" xfId="0" applyFont="1" applyBorder="1" applyAlignment="1">
      <alignment horizontal="center" vertical="center" wrapText="1"/>
    </xf>
    <xf numFmtId="0" fontId="38" fillId="0" borderId="1" xfId="8" applyFont="1" applyBorder="1" applyAlignment="1">
      <alignment horizontal="justify" vertical="center" wrapText="1"/>
    </xf>
    <xf numFmtId="0" fontId="53" fillId="0" borderId="1" xfId="8" applyFont="1" applyBorder="1" applyAlignment="1">
      <alignment horizontal="justify" vertical="center" wrapText="1"/>
    </xf>
    <xf numFmtId="0" fontId="4" fillId="0" borderId="9" xfId="8" applyFont="1" applyBorder="1" applyAlignment="1">
      <alignment horizontal="left" vertical="center" wrapText="1"/>
    </xf>
    <xf numFmtId="0" fontId="4" fillId="0" borderId="11" xfId="8" applyFont="1" applyBorder="1" applyAlignment="1">
      <alignment horizontal="left" vertical="center" wrapText="1"/>
    </xf>
    <xf numFmtId="0" fontId="11" fillId="0" borderId="1" xfId="8" applyFont="1" applyBorder="1" applyAlignment="1">
      <alignment horizontal="center" vertical="center" wrapText="1"/>
    </xf>
    <xf numFmtId="0" fontId="4" fillId="0" borderId="1" xfId="8" applyFont="1" applyBorder="1" applyAlignment="1">
      <alignment horizontal="justify" vertical="center" wrapText="1"/>
    </xf>
    <xf numFmtId="0" fontId="4" fillId="0" borderId="1" xfId="8" applyFont="1" applyBorder="1" applyAlignment="1">
      <alignment horizontal="center" vertical="center" wrapText="1"/>
    </xf>
    <xf numFmtId="0" fontId="3" fillId="0" borderId="11" xfId="0" applyFont="1" applyBorder="1" applyAlignment="1">
      <alignment vertical="center"/>
    </xf>
    <xf numFmtId="0" fontId="3" fillId="0" borderId="1" xfId="0" applyFont="1" applyBorder="1" applyAlignment="1">
      <alignment vertical="center"/>
    </xf>
    <xf numFmtId="0" fontId="38" fillId="0" borderId="1" xfId="0" applyFont="1" applyBorder="1" applyAlignment="1">
      <alignment horizontal="justify" vertical="center" wrapText="1"/>
    </xf>
    <xf numFmtId="0" fontId="54" fillId="0" borderId="9"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23" xfId="0" applyFont="1" applyBorder="1" applyAlignment="1">
      <alignment vertical="center"/>
    </xf>
    <xf numFmtId="0" fontId="11"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5" fillId="0" borderId="9" xfId="0" applyFont="1" applyBorder="1" applyAlignment="1">
      <alignment horizontal="center" vertical="center" wrapText="1"/>
    </xf>
    <xf numFmtId="0" fontId="55"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Border="1" applyAlignment="1" applyProtection="1">
      <alignment horizontal="center" vertical="center" wrapText="1"/>
      <protection hidden="1"/>
    </xf>
    <xf numFmtId="0" fontId="14" fillId="0" borderId="1" xfId="0" applyFont="1" applyBorder="1" applyAlignment="1">
      <alignment horizontal="center" vertical="center" wrapText="1"/>
    </xf>
    <xf numFmtId="0" fontId="3" fillId="0" borderId="1" xfId="0" applyFont="1" applyBorder="1" applyAlignment="1">
      <alignment vertical="top"/>
    </xf>
    <xf numFmtId="0" fontId="4" fillId="0" borderId="1" xfId="0" applyFont="1" applyBorder="1" applyAlignment="1">
      <alignment horizontal="center" vertical="center" wrapText="1"/>
    </xf>
    <xf numFmtId="0" fontId="18" fillId="0" borderId="0" xfId="9" applyFont="1" applyAlignment="1">
      <alignment horizontal="center" vertical="center"/>
    </xf>
    <xf numFmtId="0" fontId="8" fillId="2" borderId="0" xfId="9" applyFont="1" applyFill="1" applyAlignment="1" applyProtection="1">
      <alignment horizontal="left" vertical="center"/>
      <protection locked="0"/>
    </xf>
    <xf numFmtId="168" fontId="8" fillId="0" borderId="0" xfId="9" applyNumberFormat="1" applyFont="1" applyAlignment="1">
      <alignment horizontal="left" vertical="center"/>
    </xf>
    <xf numFmtId="0" fontId="18" fillId="0" borderId="0" xfId="9" applyFont="1" applyAlignment="1">
      <alignment horizontal="justify" vertical="top"/>
    </xf>
    <xf numFmtId="0" fontId="8" fillId="0" borderId="0" xfId="9" applyFont="1" applyAlignment="1">
      <alignment horizontal="justify" vertical="top"/>
    </xf>
    <xf numFmtId="0" fontId="8" fillId="0" borderId="0" xfId="9" applyFont="1" applyAlignment="1">
      <alignment horizontal="justify" vertical="center"/>
    </xf>
    <xf numFmtId="0" fontId="18" fillId="0" borderId="0" xfId="9" applyFont="1" applyAlignment="1">
      <alignment horizontal="justify" vertical="center"/>
    </xf>
    <xf numFmtId="0" fontId="8" fillId="0" borderId="0" xfId="9" applyFont="1" applyAlignment="1">
      <alignment horizontal="left" vertical="top" wrapText="1"/>
    </xf>
    <xf numFmtId="0" fontId="8" fillId="0" borderId="0" xfId="9" applyFont="1" applyAlignment="1">
      <alignment horizontal="center" vertical="top"/>
    </xf>
    <xf numFmtId="168" fontId="18" fillId="0" borderId="0" xfId="9" applyNumberFormat="1" applyFont="1" applyAlignment="1">
      <alignment horizontal="left" vertical="center" indent="1"/>
    </xf>
    <xf numFmtId="0" fontId="8" fillId="0" borderId="0" xfId="6" applyAlignment="1">
      <alignment horizontal="left" vertical="center" wrapText="1" indent="2"/>
    </xf>
    <xf numFmtId="0" fontId="8" fillId="0" borderId="24" xfId="6" applyBorder="1" applyAlignment="1">
      <alignment horizontal="left" vertical="center" indent="2"/>
    </xf>
    <xf numFmtId="0" fontId="8" fillId="2" borderId="13" xfId="6" applyFill="1" applyBorder="1" applyAlignment="1" applyProtection="1">
      <alignment horizontal="left" vertical="center"/>
      <protection locked="0"/>
    </xf>
    <xf numFmtId="0" fontId="8" fillId="0" borderId="0" xfId="6" applyAlignment="1">
      <alignment horizontal="left" vertical="center" indent="2"/>
    </xf>
    <xf numFmtId="0" fontId="8" fillId="0" borderId="25" xfId="6" applyBorder="1" applyAlignment="1">
      <alignment horizontal="left" vertical="center" indent="2"/>
    </xf>
    <xf numFmtId="0" fontId="8" fillId="0" borderId="13" xfId="6" applyBorder="1" applyAlignment="1">
      <alignment horizontal="left" vertical="center" indent="2"/>
    </xf>
    <xf numFmtId="0" fontId="8" fillId="0" borderId="24" xfId="6" applyBorder="1" applyAlignment="1">
      <alignment horizontal="justify" vertical="center" wrapText="1"/>
    </xf>
    <xf numFmtId="0" fontId="10" fillId="0" borderId="0" xfId="9" quotePrefix="1" applyFont="1" applyAlignment="1">
      <alignment horizontal="center" vertical="center"/>
    </xf>
  </cellXfs>
  <cellStyles count="16">
    <cellStyle name="Normal" xfId="0" builtinId="0"/>
    <cellStyle name="Normal 10" xfId="1" xr:uid="{8F1ABF86-8F59-4140-A983-F502D1C652A8}"/>
    <cellStyle name="Normal 15" xfId="2" xr:uid="{D3345596-72A2-4822-976C-3217F67E5B82}"/>
    <cellStyle name="Normal 2" xfId="3" xr:uid="{D04C26A9-6BFD-4864-8BA8-CD0765DC063C}"/>
    <cellStyle name="Normal 2 3" xfId="4" xr:uid="{D67DCF18-CEB6-47B0-B6EF-739157E1E596}"/>
    <cellStyle name="Normal 3" xfId="5" xr:uid="{EBEC2EC6-B871-453C-8127-E75B219AF542}"/>
    <cellStyle name="Normal 4" xfId="6" xr:uid="{80B2258B-D195-4214-B0EE-F92A25A5E1A0}"/>
    <cellStyle name="Normal 4 2" xfId="7" xr:uid="{82B233E4-F46E-4CDB-9775-BD8335A70249}"/>
    <cellStyle name="Normal 5" xfId="8" xr:uid="{B3FBAF30-A061-4F42-ABDC-D96DE9D1381D}"/>
    <cellStyle name="Normal_Annexures TW 04" xfId="9" xr:uid="{2F10B91C-A3D5-4DED-B4DB-65D28E91DE5E}"/>
    <cellStyle name="Normal_Attach 3(JV)" xfId="10" xr:uid="{13D0BB92-BD94-47F9-8B71-EE5DB5C684C8}"/>
    <cellStyle name="Normal_Attacments TW 04" xfId="11" xr:uid="{851AFFFC-5DF6-427D-A488-16CD79524C90}"/>
    <cellStyle name="Normal_Entertainment Form" xfId="12" xr:uid="{7C9597F2-6AC8-4ABF-A361-CB850B8F17CA}"/>
    <cellStyle name="Normal_PRICE-SCHE Bihar-Rev-2-corrections_Annexures TW 04" xfId="13" xr:uid="{5BCA97DC-DAD3-4004-A196-10219CE748E3}"/>
    <cellStyle name="Percent" xfId="14" builtinId="5"/>
    <cellStyle name="Percent 2" xfId="15" xr:uid="{AEDAF3DF-AB12-4EFD-A6AD-2F7B0D2A4471}"/>
  </cellStyles>
  <dxfs count="3">
    <dxf>
      <font>
        <condense val="0"/>
        <extend val="0"/>
        <color indexed="9"/>
      </font>
      <fill>
        <patternFill patternType="none">
          <bgColor indexed="65"/>
        </patternFill>
      </fill>
    </dxf>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r2ss3\ENGG\Users\60041582\AppData\Local\Microsoft\Windows\INetCache\Content.Outlook\XODEUVVG\First%20Envelope-Bid%20Forms&amp;%20Attach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2ss3\ENGG\CIVIL\D\ENGG-CIVIL\ENGG%20CIVIL\7%20PROJECTS\79%20Bhuj%20Pooling%20SS-GEC\Tree%20Plantation\Tree%20Plantation%20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7.0.25\engg\CIVIL\D\ENGG-CIVIL\ENGG%20CIVIL\7%20PROJECTS\13%20INDORE\13F%20Site%20Levelling\Users\60001642\Downloads\10%20Price%20Schedule%20for%20csd%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r2ss3\ENGG\Tec%20Res.%20Impedance%20Relay\Soham%202018\e-tender%20Packages\CPP%20Portal%2019-20\Rewa%20Quarters\Volume%20III\Price%20Bid-Correct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r2ss3\ENGG\Soham\NIT-08-to%20be%20uploaded\Pck.%20F-Roads%20&amp;%20Drains-Banask-136282\Vol-III\Banas%20etender%20BOQ%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s of Bidder"/>
      <sheetName val="Attach 3(JV)"/>
      <sheetName val="Attach 3(QR)"/>
      <sheetName val="Attach 4 (A)"/>
      <sheetName val="Attach 4 (B)"/>
      <sheetName val="Attach 5A"/>
      <sheetName val="Attach 6"/>
      <sheetName val="Attach 7"/>
      <sheetName val="Attach 8"/>
      <sheetName val="Attach-8"/>
      <sheetName val="Attach 9"/>
      <sheetName val="Sheet2"/>
      <sheetName val="Attach 10"/>
      <sheetName val="Attach 11"/>
      <sheetName val="Attach 12"/>
      <sheetName val="Attach 13"/>
      <sheetName val="Attach 14"/>
      <sheetName val="Attach 14-IP"/>
      <sheetName val="Attach 14 IP"/>
      <sheetName val="Attach 15"/>
      <sheetName val="Attach 16"/>
      <sheetName val="Attach 17"/>
      <sheetName val="Attach 20"/>
      <sheetName val="Bid Form-1st Envelope"/>
      <sheetName val="e-Form"/>
      <sheetName val="N to W"/>
      <sheetName val="Sheet1"/>
    </sheetNames>
    <sheetDataSet>
      <sheetData sheetId="0">
        <row r="1">
          <cell r="A1" t="str">
            <v>Name of Package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Sch3a"/>
      <sheetName val="Sch3b"/>
      <sheetName val="Sch4"/>
      <sheetName val="Sch5"/>
      <sheetName val="Rate Analysis"/>
      <sheetName val="Bid Form 2nd Envelope"/>
    </sheetNames>
    <sheetDataSet>
      <sheetData sheetId="0"/>
      <sheetData sheetId="1"/>
      <sheetData sheetId="2"/>
      <sheetData sheetId="3">
        <row r="24">
          <cell r="G24"/>
        </row>
        <row r="25">
          <cell r="G25"/>
        </row>
        <row r="27">
          <cell r="G27"/>
        </row>
        <row r="28">
          <cell r="G28"/>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Sch-1"/>
      <sheetName val="Sch-2"/>
      <sheetName val="Sch-3 "/>
      <sheetName val="Sch-4"/>
      <sheetName val="Sch-5"/>
      <sheetName val="Sch-6"/>
      <sheetName val="Octroi"/>
      <sheetName val="Entry Tax"/>
      <sheetName val="Other Taxes &amp; Duties"/>
      <sheetName val="Bid Form 2nd Envelope"/>
      <sheetName val="Q &amp; C"/>
      <sheetName val="N to W"/>
      <sheetName val="Sheet1"/>
      <sheetName val="Sheet2"/>
    </sheetNames>
    <sheetDataSet>
      <sheetData sheetId="0" refreshError="1"/>
      <sheetData sheetId="1" refreshError="1"/>
      <sheetData sheetId="2" refreshError="1"/>
      <sheetData sheetId="3" refreshError="1"/>
      <sheetData sheetId="4" refreshError="1">
        <row r="5">
          <cell r="E5" t="str">
            <v>Contract Services</v>
          </cell>
        </row>
        <row r="6">
          <cell r="B6">
            <v>0</v>
          </cell>
          <cell r="E6" t="str">
            <v>Power Grid Corporation of India Ltd.,</v>
          </cell>
        </row>
        <row r="7">
          <cell r="E7" t="str">
            <v>Western Region Transmission System-II</v>
          </cell>
        </row>
        <row r="35">
          <cell r="B35" t="str">
            <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Sch-3A DSR civil Qtr"/>
      <sheetName val="Sch-3B Non-Sch civil Qtr"/>
      <sheetName val="Sch-3C -DSR  Elec Qtr"/>
      <sheetName val="Sch- 3D Non-Sch Elec Qtr"/>
      <sheetName val="Sch-3E DSR Elec Transit Camp"/>
      <sheetName val="Sch-3F Non Sch Elec-Trnsit Camp"/>
      <sheetName val="Sch-3G DSR Elect Community Cntr"/>
      <sheetName val="Sch-3H Non DSR Elec Commnty Cnt"/>
      <sheetName val="Sch 5 Taxes &amp; duties"/>
      <sheetName val="Sch 6 Grand Summary"/>
      <sheetName val="Bid Form 2nd Envelop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Sch-3(DSR Itms-Civil Work)"/>
      <sheetName val="Sch-3(NS Items-Civil Work)"/>
      <sheetName val="Sch-3(Electrical Itms)"/>
      <sheetName val="Sch-5"/>
      <sheetName val="Sch-6"/>
      <sheetName val="Bid Form 2nd Envelope"/>
      <sheetName val="Sheet1"/>
    </sheetNames>
    <sheetDataSet>
      <sheetData sheetId="0" refreshError="1"/>
      <sheetData sheetId="1" refreshError="1"/>
      <sheetData sheetId="2" refreshError="1"/>
      <sheetData sheetId="3" refreshError="1">
        <row r="6">
          <cell r="D6" t="str">
            <v>Sole Bidder</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D6B3D-2E8C-4F9F-AD37-37393CDEBE5D}">
  <sheetPr codeName="Sheet1"/>
  <dimension ref="A1:H4"/>
  <sheetViews>
    <sheetView workbookViewId="0">
      <selection activeCell="C15" sqref="C15"/>
    </sheetView>
  </sheetViews>
  <sheetFormatPr defaultRowHeight="12.75" x14ac:dyDescent="0.2"/>
  <cols>
    <col min="1" max="1" width="27.5703125" customWidth="1"/>
    <col min="2" max="2" width="14.85546875" customWidth="1"/>
    <col min="3" max="3" width="13.140625" customWidth="1"/>
  </cols>
  <sheetData>
    <row r="1" spans="1:8" ht="40.5" customHeight="1" x14ac:dyDescent="0.2">
      <c r="A1" s="48" t="s">
        <v>53</v>
      </c>
      <c r="B1" s="249" t="s">
        <v>340</v>
      </c>
      <c r="C1" s="250"/>
      <c r="D1" s="250"/>
      <c r="E1" s="250"/>
      <c r="F1" s="250"/>
      <c r="G1" s="250"/>
      <c r="H1" s="250"/>
    </row>
    <row r="2" spans="1:8" ht="50.25" customHeight="1" x14ac:dyDescent="0.2">
      <c r="A2" s="48" t="s">
        <v>354</v>
      </c>
      <c r="B2" s="251">
        <v>5002005413</v>
      </c>
      <c r="C2" s="252"/>
      <c r="D2" s="252"/>
      <c r="E2" s="252"/>
      <c r="F2" s="252"/>
      <c r="G2" s="252"/>
      <c r="H2" s="253"/>
    </row>
    <row r="3" spans="1:8" ht="42.75" customHeight="1" x14ac:dyDescent="0.2">
      <c r="A3" s="48" t="s">
        <v>54</v>
      </c>
      <c r="B3" s="251" t="s">
        <v>352</v>
      </c>
      <c r="C3" s="252"/>
      <c r="D3" s="252"/>
      <c r="E3" s="252"/>
      <c r="F3" s="252"/>
      <c r="G3" s="252"/>
      <c r="H3" s="253"/>
    </row>
    <row r="4" spans="1:8" ht="51.75" customHeight="1" x14ac:dyDescent="0.2">
      <c r="A4" s="48" t="s">
        <v>55</v>
      </c>
      <c r="B4" s="254" t="s">
        <v>353</v>
      </c>
      <c r="C4" s="255"/>
      <c r="D4" s="255"/>
      <c r="E4" s="255"/>
      <c r="F4" s="255"/>
      <c r="G4" s="255"/>
      <c r="H4" s="256"/>
    </row>
  </sheetData>
  <sheetProtection algorithmName="SHA-512" hashValue="9E/4JHZF5oPa0O97ZOeuVXCzISBPmyTi67RIjyzn5GQKzevZzrfWUgJ/vu/hyKcfY2hV9XRpxH5qwJkeAnyjwA==" saltValue="XX33xem5aXrBuq9PQafU2w==" spinCount="100000" sheet="1" objects="1" scenarios="1"/>
  <mergeCells count="4">
    <mergeCell ref="B1:H1"/>
    <mergeCell ref="B2:H2"/>
    <mergeCell ref="B3:H3"/>
    <mergeCell ref="B4:H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E3E6E-33EE-40A8-A487-D94E9A93CE15}">
  <sheetPr codeName="Sheet8"/>
  <dimension ref="A1"/>
  <sheetViews>
    <sheetView workbookViewId="0"/>
  </sheetViews>
  <sheetFormatPr defaultRowHeig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ACB3-AE1B-4A05-AA3D-B79607DDE151}">
  <sheetPr codeName="Sheet11"/>
  <dimension ref="A1:AB63"/>
  <sheetViews>
    <sheetView view="pageBreakPreview" zoomScale="120" zoomScaleNormal="100" zoomScaleSheetLayoutView="120" workbookViewId="0">
      <selection activeCell="B17" sqref="B17:F17"/>
    </sheetView>
  </sheetViews>
  <sheetFormatPr defaultRowHeight="12.75" x14ac:dyDescent="0.2"/>
  <cols>
    <col min="1" max="2" width="10.7109375" customWidth="1"/>
    <col min="3" max="3" width="14.7109375" customWidth="1"/>
    <col min="4" max="4" width="20.7109375" customWidth="1"/>
    <col min="5" max="5" width="12.7109375" customWidth="1"/>
    <col min="6" max="6" width="34.140625" customWidth="1"/>
    <col min="28" max="28" width="14.28515625" bestFit="1" customWidth="1"/>
  </cols>
  <sheetData>
    <row r="1" spans="1:6" ht="17.25" x14ac:dyDescent="0.2">
      <c r="A1" s="49" t="str">
        <f>'BASIC '!B3</f>
        <v>WR2/NT/W-CIVIL/DOM/G01/26/07698</v>
      </c>
      <c r="B1" s="49"/>
      <c r="C1" s="50"/>
      <c r="D1" s="50"/>
      <c r="E1" s="50"/>
      <c r="F1" s="51" t="s">
        <v>58</v>
      </c>
    </row>
    <row r="2" spans="1:6" ht="16.5" x14ac:dyDescent="0.2">
      <c r="A2" s="52"/>
      <c r="B2" s="52"/>
      <c r="C2" s="52"/>
      <c r="D2" s="52"/>
      <c r="E2" s="52"/>
      <c r="F2" s="52"/>
    </row>
    <row r="3" spans="1:6" ht="15" x14ac:dyDescent="0.2">
      <c r="A3" s="303" t="s">
        <v>59</v>
      </c>
      <c r="B3" s="303"/>
      <c r="C3" s="303"/>
      <c r="D3" s="303"/>
      <c r="E3" s="303"/>
      <c r="F3" s="303"/>
    </row>
    <row r="4" spans="1:6" ht="15" x14ac:dyDescent="0.2">
      <c r="A4" s="53"/>
      <c r="B4" s="53"/>
      <c r="C4" s="53"/>
      <c r="D4" s="53"/>
      <c r="E4" s="53"/>
      <c r="F4" s="53"/>
    </row>
    <row r="5" spans="1:6" ht="16.5" x14ac:dyDescent="0.2">
      <c r="A5" s="54" t="s">
        <v>60</v>
      </c>
      <c r="B5" s="54"/>
      <c r="C5" s="304"/>
      <c r="D5" s="304"/>
      <c r="E5" s="304"/>
      <c r="F5" s="304"/>
    </row>
    <row r="6" spans="1:6" ht="16.5" x14ac:dyDescent="0.2">
      <c r="A6" s="54" t="s">
        <v>61</v>
      </c>
      <c r="B6" s="305" t="str">
        <f>'[3]Sch-1'!B35</f>
        <v>--</v>
      </c>
      <c r="C6" s="305"/>
      <c r="D6" s="52"/>
      <c r="E6" s="52"/>
      <c r="F6" s="52"/>
    </row>
    <row r="7" spans="1:6" ht="16.5" x14ac:dyDescent="0.2">
      <c r="A7" s="54"/>
      <c r="B7" s="55"/>
      <c r="C7" s="55"/>
      <c r="D7" s="52"/>
      <c r="E7" s="52"/>
      <c r="F7" s="52"/>
    </row>
    <row r="8" spans="1:6" ht="16.5" x14ac:dyDescent="0.2">
      <c r="A8" s="56" t="s">
        <v>20</v>
      </c>
      <c r="B8" s="57"/>
      <c r="C8" s="52"/>
      <c r="D8" s="52"/>
      <c r="E8" s="52"/>
      <c r="F8" s="58"/>
    </row>
    <row r="9" spans="1:6" ht="16.5" x14ac:dyDescent="0.2">
      <c r="A9" s="59" t="str">
        <f>'[3]Sch-1'!E5</f>
        <v>Contract Services</v>
      </c>
      <c r="B9" s="59"/>
      <c r="C9" s="52"/>
      <c r="D9" s="52"/>
      <c r="E9" s="52"/>
      <c r="F9" s="58"/>
    </row>
    <row r="10" spans="1:6" ht="16.5" x14ac:dyDescent="0.2">
      <c r="A10" s="59" t="str">
        <f>'[3]Sch-1'!E6</f>
        <v>Power Grid Corporation of India Ltd.,</v>
      </c>
      <c r="B10" s="59"/>
      <c r="C10" s="52"/>
      <c r="D10" s="52"/>
      <c r="E10" s="52"/>
      <c r="F10" s="58"/>
    </row>
    <row r="11" spans="1:6" ht="16.5" x14ac:dyDescent="0.2">
      <c r="A11" s="59" t="str">
        <f>'[3]Sch-1'!E7</f>
        <v>Western Region Transmission System-II</v>
      </c>
      <c r="B11" s="59"/>
      <c r="C11" s="52"/>
      <c r="D11" s="52"/>
      <c r="E11" s="52"/>
      <c r="F11" s="58"/>
    </row>
    <row r="12" spans="1:6" ht="16.5" x14ac:dyDescent="0.2">
      <c r="A12" s="59"/>
      <c r="B12" s="59"/>
      <c r="C12" s="52"/>
      <c r="D12" s="52"/>
      <c r="E12" s="52"/>
      <c r="F12" s="58"/>
    </row>
    <row r="13" spans="1:6" ht="16.5" x14ac:dyDescent="0.2">
      <c r="A13" s="59"/>
      <c r="B13" s="59"/>
      <c r="C13" s="52"/>
      <c r="D13" s="52"/>
      <c r="E13" s="52"/>
      <c r="F13" s="58"/>
    </row>
    <row r="14" spans="1:6" ht="16.5" x14ac:dyDescent="0.2">
      <c r="A14" s="54"/>
      <c r="B14" s="54"/>
      <c r="C14" s="52"/>
      <c r="D14" s="52"/>
      <c r="E14" s="52"/>
      <c r="F14" s="58"/>
    </row>
    <row r="15" spans="1:6" ht="48" customHeight="1" x14ac:dyDescent="0.2">
      <c r="A15" s="60" t="s">
        <v>62</v>
      </c>
      <c r="B15" s="61"/>
      <c r="C15" s="306" t="str">
        <f>'BASIC '!B1</f>
        <v>Diversion of 400kV DC Vadodara-Pirana TL &amp; 400kV DC Pirana-Ranchhodpura &amp; Pirana-Nicol TL due to construction of new Railway line from Barajedi to Sanand District by Western Railway, Ahmedabad</v>
      </c>
      <c r="D15" s="306"/>
      <c r="E15" s="306"/>
      <c r="F15" s="306"/>
    </row>
    <row r="16" spans="1:6" ht="45.75" customHeight="1" x14ac:dyDescent="0.2">
      <c r="A16" s="52" t="s">
        <v>63</v>
      </c>
      <c r="B16" s="52"/>
      <c r="C16" s="58"/>
      <c r="D16" s="58"/>
      <c r="E16" s="58"/>
      <c r="F16" s="58"/>
    </row>
    <row r="17" spans="1:28" ht="138.75" customHeight="1" x14ac:dyDescent="0.3">
      <c r="A17" s="61">
        <v>1</v>
      </c>
      <c r="B17" s="307" t="e">
        <f>Z17 &amp;AB17 &amp; AC17 &amp; AA17</f>
        <v>#REF!</v>
      </c>
      <c r="C17" s="307"/>
      <c r="D17" s="307"/>
      <c r="E17" s="307"/>
      <c r="F17" s="307"/>
      <c r="Z17" s="84" t="s">
        <v>99</v>
      </c>
      <c r="AA17" s="85" t="s">
        <v>100</v>
      </c>
      <c r="AB17" s="86" t="e">
        <f>ROUND('Sch-6 GRAND SUMMARY'!D17,2)</f>
        <v>#REF!</v>
      </c>
    </row>
    <row r="18" spans="1:28" ht="60" customHeight="1" x14ac:dyDescent="0.2">
      <c r="A18" s="52"/>
      <c r="B18" s="308" t="s">
        <v>64</v>
      </c>
      <c r="C18" s="308"/>
      <c r="D18" s="308"/>
      <c r="E18" s="308"/>
      <c r="F18" s="308"/>
    </row>
    <row r="19" spans="1:28" ht="16.5" x14ac:dyDescent="0.2">
      <c r="A19" s="63">
        <v>2</v>
      </c>
      <c r="B19" s="309" t="s">
        <v>65</v>
      </c>
      <c r="C19" s="309"/>
      <c r="D19" s="309"/>
      <c r="E19" s="309"/>
      <c r="F19" s="309"/>
    </row>
    <row r="20" spans="1:28" ht="16.5" x14ac:dyDescent="0.2">
      <c r="A20" s="61">
        <v>2.1</v>
      </c>
      <c r="B20" s="307" t="s">
        <v>66</v>
      </c>
      <c r="C20" s="307"/>
      <c r="D20" s="307"/>
      <c r="E20" s="307"/>
      <c r="F20" s="307"/>
    </row>
    <row r="21" spans="1:28" ht="16.5" x14ac:dyDescent="0.2">
      <c r="A21" s="61"/>
      <c r="B21" s="62" t="s">
        <v>67</v>
      </c>
      <c r="C21" s="310" t="s">
        <v>68</v>
      </c>
      <c r="D21" s="310"/>
      <c r="E21" s="310"/>
      <c r="F21" s="310"/>
    </row>
    <row r="22" spans="1:28" ht="16.5" x14ac:dyDescent="0.2">
      <c r="A22" s="61"/>
      <c r="B22" s="62" t="s">
        <v>69</v>
      </c>
      <c r="C22" s="310" t="s">
        <v>68</v>
      </c>
      <c r="D22" s="310"/>
      <c r="E22" s="310"/>
      <c r="F22" s="310"/>
    </row>
    <row r="23" spans="1:28" ht="16.5" x14ac:dyDescent="0.2">
      <c r="A23" s="61"/>
      <c r="B23" s="62" t="s">
        <v>70</v>
      </c>
      <c r="C23" s="310" t="s">
        <v>71</v>
      </c>
      <c r="D23" s="310"/>
      <c r="E23" s="310"/>
      <c r="F23" s="310"/>
    </row>
    <row r="24" spans="1:28" ht="16.5" x14ac:dyDescent="0.2">
      <c r="A24" s="61"/>
      <c r="B24" s="62" t="s">
        <v>72</v>
      </c>
      <c r="C24" s="310" t="s">
        <v>68</v>
      </c>
      <c r="D24" s="310"/>
      <c r="E24" s="310"/>
      <c r="F24" s="310"/>
    </row>
    <row r="25" spans="1:28" ht="16.5" x14ac:dyDescent="0.2">
      <c r="A25" s="61"/>
      <c r="B25" s="62" t="s">
        <v>73</v>
      </c>
      <c r="C25" s="310" t="s">
        <v>74</v>
      </c>
      <c r="D25" s="310"/>
      <c r="E25" s="310"/>
      <c r="F25" s="310"/>
    </row>
    <row r="26" spans="1:28" ht="16.5" x14ac:dyDescent="0.2">
      <c r="A26" s="61"/>
      <c r="B26" s="62" t="s">
        <v>75</v>
      </c>
      <c r="C26" s="310" t="s">
        <v>76</v>
      </c>
      <c r="D26" s="310"/>
      <c r="E26" s="310"/>
      <c r="F26" s="310"/>
    </row>
    <row r="27" spans="1:28" ht="16.5" x14ac:dyDescent="0.2">
      <c r="A27" s="52"/>
      <c r="B27" s="311"/>
      <c r="C27" s="311"/>
      <c r="D27" s="60"/>
      <c r="E27" s="60"/>
      <c r="F27" s="60"/>
    </row>
    <row r="28" spans="1:28" ht="125.25" customHeight="1" x14ac:dyDescent="0.2">
      <c r="A28" s="64">
        <v>2.2000000000000002</v>
      </c>
      <c r="B28" s="307" t="s">
        <v>77</v>
      </c>
      <c r="C28" s="307"/>
      <c r="D28" s="307"/>
      <c r="E28" s="307"/>
      <c r="F28" s="307"/>
    </row>
    <row r="29" spans="1:28" ht="51" customHeight="1" x14ac:dyDescent="0.2">
      <c r="A29" s="64">
        <v>2.2999999999999998</v>
      </c>
      <c r="B29" s="307" t="s">
        <v>78</v>
      </c>
      <c r="C29" s="307"/>
      <c r="D29" s="307"/>
      <c r="E29" s="307"/>
      <c r="F29" s="307"/>
    </row>
    <row r="30" spans="1:28" ht="148.5" customHeight="1" x14ac:dyDescent="0.2">
      <c r="A30" s="64">
        <v>2.4</v>
      </c>
      <c r="B30" s="307" t="s">
        <v>79</v>
      </c>
      <c r="C30" s="307"/>
      <c r="D30" s="307"/>
      <c r="E30" s="307"/>
      <c r="F30" s="307"/>
    </row>
    <row r="31" spans="1:28" ht="71.25" customHeight="1" x14ac:dyDescent="0.2">
      <c r="A31" s="64">
        <v>2.5</v>
      </c>
      <c r="B31" s="307" t="s">
        <v>80</v>
      </c>
      <c r="C31" s="307"/>
      <c r="D31" s="307"/>
      <c r="E31" s="307"/>
      <c r="F31" s="307"/>
    </row>
    <row r="32" spans="1:28" ht="97.5" customHeight="1" x14ac:dyDescent="0.2">
      <c r="A32" s="61">
        <v>3</v>
      </c>
      <c r="B32" s="307" t="s">
        <v>81</v>
      </c>
      <c r="C32" s="307"/>
      <c r="D32" s="307"/>
      <c r="E32" s="307"/>
      <c r="F32" s="307"/>
    </row>
    <row r="33" spans="1:6" ht="62.25" customHeight="1" x14ac:dyDescent="0.2">
      <c r="A33" s="64">
        <v>3.1</v>
      </c>
      <c r="B33" s="310" t="s">
        <v>82</v>
      </c>
      <c r="C33" s="310"/>
      <c r="D33" s="310"/>
      <c r="E33" s="310"/>
      <c r="F33" s="310"/>
    </row>
    <row r="34" spans="1:6" ht="117" customHeight="1" x14ac:dyDescent="0.2">
      <c r="A34" s="64">
        <v>3.2</v>
      </c>
      <c r="B34" s="307" t="s">
        <v>83</v>
      </c>
      <c r="C34" s="307"/>
      <c r="D34" s="307"/>
      <c r="E34" s="307"/>
      <c r="F34" s="307"/>
    </row>
    <row r="35" spans="1:6" ht="62.25" customHeight="1" x14ac:dyDescent="0.2">
      <c r="A35" s="64">
        <v>3.3</v>
      </c>
      <c r="B35" s="307" t="s">
        <v>84</v>
      </c>
      <c r="C35" s="307"/>
      <c r="D35" s="307"/>
      <c r="E35" s="307"/>
      <c r="F35" s="307"/>
    </row>
    <row r="36" spans="1:6" ht="79.5" customHeight="1" x14ac:dyDescent="0.2">
      <c r="A36" s="61">
        <v>4</v>
      </c>
      <c r="B36" s="307" t="s">
        <v>85</v>
      </c>
      <c r="C36" s="307"/>
      <c r="D36" s="307"/>
      <c r="E36" s="307"/>
      <c r="F36" s="307"/>
    </row>
    <row r="37" spans="1:6" ht="89.25" customHeight="1" x14ac:dyDescent="0.2">
      <c r="A37" s="61">
        <v>5</v>
      </c>
      <c r="B37" s="307" t="s">
        <v>86</v>
      </c>
      <c r="C37" s="307"/>
      <c r="D37" s="307"/>
      <c r="E37" s="307"/>
      <c r="F37" s="307"/>
    </row>
    <row r="38" spans="1:6" ht="16.5" x14ac:dyDescent="0.2">
      <c r="A38" s="52"/>
      <c r="B38" s="65" t="str">
        <f>IF(ISERROR("Dated this " &amp; AG6 &amp; LOOKUP(AG6,AE1:AE31,AF1:AF31) &amp; " day of " &amp; AG8 &amp; " " &amp;AG9), "", "Dated this " &amp; AG6 &amp; LOOKUP(AG6,AE1:AE31,AF1:AF31) &amp; " day of " &amp; AG8 &amp; " " &amp;AG9)</f>
        <v/>
      </c>
      <c r="C38" s="65"/>
      <c r="D38" s="65"/>
      <c r="E38" s="66"/>
      <c r="F38" s="66"/>
    </row>
    <row r="39" spans="1:6" ht="16.5" x14ac:dyDescent="0.3">
      <c r="A39" s="52"/>
      <c r="B39" s="65" t="s">
        <v>87</v>
      </c>
      <c r="C39" s="67"/>
      <c r="D39" s="68"/>
      <c r="E39" s="68"/>
      <c r="F39" s="68"/>
    </row>
    <row r="40" spans="1:6" ht="16.5" x14ac:dyDescent="0.2">
      <c r="A40" s="52"/>
      <c r="B40" s="69"/>
      <c r="C40" s="68"/>
      <c r="D40" s="68"/>
      <c r="E40" s="65"/>
      <c r="F40" s="70" t="s">
        <v>88</v>
      </c>
    </row>
    <row r="41" spans="1:6" ht="16.5" x14ac:dyDescent="0.2">
      <c r="A41" s="52"/>
      <c r="B41" s="69"/>
      <c r="C41" s="68"/>
      <c r="D41" s="65"/>
      <c r="E41" s="65"/>
      <c r="F41" s="70" t="str">
        <f>"For and on behalf of " &amp; '[3]Sch-1'!B6</f>
        <v>For and on behalf of 0</v>
      </c>
    </row>
    <row r="42" spans="1:6" ht="16.5" x14ac:dyDescent="0.3">
      <c r="A42" s="71"/>
      <c r="B42" s="71"/>
      <c r="C42" s="72"/>
      <c r="D42" s="71"/>
      <c r="E42" s="73"/>
      <c r="F42" s="54"/>
    </row>
    <row r="43" spans="1:6" ht="16.5" x14ac:dyDescent="0.3">
      <c r="A43" s="74" t="s">
        <v>89</v>
      </c>
      <c r="B43" s="312">
        <f>'[4]Names of Bidder'!D27</f>
        <v>0</v>
      </c>
      <c r="C43" s="312"/>
      <c r="D43" s="71"/>
      <c r="E43" s="73" t="s">
        <v>90</v>
      </c>
      <c r="F43" s="75">
        <f>'[4]Names of Bidder'!D24</f>
        <v>0</v>
      </c>
    </row>
    <row r="44" spans="1:6" ht="16.5" x14ac:dyDescent="0.3">
      <c r="A44" s="74" t="s">
        <v>40</v>
      </c>
      <c r="B44" s="75">
        <f>'[4]Names of Bidder'!D28</f>
        <v>0</v>
      </c>
      <c r="C44" s="76"/>
      <c r="D44" s="71"/>
      <c r="E44" s="73" t="s">
        <v>91</v>
      </c>
      <c r="F44" s="75">
        <f>'[4]Names of Bidder'!D25</f>
        <v>0</v>
      </c>
    </row>
    <row r="45" spans="1:6" ht="16.5" x14ac:dyDescent="0.3">
      <c r="A45" s="52"/>
      <c r="B45" s="52"/>
      <c r="C45" s="52"/>
      <c r="D45" s="71"/>
      <c r="E45" s="73"/>
      <c r="F45" s="52"/>
    </row>
    <row r="46" spans="1:6" ht="16.5" x14ac:dyDescent="0.2">
      <c r="A46" s="313" t="str">
        <f>IF('[5]Names of Bidder'!D6="Sole Bidder", "", "In case of bid from a Joint Venture, name &amp; designation of representative of JV partner is to be provided and Bid Form is also to be signed by him.")</f>
        <v/>
      </c>
      <c r="B46" s="313"/>
      <c r="C46" s="313"/>
      <c r="D46" s="313"/>
      <c r="E46" s="313"/>
      <c r="F46" s="313"/>
    </row>
    <row r="47" spans="1:6" ht="16.5" x14ac:dyDescent="0.2">
      <c r="A47" s="77"/>
      <c r="B47" s="77"/>
      <c r="C47" s="65" t="str">
        <f>IF(Z2="2 or More", "Other Partner-2", "")</f>
        <v/>
      </c>
      <c r="D47" s="77"/>
      <c r="E47" s="78"/>
      <c r="F47" s="78" t="str">
        <f>IF(Z2=1,"Other Partner",IF(Z2="2 or More","Other Partner-1",""))</f>
        <v/>
      </c>
    </row>
    <row r="48" spans="1:6" ht="16.5" x14ac:dyDescent="0.2">
      <c r="A48" s="65"/>
      <c r="B48" s="70"/>
      <c r="C48" s="79"/>
      <c r="D48" s="65"/>
      <c r="E48" s="70"/>
      <c r="F48" s="65"/>
    </row>
    <row r="49" spans="1:6" ht="16.5" x14ac:dyDescent="0.2">
      <c r="A49" s="65"/>
      <c r="B49" s="70" t="str">
        <f>IF(Z2="2 or More", "Printed Name :", "")</f>
        <v/>
      </c>
      <c r="C49" s="80"/>
      <c r="D49" s="65"/>
      <c r="E49" s="70" t="str">
        <f>IF(Z1="Sole Bidder", "", "Printed Name :")</f>
        <v>Printed Name :</v>
      </c>
      <c r="F49" s="80"/>
    </row>
    <row r="50" spans="1:6" ht="16.5" x14ac:dyDescent="0.2">
      <c r="A50" s="65"/>
      <c r="B50" s="70" t="str">
        <f>IF(Z2="2 or More", "Designation :", "")</f>
        <v/>
      </c>
      <c r="C50" s="80"/>
      <c r="D50" s="65"/>
      <c r="E50" s="70" t="str">
        <f>IF(Z1="Sole Bidder", "", "Designation :")</f>
        <v>Designation :</v>
      </c>
      <c r="F50" s="80"/>
    </row>
    <row r="51" spans="1:6" ht="16.5" x14ac:dyDescent="0.2">
      <c r="A51" s="65"/>
      <c r="B51" s="70" t="str">
        <f>IF(Z2=2, "Common Seal :", "")</f>
        <v/>
      </c>
      <c r="C51" s="79"/>
      <c r="D51" s="65"/>
      <c r="E51" s="70"/>
      <c r="F51" s="65"/>
    </row>
    <row r="52" spans="1:6" ht="16.5" x14ac:dyDescent="0.2">
      <c r="A52" s="81" t="s">
        <v>92</v>
      </c>
      <c r="B52" s="82"/>
      <c r="C52" s="79"/>
      <c r="D52" s="65"/>
      <c r="E52" s="70"/>
      <c r="F52" s="65"/>
    </row>
    <row r="53" spans="1:6" ht="16.5" x14ac:dyDescent="0.2">
      <c r="A53" s="314" t="s">
        <v>93</v>
      </c>
      <c r="B53" s="314"/>
      <c r="C53" s="314"/>
      <c r="D53" s="315"/>
      <c r="E53" s="315"/>
      <c r="F53" s="315"/>
    </row>
    <row r="54" spans="1:6" ht="16.5" x14ac:dyDescent="0.2">
      <c r="A54" s="316"/>
      <c r="B54" s="316"/>
      <c r="C54" s="316"/>
      <c r="D54" s="83"/>
      <c r="E54" s="83"/>
      <c r="F54" s="83"/>
    </row>
    <row r="55" spans="1:6" ht="16.5" x14ac:dyDescent="0.2">
      <c r="A55" s="317"/>
      <c r="B55" s="317"/>
      <c r="C55" s="317"/>
      <c r="D55" s="83"/>
      <c r="E55" s="83"/>
      <c r="F55" s="83"/>
    </row>
    <row r="56" spans="1:6" ht="16.5" x14ac:dyDescent="0.2">
      <c r="A56" s="318" t="s">
        <v>94</v>
      </c>
      <c r="B56" s="318"/>
      <c r="C56" s="318"/>
      <c r="D56" s="315"/>
      <c r="E56" s="315"/>
      <c r="F56" s="315"/>
    </row>
    <row r="57" spans="1:6" ht="16.5" x14ac:dyDescent="0.2">
      <c r="A57" s="318" t="s">
        <v>95</v>
      </c>
      <c r="B57" s="318"/>
      <c r="C57" s="318"/>
      <c r="D57" s="315"/>
      <c r="E57" s="315"/>
      <c r="F57" s="315"/>
    </row>
    <row r="58" spans="1:6" ht="16.5" x14ac:dyDescent="0.2">
      <c r="A58" s="318" t="s">
        <v>96</v>
      </c>
      <c r="B58" s="318"/>
      <c r="C58" s="318"/>
      <c r="D58" s="315"/>
      <c r="E58" s="315"/>
      <c r="F58" s="315"/>
    </row>
    <row r="59" spans="1:6" ht="16.5" x14ac:dyDescent="0.2">
      <c r="A59" s="314" t="s">
        <v>97</v>
      </c>
      <c r="B59" s="314"/>
      <c r="C59" s="314"/>
      <c r="D59" s="315"/>
      <c r="E59" s="315"/>
      <c r="F59" s="315"/>
    </row>
    <row r="60" spans="1:6" ht="16.5" x14ac:dyDescent="0.2">
      <c r="A60" s="316"/>
      <c r="B60" s="316"/>
      <c r="C60" s="316"/>
      <c r="D60" s="83"/>
      <c r="E60" s="83"/>
      <c r="F60" s="83"/>
    </row>
    <row r="61" spans="1:6" ht="16.5" x14ac:dyDescent="0.2">
      <c r="A61" s="317"/>
      <c r="B61" s="317"/>
      <c r="C61" s="317"/>
      <c r="D61" s="83"/>
      <c r="E61" s="83"/>
      <c r="F61" s="83"/>
    </row>
    <row r="62" spans="1:6" ht="37.5" customHeight="1" x14ac:dyDescent="0.2">
      <c r="A62" s="319"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62" s="319"/>
      <c r="C62" s="319"/>
      <c r="D62" s="319"/>
      <c r="E62" s="319"/>
      <c r="F62" s="319"/>
    </row>
    <row r="63" spans="1:6" ht="18.75" x14ac:dyDescent="0.2">
      <c r="A63" s="320" t="s">
        <v>98</v>
      </c>
      <c r="B63" s="320"/>
      <c r="C63" s="320"/>
      <c r="D63" s="320"/>
      <c r="E63" s="320"/>
      <c r="F63" s="320"/>
    </row>
  </sheetData>
  <sheetProtection password="DC2B" sheet="1"/>
  <mergeCells count="43">
    <mergeCell ref="A61:C61"/>
    <mergeCell ref="A62:F62"/>
    <mergeCell ref="A63:F63"/>
    <mergeCell ref="A58:C58"/>
    <mergeCell ref="D58:F58"/>
    <mergeCell ref="A59:C59"/>
    <mergeCell ref="D59:F59"/>
    <mergeCell ref="A60:C60"/>
    <mergeCell ref="A55:C55"/>
    <mergeCell ref="A56:C56"/>
    <mergeCell ref="D56:F56"/>
    <mergeCell ref="A57:C57"/>
    <mergeCell ref="D57:F57"/>
    <mergeCell ref="B43:C43"/>
    <mergeCell ref="A46:F46"/>
    <mergeCell ref="A53:C53"/>
    <mergeCell ref="D53:F53"/>
    <mergeCell ref="A54:C54"/>
    <mergeCell ref="B33:F33"/>
    <mergeCell ref="B34:F34"/>
    <mergeCell ref="B35:F35"/>
    <mergeCell ref="B36:F36"/>
    <mergeCell ref="B37:F37"/>
    <mergeCell ref="B28:F28"/>
    <mergeCell ref="B29:F29"/>
    <mergeCell ref="B30:F30"/>
    <mergeCell ref="B31:F31"/>
    <mergeCell ref="B32:F32"/>
    <mergeCell ref="C23:F23"/>
    <mergeCell ref="C24:F24"/>
    <mergeCell ref="C25:F25"/>
    <mergeCell ref="C26:F26"/>
    <mergeCell ref="B27:C27"/>
    <mergeCell ref="B18:F18"/>
    <mergeCell ref="B19:F19"/>
    <mergeCell ref="B20:F20"/>
    <mergeCell ref="C21:F21"/>
    <mergeCell ref="C22:F22"/>
    <mergeCell ref="A3:F3"/>
    <mergeCell ref="C5:F5"/>
    <mergeCell ref="B6:C6"/>
    <mergeCell ref="C15:F15"/>
    <mergeCell ref="B17:F17"/>
  </mergeCells>
  <conditionalFormatting sqref="F49:F50">
    <cfRule type="expression" dxfId="0" priority="1" stopIfTrue="1">
      <formula>$E$49=""</formula>
    </cfRule>
  </conditionalFormatting>
  <pageMargins left="0.7" right="0.7" top="0.75" bottom="0.75" header="0.3" footer="0.3"/>
  <pageSetup paperSize="9" scale="94" orientation="landscape" horizontalDpi="300" verticalDpi="300" r:id="rId1"/>
  <rowBreaks count="1" manualBreakCount="1">
    <brk id="36"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C6113-83CB-462D-ABF1-D215E29CCBCD}">
  <sheetPr codeName="Sheet12"/>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1DD3-B455-4E8A-B613-3D0FED2D0241}">
  <sheetPr codeName="Sheet3"/>
  <dimension ref="A1:C22"/>
  <sheetViews>
    <sheetView view="pageBreakPreview" zoomScale="130" zoomScaleNormal="100" zoomScaleSheetLayoutView="130" workbookViewId="0">
      <selection activeCell="A2" sqref="A2:C2"/>
    </sheetView>
  </sheetViews>
  <sheetFormatPr defaultRowHeight="12.75" x14ac:dyDescent="0.2"/>
  <cols>
    <col min="1" max="1" width="33" customWidth="1"/>
    <col min="2" max="2" width="11.7109375" customWidth="1"/>
    <col min="3" max="3" width="54" customWidth="1"/>
  </cols>
  <sheetData>
    <row r="1" spans="1:3" ht="15" x14ac:dyDescent="0.2">
      <c r="A1" s="257" t="str">
        <f>[1]Basic!A1</f>
        <v>Name of Package :</v>
      </c>
      <c r="B1" s="257"/>
      <c r="C1" s="257"/>
    </row>
    <row r="2" spans="1:3" ht="56.25" customHeight="1" x14ac:dyDescent="0.2">
      <c r="A2" s="258" t="s">
        <v>340</v>
      </c>
      <c r="B2" s="258"/>
      <c r="C2" s="258"/>
    </row>
    <row r="3" spans="1:3" ht="15" x14ac:dyDescent="0.2">
      <c r="A3" s="87"/>
      <c r="B3" s="87"/>
      <c r="C3" s="87"/>
    </row>
    <row r="4" spans="1:3" ht="15" x14ac:dyDescent="0.2">
      <c r="A4" s="259" t="s">
        <v>101</v>
      </c>
      <c r="B4" s="259"/>
      <c r="C4" s="259"/>
    </row>
    <row r="5" spans="1:3" ht="16.5" x14ac:dyDescent="0.2">
      <c r="A5" s="88"/>
      <c r="B5" s="88"/>
      <c r="C5" s="89"/>
    </row>
    <row r="6" spans="1:3" ht="33" x14ac:dyDescent="0.2">
      <c r="A6" s="90" t="s">
        <v>102</v>
      </c>
      <c r="B6" s="91"/>
      <c r="C6" s="92" t="s">
        <v>103</v>
      </c>
    </row>
    <row r="7" spans="1:3" ht="16.5" x14ac:dyDescent="0.2">
      <c r="A7" s="93"/>
      <c r="B7" s="93"/>
      <c r="C7" s="94"/>
    </row>
    <row r="8" spans="1:3" ht="16.5" x14ac:dyDescent="0.2">
      <c r="A8" s="95" t="str">
        <f>IF(C6="Individual Firm","Name of Sole Bidder [Individual Firm]",IF(C6="Licensee of a Manufacturer","Name of Bidder [Licensee]",IF(C6="Representative of a Manufacturer","Name of Bidder [Authorised Representative]","Name of Lead Partner")))</f>
        <v>Name of Sole Bidder [Individual Firm]</v>
      </c>
      <c r="B8" s="96"/>
      <c r="C8" s="97"/>
    </row>
    <row r="9" spans="1:3" ht="33" x14ac:dyDescent="0.2">
      <c r="A9" s="98" t="s">
        <v>104</v>
      </c>
      <c r="B9" s="99"/>
      <c r="C9" s="97"/>
    </row>
    <row r="10" spans="1:3" ht="16.5" x14ac:dyDescent="0.2">
      <c r="A10" s="100"/>
      <c r="B10" s="101"/>
      <c r="C10" s="97"/>
    </row>
    <row r="11" spans="1:3" ht="16.5" x14ac:dyDescent="0.2">
      <c r="A11" s="102"/>
      <c r="B11" s="103"/>
      <c r="C11" s="97"/>
    </row>
    <row r="12" spans="1:3" ht="16.5" x14ac:dyDescent="0.2">
      <c r="A12" s="89"/>
      <c r="B12" s="89"/>
      <c r="C12" s="93"/>
    </row>
    <row r="13" spans="1:3" ht="16.5" x14ac:dyDescent="0.2">
      <c r="A13" s="95" t="str">
        <f>IF(C6="Individual Firm","",IF(C6="Licensee of a Manufacturer","Name of Manufacturer [Licenser]",IF(C6="Representative of a Manufacturer","Name of Manufacturer","Name of Other Partner")))</f>
        <v/>
      </c>
      <c r="B13" s="96"/>
      <c r="C13" s="97" t="s">
        <v>105</v>
      </c>
    </row>
    <row r="14" spans="1:3" ht="16.5" x14ac:dyDescent="0.2">
      <c r="A14" s="104"/>
      <c r="B14" s="99"/>
      <c r="C14" s="97" t="s">
        <v>105</v>
      </c>
    </row>
    <row r="15" spans="1:3" ht="16.5" x14ac:dyDescent="0.2">
      <c r="A15" s="100"/>
      <c r="B15" s="101"/>
      <c r="C15" s="97" t="s">
        <v>105</v>
      </c>
    </row>
    <row r="16" spans="1:3" ht="16.5" x14ac:dyDescent="0.2">
      <c r="A16" s="260"/>
      <c r="B16" s="260"/>
      <c r="C16" s="97" t="s">
        <v>105</v>
      </c>
    </row>
    <row r="17" spans="1:3" ht="16.5" x14ac:dyDescent="0.2">
      <c r="A17" s="89"/>
      <c r="B17" s="89"/>
      <c r="C17" s="93"/>
    </row>
    <row r="18" spans="1:3" ht="16.5" x14ac:dyDescent="0.2">
      <c r="A18" s="105" t="s">
        <v>106</v>
      </c>
      <c r="B18" s="106"/>
      <c r="C18" s="107"/>
    </row>
    <row r="19" spans="1:3" ht="16.5" x14ac:dyDescent="0.2">
      <c r="A19" s="105" t="s">
        <v>107</v>
      </c>
      <c r="B19" s="106"/>
      <c r="C19" s="97"/>
    </row>
    <row r="20" spans="1:3" ht="16.5" x14ac:dyDescent="0.2">
      <c r="A20" s="108"/>
      <c r="B20" s="108"/>
      <c r="C20" s="108"/>
    </row>
    <row r="21" spans="1:3" ht="16.5" x14ac:dyDescent="0.2">
      <c r="A21" s="105" t="s">
        <v>108</v>
      </c>
      <c r="B21" s="106"/>
      <c r="C21" s="109"/>
    </row>
    <row r="22" spans="1:3" ht="16.5" x14ac:dyDescent="0.2">
      <c r="A22" s="105" t="s">
        <v>109</v>
      </c>
      <c r="B22" s="106"/>
      <c r="C22" s="97"/>
    </row>
  </sheetData>
  <sheetProtection algorithmName="SHA-512" hashValue="yZL786iJ6kgXRhDwEP6lGBPKk0l2OGgyISPqKmq1Kajy4g7VJYiz9uKeFH0nJdYklV7Ad+HrJqRxx7Qcwx8Qbw==" saltValue="t/hsw+7aU2KtQX5V35lhrg==" spinCount="100000" sheet="1" objects="1" scenarios="1"/>
  <mergeCells count="4">
    <mergeCell ref="A1:C1"/>
    <mergeCell ref="A2:C2"/>
    <mergeCell ref="A4:C4"/>
    <mergeCell ref="A16:B16"/>
  </mergeCells>
  <conditionalFormatting sqref="A13:B15 A16">
    <cfRule type="expression" dxfId="2" priority="1" stopIfTrue="1">
      <formula>$D$6= "Individual Firm"</formula>
    </cfRule>
  </conditionalFormatting>
  <conditionalFormatting sqref="C7">
    <cfRule type="expression" dxfId="1" priority="2" stopIfTrue="1">
      <formula>$AA$6=0</formula>
    </cfRule>
  </conditionalFormatting>
  <dataValidations count="1">
    <dataValidation type="list" allowBlank="1" showInputMessage="1" showErrorMessage="1" sqref="C6" xr:uid="{5A319E43-9D4F-4F7A-8F1B-E783016CBF8C}">
      <formula1>$AA$2:$AA$5</formula1>
    </dataValidation>
  </dataValidations>
  <pageMargins left="0.7" right="0.7" top="0.75" bottom="0.75" header="0.3" footer="0.3"/>
  <pageSetup paperSize="9" scale="9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D0354-46DD-4D23-A81D-CC9B5BB67069}">
  <sheetPr codeName="Sheet4"/>
  <dimension ref="A1:Q72"/>
  <sheetViews>
    <sheetView topLeftCell="A49" workbookViewId="0">
      <selection activeCell="G83" sqref="G83"/>
    </sheetView>
  </sheetViews>
  <sheetFormatPr defaultRowHeight="12.75" x14ac:dyDescent="0.2"/>
  <cols>
    <col min="2" max="3" width="9.140625" customWidth="1"/>
    <col min="4" max="4" width="19.28515625" customWidth="1"/>
    <col min="5" max="5" width="15.7109375" customWidth="1"/>
    <col min="6" max="6" width="23.85546875" customWidth="1"/>
    <col min="7" max="7" width="41.28515625" customWidth="1"/>
    <col min="8" max="8" width="11" customWidth="1"/>
    <col min="9" max="9" width="11.42578125" customWidth="1"/>
    <col min="10" max="10" width="14" customWidth="1"/>
    <col min="11" max="11" width="15" customWidth="1"/>
    <col min="12" max="12" width="13.42578125" customWidth="1"/>
  </cols>
  <sheetData>
    <row r="1" spans="1:17" ht="22.5" customHeight="1" x14ac:dyDescent="0.2">
      <c r="A1" s="270" t="s">
        <v>340</v>
      </c>
      <c r="B1" s="270"/>
      <c r="C1" s="270"/>
      <c r="D1" s="270"/>
      <c r="E1" s="270"/>
      <c r="F1" s="270"/>
      <c r="G1" s="270"/>
      <c r="H1" s="270"/>
      <c r="I1" s="270"/>
      <c r="J1" s="270"/>
      <c r="K1" s="270"/>
      <c r="L1" s="270"/>
    </row>
    <row r="2" spans="1:17" ht="15" x14ac:dyDescent="0.25">
      <c r="A2" s="271" t="s">
        <v>192</v>
      </c>
      <c r="B2" s="271"/>
      <c r="C2" s="271"/>
      <c r="D2" s="271"/>
      <c r="E2" s="271"/>
      <c r="F2" s="271"/>
      <c r="G2" s="271"/>
      <c r="H2" s="271"/>
      <c r="I2" s="271"/>
      <c r="J2" s="271"/>
      <c r="K2" s="271"/>
      <c r="L2" s="271"/>
      <c r="M2" s="148"/>
      <c r="N2" s="148"/>
      <c r="O2" s="148"/>
      <c r="P2" s="148"/>
      <c r="Q2" s="148"/>
    </row>
    <row r="3" spans="1:17" ht="15" x14ac:dyDescent="0.25">
      <c r="A3" s="271" t="s">
        <v>193</v>
      </c>
      <c r="B3" s="271"/>
      <c r="C3" s="271"/>
      <c r="D3" s="271"/>
      <c r="E3" s="271"/>
      <c r="F3" s="271"/>
      <c r="G3" s="271"/>
      <c r="H3" s="271"/>
      <c r="I3" s="271"/>
      <c r="J3" s="271"/>
      <c r="K3" s="271"/>
      <c r="L3" s="271"/>
      <c r="M3" s="148"/>
      <c r="N3" s="148"/>
      <c r="O3" s="148"/>
      <c r="P3" s="148"/>
      <c r="Q3" s="148"/>
    </row>
    <row r="4" spans="1:17" ht="15" x14ac:dyDescent="0.25">
      <c r="A4" s="149"/>
      <c r="B4" s="149"/>
      <c r="C4" s="150"/>
      <c r="D4" s="149"/>
      <c r="E4" s="149"/>
      <c r="F4" s="150"/>
      <c r="G4" s="151"/>
      <c r="H4" s="149"/>
      <c r="I4" s="272" t="s">
        <v>194</v>
      </c>
      <c r="J4" s="272"/>
      <c r="K4" s="272"/>
      <c r="L4" s="272"/>
      <c r="M4" s="148"/>
      <c r="N4" s="148"/>
      <c r="O4" s="148"/>
      <c r="P4" s="148"/>
      <c r="Q4" s="148"/>
    </row>
    <row r="5" spans="1:17" ht="75" x14ac:dyDescent="0.25">
      <c r="A5" s="152" t="s">
        <v>195</v>
      </c>
      <c r="B5" s="153" t="s">
        <v>196</v>
      </c>
      <c r="C5" s="152" t="s">
        <v>197</v>
      </c>
      <c r="D5" s="153" t="s">
        <v>198</v>
      </c>
      <c r="E5" s="153" t="s">
        <v>199</v>
      </c>
      <c r="F5" s="153" t="s">
        <v>200</v>
      </c>
      <c r="G5" s="153" t="s">
        <v>18</v>
      </c>
      <c r="H5" s="153" t="s">
        <v>19</v>
      </c>
      <c r="I5" s="153" t="s">
        <v>151</v>
      </c>
      <c r="J5" s="153" t="s">
        <v>201</v>
      </c>
      <c r="K5" s="153" t="s">
        <v>202</v>
      </c>
      <c r="L5" s="153" t="s">
        <v>203</v>
      </c>
      <c r="M5" s="148"/>
      <c r="N5" s="148"/>
      <c r="O5" s="148"/>
      <c r="P5" s="148"/>
      <c r="Q5" s="148"/>
    </row>
    <row r="6" spans="1:17" ht="15" x14ac:dyDescent="0.25">
      <c r="A6" s="152" t="s">
        <v>204</v>
      </c>
      <c r="B6" s="152" t="s">
        <v>205</v>
      </c>
      <c r="C6" s="152" t="s">
        <v>206</v>
      </c>
      <c r="D6" s="153" t="s">
        <v>207</v>
      </c>
      <c r="E6" s="153" t="s">
        <v>208</v>
      </c>
      <c r="F6" s="153" t="s">
        <v>209</v>
      </c>
      <c r="G6" s="153" t="s">
        <v>210</v>
      </c>
      <c r="H6" s="153" t="s">
        <v>211</v>
      </c>
      <c r="I6" s="153" t="s">
        <v>212</v>
      </c>
      <c r="J6" s="153" t="s">
        <v>213</v>
      </c>
      <c r="K6" s="153" t="s">
        <v>214</v>
      </c>
      <c r="L6" s="154" t="s">
        <v>215</v>
      </c>
      <c r="M6" s="148"/>
      <c r="N6" s="148"/>
      <c r="O6" s="148"/>
      <c r="P6" s="148"/>
      <c r="Q6" s="148"/>
    </row>
    <row r="7" spans="1:17" ht="15.75" x14ac:dyDescent="0.25">
      <c r="A7" s="155" t="s">
        <v>216</v>
      </c>
      <c r="B7" s="156" t="s">
        <v>266</v>
      </c>
      <c r="C7" s="156"/>
      <c r="D7" s="156"/>
      <c r="E7" s="156"/>
      <c r="F7" s="156"/>
      <c r="G7" s="156"/>
      <c r="H7" s="156"/>
      <c r="I7" s="156"/>
      <c r="J7" s="156"/>
      <c r="K7" s="156"/>
      <c r="L7" s="156"/>
      <c r="M7" s="148"/>
      <c r="N7" s="148"/>
      <c r="O7" s="148"/>
      <c r="P7" s="148"/>
      <c r="Q7" s="148"/>
    </row>
    <row r="8" spans="1:17" ht="105" x14ac:dyDescent="0.25">
      <c r="A8" s="267"/>
      <c r="B8" s="267"/>
      <c r="C8" s="150">
        <v>73082011</v>
      </c>
      <c r="D8" s="208"/>
      <c r="E8" s="157">
        <v>0.18</v>
      </c>
      <c r="F8" s="208"/>
      <c r="G8" s="158" t="s">
        <v>257</v>
      </c>
      <c r="H8" s="159" t="s">
        <v>125</v>
      </c>
      <c r="I8" s="160">
        <f>90.39+34.79</f>
        <v>125.18</v>
      </c>
      <c r="J8" s="211"/>
      <c r="K8" s="161">
        <f>I8*J8</f>
        <v>0</v>
      </c>
      <c r="L8" s="162">
        <f>IF(ISBLANK(F8),E8*K8,F8*K8)</f>
        <v>0</v>
      </c>
      <c r="M8" s="148"/>
      <c r="N8" s="148"/>
      <c r="O8" s="148"/>
      <c r="P8" s="148"/>
      <c r="Q8" s="148"/>
    </row>
    <row r="9" spans="1:17" ht="15" x14ac:dyDescent="0.25">
      <c r="A9" s="269"/>
      <c r="B9" s="269"/>
      <c r="C9" s="150">
        <v>73082011</v>
      </c>
      <c r="D9" s="208"/>
      <c r="E9" s="157">
        <v>0.18</v>
      </c>
      <c r="F9" s="208"/>
      <c r="G9" s="163" t="s">
        <v>258</v>
      </c>
      <c r="H9" s="159" t="s">
        <v>125</v>
      </c>
      <c r="I9" s="160">
        <f>56.09+38.53</f>
        <v>94.62</v>
      </c>
      <c r="J9" s="213"/>
      <c r="K9" s="161">
        <f t="shared" ref="K9:K71" si="0">I9*J9</f>
        <v>0</v>
      </c>
      <c r="L9" s="162">
        <f>IF(ISBLANK(F9),E9*K9,F9*K9)</f>
        <v>0</v>
      </c>
      <c r="M9" s="148"/>
      <c r="N9" s="148"/>
      <c r="O9" s="148"/>
      <c r="P9" s="148"/>
      <c r="Q9" s="148"/>
    </row>
    <row r="10" spans="1:17" ht="15" x14ac:dyDescent="0.25">
      <c r="A10" s="164" t="s">
        <v>217</v>
      </c>
      <c r="B10" s="165" t="s">
        <v>259</v>
      </c>
      <c r="C10" s="166"/>
      <c r="D10" s="209"/>
      <c r="E10" s="166"/>
      <c r="F10" s="209"/>
      <c r="G10" s="166"/>
      <c r="H10" s="166"/>
      <c r="I10" s="166"/>
      <c r="J10" s="209"/>
      <c r="K10" s="167"/>
      <c r="L10" s="168"/>
      <c r="M10" s="148"/>
      <c r="N10" s="148"/>
      <c r="O10" s="148"/>
      <c r="P10" s="148"/>
      <c r="Q10" s="148"/>
    </row>
    <row r="11" spans="1:17" ht="90" x14ac:dyDescent="0.25">
      <c r="A11" s="267"/>
      <c r="B11" s="267"/>
      <c r="C11" s="150">
        <v>73082011</v>
      </c>
      <c r="D11" s="208"/>
      <c r="E11" s="157">
        <v>0.18</v>
      </c>
      <c r="F11" s="208"/>
      <c r="G11" s="158" t="s">
        <v>262</v>
      </c>
      <c r="H11" s="159" t="s">
        <v>125</v>
      </c>
      <c r="I11" s="169">
        <f>4.56+2.47</f>
        <v>7.0299999999999994</v>
      </c>
      <c r="J11" s="211"/>
      <c r="K11" s="161">
        <f t="shared" si="0"/>
        <v>0</v>
      </c>
      <c r="L11" s="162">
        <f>IF(ISBLANK(F11),E11*K11,F11*K11)</f>
        <v>0</v>
      </c>
      <c r="M11" s="148"/>
      <c r="N11" s="148"/>
      <c r="O11" s="148"/>
      <c r="P11" s="148"/>
      <c r="Q11" s="148"/>
    </row>
    <row r="12" spans="1:17" ht="15" x14ac:dyDescent="0.25">
      <c r="A12" s="269"/>
      <c r="B12" s="269"/>
      <c r="C12" s="150">
        <v>73082011</v>
      </c>
      <c r="D12" s="208"/>
      <c r="E12" s="157">
        <v>0.18</v>
      </c>
      <c r="F12" s="208"/>
      <c r="G12" s="163" t="s">
        <v>258</v>
      </c>
      <c r="H12" s="159" t="s">
        <v>125</v>
      </c>
      <c r="I12" s="169">
        <f>0.82+0.31</f>
        <v>1.1299999999999999</v>
      </c>
      <c r="J12" s="213"/>
      <c r="K12" s="161">
        <f t="shared" si="0"/>
        <v>0</v>
      </c>
      <c r="L12" s="162">
        <f>IF(ISBLANK(F12),E12*K12,F12*K12)</f>
        <v>0</v>
      </c>
      <c r="M12" s="148"/>
      <c r="N12" s="148"/>
      <c r="O12" s="148"/>
      <c r="P12" s="148"/>
      <c r="Q12" s="148"/>
    </row>
    <row r="13" spans="1:17" ht="15" x14ac:dyDescent="0.25">
      <c r="A13" s="164" t="s">
        <v>219</v>
      </c>
      <c r="B13" s="165" t="s">
        <v>263</v>
      </c>
      <c r="C13" s="166"/>
      <c r="D13" s="209"/>
      <c r="E13" s="166"/>
      <c r="F13" s="209"/>
      <c r="G13" s="166"/>
      <c r="H13" s="166"/>
      <c r="I13" s="166"/>
      <c r="J13" s="209"/>
      <c r="K13" s="167"/>
      <c r="L13" s="168"/>
      <c r="M13" s="148"/>
      <c r="N13" s="148"/>
      <c r="O13" s="148"/>
      <c r="P13" s="148"/>
      <c r="Q13" s="148"/>
    </row>
    <row r="14" spans="1:17" ht="33" x14ac:dyDescent="0.25">
      <c r="A14" s="267"/>
      <c r="B14" s="267"/>
      <c r="C14" s="150">
        <v>73181500</v>
      </c>
      <c r="D14" s="208"/>
      <c r="E14" s="157">
        <v>0.18</v>
      </c>
      <c r="F14" s="208"/>
      <c r="G14" s="170" t="s">
        <v>264</v>
      </c>
      <c r="H14" s="159" t="s">
        <v>125</v>
      </c>
      <c r="I14" s="169">
        <f>6.21+3.38</f>
        <v>9.59</v>
      </c>
      <c r="J14" s="214"/>
      <c r="K14" s="161">
        <f t="shared" si="0"/>
        <v>0</v>
      </c>
      <c r="L14" s="162">
        <f>IF(ISBLANK(F14),E14*K14,F14*K14)</f>
        <v>0</v>
      </c>
      <c r="M14" s="148"/>
      <c r="N14" s="148"/>
      <c r="O14" s="148"/>
      <c r="P14" s="148"/>
      <c r="Q14" s="148"/>
    </row>
    <row r="15" spans="1:17" ht="16.5" x14ac:dyDescent="0.25">
      <c r="A15" s="269"/>
      <c r="B15" s="269"/>
      <c r="C15" s="150">
        <v>73181500</v>
      </c>
      <c r="D15" s="208"/>
      <c r="E15" s="157">
        <v>0.18</v>
      </c>
      <c r="F15" s="208"/>
      <c r="G15" s="170" t="s">
        <v>265</v>
      </c>
      <c r="H15" s="159" t="s">
        <v>125</v>
      </c>
      <c r="I15" s="169">
        <f>0.13+0.05</f>
        <v>0.18</v>
      </c>
      <c r="J15" s="214"/>
      <c r="K15" s="161">
        <f t="shared" si="0"/>
        <v>0</v>
      </c>
      <c r="L15" s="162">
        <f>IF(ISBLANK(F15),E15*K15,F15*K15)</f>
        <v>0</v>
      </c>
      <c r="M15" s="148"/>
      <c r="N15" s="148"/>
      <c r="O15" s="148"/>
      <c r="P15" s="148"/>
      <c r="Q15" s="148"/>
    </row>
    <row r="16" spans="1:17" ht="15" x14ac:dyDescent="0.25">
      <c r="A16" s="164" t="s">
        <v>223</v>
      </c>
      <c r="B16" s="156"/>
      <c r="C16" s="156"/>
      <c r="D16" s="210"/>
      <c r="E16" s="156"/>
      <c r="F16" s="210"/>
      <c r="G16" s="156" t="s">
        <v>313</v>
      </c>
      <c r="H16" s="156"/>
      <c r="I16" s="156"/>
      <c r="J16" s="210"/>
      <c r="K16" s="167"/>
      <c r="L16" s="168"/>
      <c r="M16" s="148"/>
      <c r="N16" s="148"/>
      <c r="O16" s="148"/>
      <c r="P16" s="148"/>
      <c r="Q16" s="148"/>
    </row>
    <row r="17" spans="1:17" ht="99" x14ac:dyDescent="0.25">
      <c r="A17" s="220"/>
      <c r="B17" s="220"/>
      <c r="C17" s="150">
        <v>73082011</v>
      </c>
      <c r="D17" s="208"/>
      <c r="E17" s="157">
        <v>0.18</v>
      </c>
      <c r="F17" s="208"/>
      <c r="G17" s="170" t="s">
        <v>314</v>
      </c>
      <c r="H17" s="159" t="s">
        <v>125</v>
      </c>
      <c r="I17" s="169">
        <v>200.68</v>
      </c>
      <c r="J17" s="214"/>
      <c r="K17" s="161">
        <f>I17*J17</f>
        <v>0</v>
      </c>
      <c r="L17" s="162">
        <f>IF(ISBLANK(F17),E17*K17,F17*K17)</f>
        <v>0</v>
      </c>
      <c r="M17" s="148"/>
      <c r="N17" s="148"/>
      <c r="O17" s="148"/>
      <c r="P17" s="148"/>
      <c r="Q17" s="148"/>
    </row>
    <row r="18" spans="1:17" ht="49.5" x14ac:dyDescent="0.25">
      <c r="A18" s="220"/>
      <c r="B18" s="220"/>
      <c r="C18" s="150">
        <v>73082011</v>
      </c>
      <c r="D18" s="208"/>
      <c r="E18" s="157">
        <v>0.18</v>
      </c>
      <c r="F18" s="208"/>
      <c r="G18" s="170" t="s">
        <v>315</v>
      </c>
      <c r="H18" s="159" t="s">
        <v>125</v>
      </c>
      <c r="I18" s="169">
        <v>1.77</v>
      </c>
      <c r="J18" s="214"/>
      <c r="K18" s="161">
        <f>I18*J18</f>
        <v>0</v>
      </c>
      <c r="L18" s="162">
        <f>IF(ISBLANK(F18),E18*K18,F18*K18)</f>
        <v>0</v>
      </c>
      <c r="M18" s="148"/>
      <c r="N18" s="148"/>
      <c r="O18" s="148"/>
      <c r="P18" s="148"/>
      <c r="Q18" s="148"/>
    </row>
    <row r="19" spans="1:17" ht="49.5" x14ac:dyDescent="0.25">
      <c r="A19" s="220"/>
      <c r="B19" s="220"/>
      <c r="C19" s="150">
        <v>73082011</v>
      </c>
      <c r="D19" s="208"/>
      <c r="E19" s="157">
        <v>0.18</v>
      </c>
      <c r="F19" s="208"/>
      <c r="G19" s="170" t="s">
        <v>316</v>
      </c>
      <c r="H19" s="159" t="s">
        <v>125</v>
      </c>
      <c r="I19" s="169">
        <v>0.23</v>
      </c>
      <c r="J19" s="214"/>
      <c r="K19" s="161">
        <f>I19*J19</f>
        <v>0</v>
      </c>
      <c r="L19" s="162">
        <f>IF(ISBLANK(F19),E19*K19,F19*K19)</f>
        <v>0</v>
      </c>
      <c r="M19" s="148"/>
      <c r="N19" s="148"/>
      <c r="O19" s="148"/>
      <c r="P19" s="148"/>
      <c r="Q19" s="148"/>
    </row>
    <row r="20" spans="1:17" ht="33" x14ac:dyDescent="0.25">
      <c r="A20" s="220"/>
      <c r="B20" s="220"/>
      <c r="C20" s="150">
        <v>73082011</v>
      </c>
      <c r="D20" s="208"/>
      <c r="E20" s="157">
        <v>0.18</v>
      </c>
      <c r="F20" s="208"/>
      <c r="G20" s="170" t="s">
        <v>317</v>
      </c>
      <c r="H20" s="159" t="s">
        <v>125</v>
      </c>
      <c r="I20" s="169">
        <v>0.57999999999999996</v>
      </c>
      <c r="J20" s="214"/>
      <c r="K20" s="161">
        <f>I20*J20</f>
        <v>0</v>
      </c>
      <c r="L20" s="162">
        <f>IF(ISBLANK(F20),E20*K20,F20*K20)</f>
        <v>0</v>
      </c>
      <c r="M20" s="148"/>
      <c r="N20" s="148"/>
      <c r="O20" s="148"/>
      <c r="P20" s="148"/>
      <c r="Q20" s="148"/>
    </row>
    <row r="21" spans="1:17" ht="33" x14ac:dyDescent="0.25">
      <c r="A21" s="220"/>
      <c r="B21" s="220"/>
      <c r="C21" s="150">
        <v>73082011</v>
      </c>
      <c r="D21" s="208"/>
      <c r="E21" s="157">
        <v>0.18</v>
      </c>
      <c r="F21" s="208"/>
      <c r="G21" s="170" t="s">
        <v>318</v>
      </c>
      <c r="H21" s="159" t="s">
        <v>125</v>
      </c>
      <c r="I21" s="169">
        <v>9.1199999999999992</v>
      </c>
      <c r="J21" s="214"/>
      <c r="K21" s="161">
        <f>I21*J21</f>
        <v>0</v>
      </c>
      <c r="L21" s="162">
        <f>IF(ISBLANK(F21),E21*K21,F21*K21)</f>
        <v>0</v>
      </c>
      <c r="M21" s="148"/>
      <c r="N21" s="148"/>
      <c r="O21" s="148"/>
      <c r="P21" s="148"/>
      <c r="Q21" s="148"/>
    </row>
    <row r="22" spans="1:17" ht="15" x14ac:dyDescent="0.25">
      <c r="A22" s="164" t="s">
        <v>223</v>
      </c>
      <c r="B22" s="156" t="s">
        <v>218</v>
      </c>
      <c r="C22" s="156"/>
      <c r="D22" s="210"/>
      <c r="E22" s="156"/>
      <c r="F22" s="210"/>
      <c r="G22" s="156"/>
      <c r="H22" s="156"/>
      <c r="I22" s="156"/>
      <c r="J22" s="210"/>
      <c r="K22" s="167"/>
      <c r="L22" s="168"/>
      <c r="M22" s="148"/>
      <c r="N22" s="148"/>
      <c r="O22" s="148"/>
      <c r="P22" s="148"/>
      <c r="Q22" s="148"/>
    </row>
    <row r="23" spans="1:17" ht="30" x14ac:dyDescent="0.25">
      <c r="A23" s="261"/>
      <c r="B23" s="261"/>
      <c r="C23" s="150">
        <v>73082011</v>
      </c>
      <c r="D23" s="208"/>
      <c r="E23" s="157">
        <v>0.18</v>
      </c>
      <c r="F23" s="208"/>
      <c r="G23" s="163" t="s">
        <v>267</v>
      </c>
      <c r="H23" s="171" t="s">
        <v>163</v>
      </c>
      <c r="I23" s="160">
        <f>4+7</f>
        <v>11</v>
      </c>
      <c r="J23" s="214"/>
      <c r="K23" s="161">
        <f t="shared" si="0"/>
        <v>0</v>
      </c>
      <c r="L23" s="162">
        <f t="shared" ref="L23:L28" si="1">IF(ISBLANK(F23),E23*K23,F23*K23)</f>
        <v>0</v>
      </c>
      <c r="M23" s="148"/>
      <c r="N23" s="148"/>
      <c r="O23" s="148"/>
      <c r="P23" s="148"/>
      <c r="Q23" s="148"/>
    </row>
    <row r="24" spans="1:17" ht="16.5" x14ac:dyDescent="0.25">
      <c r="A24" s="262"/>
      <c r="B24" s="262"/>
      <c r="C24" s="150">
        <v>73082011</v>
      </c>
      <c r="D24" s="208"/>
      <c r="E24" s="157">
        <v>0.18</v>
      </c>
      <c r="F24" s="208"/>
      <c r="G24" s="172" t="s">
        <v>268</v>
      </c>
      <c r="H24" s="171" t="s">
        <v>163</v>
      </c>
      <c r="I24" s="160">
        <f>2+7</f>
        <v>9</v>
      </c>
      <c r="J24" s="214"/>
      <c r="K24" s="161">
        <f t="shared" si="0"/>
        <v>0</v>
      </c>
      <c r="L24" s="162">
        <f t="shared" si="1"/>
        <v>0</v>
      </c>
      <c r="M24" s="148"/>
      <c r="N24" s="148"/>
      <c r="O24" s="148"/>
      <c r="P24" s="148"/>
      <c r="Q24" s="148"/>
    </row>
    <row r="25" spans="1:17" ht="33" x14ac:dyDescent="0.25">
      <c r="A25" s="262"/>
      <c r="B25" s="262"/>
      <c r="C25" s="150">
        <v>73082011</v>
      </c>
      <c r="D25" s="208"/>
      <c r="E25" s="157">
        <v>0.18</v>
      </c>
      <c r="F25" s="208"/>
      <c r="G25" s="170" t="s">
        <v>269</v>
      </c>
      <c r="H25" s="171" t="s">
        <v>163</v>
      </c>
      <c r="I25" s="160">
        <f>1+1</f>
        <v>2</v>
      </c>
      <c r="J25" s="214"/>
      <c r="K25" s="161">
        <f t="shared" si="0"/>
        <v>0</v>
      </c>
      <c r="L25" s="162">
        <f t="shared" si="1"/>
        <v>0</v>
      </c>
      <c r="M25" s="148"/>
      <c r="N25" s="148"/>
      <c r="O25" s="148"/>
      <c r="P25" s="148"/>
      <c r="Q25" s="148"/>
    </row>
    <row r="26" spans="1:17" ht="33" x14ac:dyDescent="0.25">
      <c r="A26" s="262"/>
      <c r="B26" s="262"/>
      <c r="C26" s="150">
        <v>73082011</v>
      </c>
      <c r="D26" s="208"/>
      <c r="E26" s="157">
        <v>0.18</v>
      </c>
      <c r="F26" s="208"/>
      <c r="G26" s="170" t="s">
        <v>270</v>
      </c>
      <c r="H26" s="171" t="s">
        <v>163</v>
      </c>
      <c r="I26" s="160">
        <v>0</v>
      </c>
      <c r="J26" s="215"/>
      <c r="K26" s="161">
        <f t="shared" si="0"/>
        <v>0</v>
      </c>
      <c r="L26" s="162">
        <f t="shared" si="1"/>
        <v>0</v>
      </c>
      <c r="M26" s="148"/>
      <c r="N26" s="148"/>
      <c r="O26" s="148"/>
      <c r="P26" s="148"/>
      <c r="Q26" s="148"/>
    </row>
    <row r="27" spans="1:17" ht="75" x14ac:dyDescent="0.25">
      <c r="A27" s="262"/>
      <c r="B27" s="262"/>
      <c r="C27" s="150">
        <v>73082011</v>
      </c>
      <c r="D27" s="208"/>
      <c r="E27" s="157">
        <v>0.18</v>
      </c>
      <c r="F27" s="208"/>
      <c r="G27" s="163" t="s">
        <v>271</v>
      </c>
      <c r="H27" s="173" t="s">
        <v>163</v>
      </c>
      <c r="I27" s="160">
        <f>1+1</f>
        <v>2</v>
      </c>
      <c r="J27" s="211"/>
      <c r="K27" s="161">
        <f>I27*J27</f>
        <v>0</v>
      </c>
      <c r="L27" s="162">
        <f t="shared" si="1"/>
        <v>0</v>
      </c>
      <c r="M27" s="148"/>
      <c r="N27" s="148"/>
      <c r="O27" s="148"/>
      <c r="P27" s="148"/>
      <c r="Q27" s="148"/>
    </row>
    <row r="28" spans="1:17" ht="15" x14ac:dyDescent="0.25">
      <c r="A28" s="262"/>
      <c r="B28" s="262"/>
      <c r="C28" s="150">
        <v>73082011</v>
      </c>
      <c r="D28" s="208"/>
      <c r="E28" s="157">
        <v>0.18</v>
      </c>
      <c r="F28" s="208"/>
      <c r="G28" s="163" t="s">
        <v>272</v>
      </c>
      <c r="H28" s="173" t="s">
        <v>163</v>
      </c>
      <c r="I28" s="160">
        <f>0</f>
        <v>0</v>
      </c>
      <c r="J28" s="213"/>
      <c r="K28" s="161">
        <f t="shared" si="0"/>
        <v>0</v>
      </c>
      <c r="L28" s="162">
        <f t="shared" si="1"/>
        <v>0</v>
      </c>
      <c r="M28" s="148"/>
      <c r="N28" s="148"/>
      <c r="O28" s="148"/>
      <c r="P28" s="148"/>
      <c r="Q28" s="148"/>
    </row>
    <row r="29" spans="1:17" ht="15" x14ac:dyDescent="0.25">
      <c r="A29" s="164" t="s">
        <v>226</v>
      </c>
      <c r="B29" s="156" t="s">
        <v>261</v>
      </c>
      <c r="C29" s="156"/>
      <c r="D29" s="210"/>
      <c r="E29" s="156"/>
      <c r="F29" s="210"/>
      <c r="G29" s="156"/>
      <c r="H29" s="156"/>
      <c r="I29" s="156"/>
      <c r="J29" s="210"/>
      <c r="K29" s="167"/>
      <c r="L29" s="168"/>
      <c r="M29" s="148"/>
      <c r="N29" s="148"/>
      <c r="O29" s="148"/>
      <c r="P29" s="148"/>
      <c r="Q29" s="148"/>
    </row>
    <row r="30" spans="1:17" ht="30" x14ac:dyDescent="0.25">
      <c r="A30" s="261"/>
      <c r="B30" s="261"/>
      <c r="C30" s="150">
        <v>73028011</v>
      </c>
      <c r="D30" s="211"/>
      <c r="E30" s="157">
        <v>0.18</v>
      </c>
      <c r="F30" s="208"/>
      <c r="G30" s="163" t="s">
        <v>220</v>
      </c>
      <c r="H30" s="171" t="s">
        <v>163</v>
      </c>
      <c r="I30" s="160">
        <f>3+8</f>
        <v>11</v>
      </c>
      <c r="J30" s="216"/>
      <c r="K30" s="161">
        <f t="shared" si="0"/>
        <v>0</v>
      </c>
      <c r="L30" s="162">
        <f>IF(ISBLANK(F30),E30*K30,F30*K30)</f>
        <v>0</v>
      </c>
      <c r="M30" s="148"/>
      <c r="N30" s="148"/>
      <c r="O30" s="148"/>
      <c r="P30" s="148"/>
      <c r="Q30" s="148"/>
    </row>
    <row r="31" spans="1:17" ht="30" x14ac:dyDescent="0.25">
      <c r="A31" s="262"/>
      <c r="B31" s="262"/>
      <c r="C31" s="150">
        <v>73028011</v>
      </c>
      <c r="D31" s="211"/>
      <c r="E31" s="157">
        <v>0.18</v>
      </c>
      <c r="F31" s="208"/>
      <c r="G31" s="163" t="s">
        <v>221</v>
      </c>
      <c r="H31" s="171" t="s">
        <v>163</v>
      </c>
      <c r="I31" s="160">
        <f>3+8</f>
        <v>11</v>
      </c>
      <c r="J31" s="216"/>
      <c r="K31" s="161">
        <f t="shared" si="0"/>
        <v>0</v>
      </c>
      <c r="L31" s="162">
        <f t="shared" ref="L31:L36" si="2">IF(ISBLANK(F31),E31*K31,F31*K31)</f>
        <v>0</v>
      </c>
      <c r="M31" s="148"/>
      <c r="N31" s="148"/>
      <c r="O31" s="148"/>
      <c r="P31" s="148"/>
      <c r="Q31" s="148"/>
    </row>
    <row r="32" spans="1:17" ht="16.5" x14ac:dyDescent="0.25">
      <c r="A32" s="262"/>
      <c r="B32" s="262"/>
      <c r="C32" s="150">
        <v>73028011</v>
      </c>
      <c r="D32" s="211"/>
      <c r="E32" s="157">
        <v>0.18</v>
      </c>
      <c r="F32" s="208"/>
      <c r="G32" s="163" t="s">
        <v>222</v>
      </c>
      <c r="H32" s="171" t="s">
        <v>174</v>
      </c>
      <c r="I32" s="233">
        <f>6+16</f>
        <v>22</v>
      </c>
      <c r="J32" s="216"/>
      <c r="K32" s="161">
        <f t="shared" si="0"/>
        <v>0</v>
      </c>
      <c r="L32" s="162">
        <f t="shared" si="2"/>
        <v>0</v>
      </c>
      <c r="M32" s="148"/>
      <c r="N32" s="148"/>
      <c r="O32" s="148"/>
      <c r="P32" s="148"/>
      <c r="Q32" s="148"/>
    </row>
    <row r="33" spans="1:12" ht="16.5" x14ac:dyDescent="0.25">
      <c r="A33" s="262"/>
      <c r="B33" s="262"/>
      <c r="C33" s="150">
        <v>73028011</v>
      </c>
      <c r="D33" s="211"/>
      <c r="E33" s="157">
        <v>0.18</v>
      </c>
      <c r="F33" s="208"/>
      <c r="G33" s="174" t="s">
        <v>273</v>
      </c>
      <c r="H33" s="171" t="s">
        <v>174</v>
      </c>
      <c r="I33" s="233">
        <f>3+8</f>
        <v>11</v>
      </c>
      <c r="J33" s="216"/>
      <c r="K33" s="161">
        <f t="shared" si="0"/>
        <v>0</v>
      </c>
      <c r="L33" s="162">
        <f t="shared" si="2"/>
        <v>0</v>
      </c>
    </row>
    <row r="34" spans="1:12" ht="16.5" x14ac:dyDescent="0.25">
      <c r="A34" s="262"/>
      <c r="B34" s="262"/>
      <c r="C34" s="150">
        <v>73028011</v>
      </c>
      <c r="D34" s="211"/>
      <c r="E34" s="157">
        <v>0.18</v>
      </c>
      <c r="F34" s="208"/>
      <c r="G34" s="163" t="s">
        <v>275</v>
      </c>
      <c r="H34" s="171" t="s">
        <v>174</v>
      </c>
      <c r="I34" s="233">
        <f>3+8</f>
        <v>11</v>
      </c>
      <c r="J34" s="216"/>
      <c r="K34" s="161">
        <f t="shared" si="0"/>
        <v>0</v>
      </c>
      <c r="L34" s="162">
        <f t="shared" si="2"/>
        <v>0</v>
      </c>
    </row>
    <row r="35" spans="1:12" ht="16.5" x14ac:dyDescent="0.25">
      <c r="A35" s="262"/>
      <c r="B35" s="262"/>
      <c r="C35" s="150">
        <v>73028011</v>
      </c>
      <c r="D35" s="211"/>
      <c r="E35" s="157">
        <v>0.18</v>
      </c>
      <c r="F35" s="208"/>
      <c r="G35" s="174" t="s">
        <v>236</v>
      </c>
      <c r="H35" s="171" t="s">
        <v>174</v>
      </c>
      <c r="I35" s="233">
        <v>4</v>
      </c>
      <c r="J35" s="216"/>
      <c r="K35" s="161">
        <f t="shared" si="0"/>
        <v>0</v>
      </c>
      <c r="L35" s="162">
        <f t="shared" si="2"/>
        <v>0</v>
      </c>
    </row>
    <row r="36" spans="1:12" ht="16.5" x14ac:dyDescent="0.25">
      <c r="A36" s="262"/>
      <c r="B36" s="262"/>
      <c r="C36" s="150">
        <v>73028011</v>
      </c>
      <c r="D36" s="211"/>
      <c r="E36" s="157">
        <v>0.18</v>
      </c>
      <c r="F36" s="208"/>
      <c r="G36" s="175" t="s">
        <v>237</v>
      </c>
      <c r="H36" s="176" t="s">
        <v>163</v>
      </c>
      <c r="I36" s="234">
        <f>0</f>
        <v>0</v>
      </c>
      <c r="J36" s="216"/>
      <c r="K36" s="161">
        <f t="shared" si="0"/>
        <v>0</v>
      </c>
      <c r="L36" s="162">
        <f t="shared" si="2"/>
        <v>0</v>
      </c>
    </row>
    <row r="37" spans="1:12" ht="15" x14ac:dyDescent="0.2">
      <c r="A37" s="164" t="s">
        <v>276</v>
      </c>
      <c r="B37" s="156" t="s">
        <v>260</v>
      </c>
      <c r="C37" s="156"/>
      <c r="D37" s="210"/>
      <c r="E37" s="156"/>
      <c r="F37" s="210"/>
      <c r="G37" s="156"/>
      <c r="H37" s="156"/>
      <c r="I37" s="235"/>
      <c r="J37" s="210"/>
      <c r="K37" s="167"/>
      <c r="L37" s="168"/>
    </row>
    <row r="38" spans="1:12" ht="15" x14ac:dyDescent="0.25">
      <c r="A38" s="267"/>
      <c r="B38" s="267"/>
      <c r="C38" s="177">
        <v>73121020</v>
      </c>
      <c r="D38" s="212"/>
      <c r="E38" s="157">
        <v>0.18</v>
      </c>
      <c r="F38" s="212"/>
      <c r="G38" s="178" t="s">
        <v>238</v>
      </c>
      <c r="H38" s="161" t="s">
        <v>123</v>
      </c>
      <c r="I38" s="161">
        <f>1.06+2.58</f>
        <v>3.64</v>
      </c>
      <c r="J38" s="214"/>
      <c r="K38" s="161">
        <f t="shared" si="0"/>
        <v>0</v>
      </c>
      <c r="L38" s="162">
        <f t="shared" ref="L38:L62" si="3">IF(ISBLANK(F38),E38*K38,F38*K38)</f>
        <v>0</v>
      </c>
    </row>
    <row r="39" spans="1:12" ht="16.5" x14ac:dyDescent="0.25">
      <c r="A39" s="268"/>
      <c r="B39" s="268"/>
      <c r="C39" s="177">
        <v>76042910</v>
      </c>
      <c r="D39" s="212"/>
      <c r="E39" s="157">
        <v>0.18</v>
      </c>
      <c r="F39" s="212"/>
      <c r="G39" s="178" t="s">
        <v>239</v>
      </c>
      <c r="H39" s="161" t="s">
        <v>123</v>
      </c>
      <c r="I39" s="161">
        <f>0</f>
        <v>0</v>
      </c>
      <c r="J39" s="216"/>
      <c r="K39" s="161">
        <f t="shared" si="0"/>
        <v>0</v>
      </c>
      <c r="L39" s="162">
        <f t="shared" si="3"/>
        <v>0</v>
      </c>
    </row>
    <row r="40" spans="1:12" ht="45" x14ac:dyDescent="0.25">
      <c r="A40" s="268"/>
      <c r="B40" s="268"/>
      <c r="C40" s="150">
        <v>85469090</v>
      </c>
      <c r="D40" s="211"/>
      <c r="E40" s="157">
        <v>0.18</v>
      </c>
      <c r="F40" s="208"/>
      <c r="G40" s="174" t="s">
        <v>247</v>
      </c>
      <c r="H40" s="171" t="s">
        <v>163</v>
      </c>
      <c r="I40" s="233">
        <f>168+168</f>
        <v>336</v>
      </c>
      <c r="J40" s="217"/>
      <c r="K40" s="161">
        <f t="shared" si="0"/>
        <v>0</v>
      </c>
      <c r="L40" s="162">
        <f t="shared" si="3"/>
        <v>0</v>
      </c>
    </row>
    <row r="41" spans="1:12" ht="30" x14ac:dyDescent="0.25">
      <c r="A41" s="268"/>
      <c r="B41" s="268"/>
      <c r="C41" s="150">
        <v>85469090</v>
      </c>
      <c r="D41" s="211"/>
      <c r="E41" s="157">
        <v>0.18</v>
      </c>
      <c r="F41" s="208"/>
      <c r="G41" s="163" t="s">
        <v>240</v>
      </c>
      <c r="H41" s="171" t="s">
        <v>163</v>
      </c>
      <c r="I41" s="233">
        <f>21+33</f>
        <v>54</v>
      </c>
      <c r="J41" s="217"/>
      <c r="K41" s="161">
        <f t="shared" si="0"/>
        <v>0</v>
      </c>
      <c r="L41" s="162">
        <f t="shared" si="3"/>
        <v>0</v>
      </c>
    </row>
    <row r="42" spans="1:12" ht="45" x14ac:dyDescent="0.25">
      <c r="A42" s="268"/>
      <c r="B42" s="268"/>
      <c r="C42" s="150">
        <v>73028011</v>
      </c>
      <c r="D42" s="211"/>
      <c r="E42" s="157">
        <v>0.18</v>
      </c>
      <c r="F42" s="208"/>
      <c r="G42" s="222" t="s">
        <v>319</v>
      </c>
      <c r="H42" s="171" t="s">
        <v>174</v>
      </c>
      <c r="I42" s="160">
        <v>6</v>
      </c>
      <c r="J42" s="216"/>
      <c r="K42" s="161">
        <f t="shared" si="0"/>
        <v>0</v>
      </c>
      <c r="L42" s="162">
        <f t="shared" si="3"/>
        <v>0</v>
      </c>
    </row>
    <row r="43" spans="1:12" ht="16.5" x14ac:dyDescent="0.25">
      <c r="A43" s="268"/>
      <c r="B43" s="268"/>
      <c r="C43" s="150">
        <v>73028011</v>
      </c>
      <c r="D43" s="211"/>
      <c r="E43" s="157">
        <v>0.18</v>
      </c>
      <c r="F43" s="208"/>
      <c r="G43" s="163" t="s">
        <v>241</v>
      </c>
      <c r="H43" s="171" t="s">
        <v>174</v>
      </c>
      <c r="I43" s="160">
        <f>9</f>
        <v>9</v>
      </c>
      <c r="J43" s="216"/>
      <c r="K43" s="161">
        <f t="shared" si="0"/>
        <v>0</v>
      </c>
      <c r="L43" s="162">
        <f t="shared" si="3"/>
        <v>0</v>
      </c>
    </row>
    <row r="44" spans="1:12" ht="16.5" x14ac:dyDescent="0.25">
      <c r="A44" s="268"/>
      <c r="B44" s="268"/>
      <c r="C44" s="150">
        <v>73028011</v>
      </c>
      <c r="D44" s="211"/>
      <c r="E44" s="157">
        <v>0.18</v>
      </c>
      <c r="F44" s="208"/>
      <c r="G44" s="163" t="s">
        <v>296</v>
      </c>
      <c r="H44" s="171" t="s">
        <v>174</v>
      </c>
      <c r="I44" s="160">
        <v>42</v>
      </c>
      <c r="J44" s="216"/>
      <c r="K44" s="161">
        <f t="shared" si="0"/>
        <v>0</v>
      </c>
      <c r="L44" s="162">
        <f t="shared" si="3"/>
        <v>0</v>
      </c>
    </row>
    <row r="45" spans="1:12" ht="30" x14ac:dyDescent="0.25">
      <c r="A45" s="268"/>
      <c r="B45" s="268"/>
      <c r="C45" s="150"/>
      <c r="D45" s="211"/>
      <c r="E45" s="157"/>
      <c r="F45" s="208"/>
      <c r="G45" s="180" t="s">
        <v>320</v>
      </c>
      <c r="H45" s="171"/>
      <c r="I45" s="160"/>
      <c r="J45" s="216"/>
      <c r="K45" s="161"/>
      <c r="L45" s="162"/>
    </row>
    <row r="46" spans="1:12" ht="16.5" x14ac:dyDescent="0.25">
      <c r="A46" s="268"/>
      <c r="B46" s="268"/>
      <c r="C46" s="150">
        <v>73028011</v>
      </c>
      <c r="D46" s="211"/>
      <c r="E46" s="157">
        <v>0.18</v>
      </c>
      <c r="F46" s="208"/>
      <c r="G46" s="223" t="s">
        <v>321</v>
      </c>
      <c r="H46" s="171" t="s">
        <v>174</v>
      </c>
      <c r="I46" s="160">
        <v>21</v>
      </c>
      <c r="J46" s="216"/>
      <c r="K46" s="161">
        <f>I46*J46</f>
        <v>0</v>
      </c>
      <c r="L46" s="162">
        <f>IF(ISBLANK(F46),E46*K46,F46*K46)</f>
        <v>0</v>
      </c>
    </row>
    <row r="47" spans="1:12" ht="16.5" x14ac:dyDescent="0.25">
      <c r="A47" s="268"/>
      <c r="B47" s="268"/>
      <c r="C47" s="150">
        <v>73028011</v>
      </c>
      <c r="D47" s="211"/>
      <c r="E47" s="157">
        <v>0.18</v>
      </c>
      <c r="F47" s="208"/>
      <c r="G47" s="223" t="s">
        <v>322</v>
      </c>
      <c r="H47" s="171" t="s">
        <v>174</v>
      </c>
      <c r="I47" s="160">
        <v>84</v>
      </c>
      <c r="J47" s="216"/>
      <c r="K47" s="161">
        <f>I47*J47</f>
        <v>0</v>
      </c>
      <c r="L47" s="162">
        <f>IF(ISBLANK(F47),E47*K47,F47*K47)</f>
        <v>0</v>
      </c>
    </row>
    <row r="48" spans="1:12" ht="16.5" x14ac:dyDescent="0.25">
      <c r="A48" s="268"/>
      <c r="B48" s="268"/>
      <c r="C48" s="150">
        <v>73028011</v>
      </c>
      <c r="D48" s="211"/>
      <c r="E48" s="157">
        <v>0.18</v>
      </c>
      <c r="F48" s="208"/>
      <c r="G48" s="223" t="s">
        <v>323</v>
      </c>
      <c r="H48" s="171" t="s">
        <v>174</v>
      </c>
      <c r="I48" s="160">
        <v>12</v>
      </c>
      <c r="J48" s="216"/>
      <c r="K48" s="161">
        <f>I48*J48</f>
        <v>0</v>
      </c>
      <c r="L48" s="162">
        <f>IF(ISBLANK(F48),E48*K48,F48*K48)</f>
        <v>0</v>
      </c>
    </row>
    <row r="49" spans="1:12" ht="45" x14ac:dyDescent="0.25">
      <c r="A49" s="268"/>
      <c r="B49" s="268"/>
      <c r="C49" s="150">
        <v>76169990</v>
      </c>
      <c r="D49" s="211"/>
      <c r="E49" s="157">
        <v>0.18</v>
      </c>
      <c r="F49" s="208"/>
      <c r="G49" s="222" t="s">
        <v>338</v>
      </c>
      <c r="H49" s="159" t="s">
        <v>163</v>
      </c>
      <c r="I49" s="160">
        <f>11+13</f>
        <v>24</v>
      </c>
      <c r="J49" s="216"/>
      <c r="K49" s="161">
        <f t="shared" si="0"/>
        <v>0</v>
      </c>
      <c r="L49" s="162">
        <f t="shared" si="3"/>
        <v>0</v>
      </c>
    </row>
    <row r="50" spans="1:12" ht="16.5" x14ac:dyDescent="0.25">
      <c r="A50" s="268"/>
      <c r="B50" s="268"/>
      <c r="C50" s="150">
        <v>76169990</v>
      </c>
      <c r="D50" s="211"/>
      <c r="E50" s="157">
        <v>0.18</v>
      </c>
      <c r="F50" s="208"/>
      <c r="G50" s="163" t="s">
        <v>224</v>
      </c>
      <c r="H50" s="159" t="s">
        <v>163</v>
      </c>
      <c r="I50" s="160">
        <f>4+4</f>
        <v>8</v>
      </c>
      <c r="J50" s="216"/>
      <c r="K50" s="161">
        <f t="shared" si="0"/>
        <v>0</v>
      </c>
      <c r="L50" s="162">
        <f t="shared" si="3"/>
        <v>0</v>
      </c>
    </row>
    <row r="51" spans="1:12" ht="16.5" x14ac:dyDescent="0.25">
      <c r="A51" s="268"/>
      <c r="B51" s="268"/>
      <c r="C51" s="150">
        <v>73028011</v>
      </c>
      <c r="D51" s="211"/>
      <c r="E51" s="157">
        <v>0.18</v>
      </c>
      <c r="F51" s="208"/>
      <c r="G51" s="163" t="s">
        <v>225</v>
      </c>
      <c r="H51" s="159" t="s">
        <v>163</v>
      </c>
      <c r="I51" s="160">
        <f>0+384</f>
        <v>384</v>
      </c>
      <c r="J51" s="216"/>
      <c r="K51" s="161">
        <f t="shared" si="0"/>
        <v>0</v>
      </c>
      <c r="L51" s="162">
        <f t="shared" si="3"/>
        <v>0</v>
      </c>
    </row>
    <row r="52" spans="1:12" ht="16.5" x14ac:dyDescent="0.25">
      <c r="A52" s="268"/>
      <c r="B52" s="268"/>
      <c r="C52" s="150">
        <v>76169990</v>
      </c>
      <c r="D52" s="211"/>
      <c r="E52" s="157">
        <v>0.18</v>
      </c>
      <c r="F52" s="208"/>
      <c r="G52" s="174" t="s">
        <v>297</v>
      </c>
      <c r="H52" s="159" t="s">
        <v>163</v>
      </c>
      <c r="I52" s="160">
        <v>144</v>
      </c>
      <c r="J52" s="216"/>
      <c r="K52" s="161">
        <f t="shared" si="0"/>
        <v>0</v>
      </c>
      <c r="L52" s="162">
        <f t="shared" si="3"/>
        <v>0</v>
      </c>
    </row>
    <row r="53" spans="1:12" ht="16.5" x14ac:dyDescent="0.25">
      <c r="A53" s="268"/>
      <c r="B53" s="268"/>
      <c r="C53" s="150">
        <v>76169990</v>
      </c>
      <c r="D53" s="211"/>
      <c r="E53" s="157">
        <v>0.18</v>
      </c>
      <c r="F53" s="208"/>
      <c r="G53" s="174" t="s">
        <v>298</v>
      </c>
      <c r="H53" s="159" t="s">
        <v>163</v>
      </c>
      <c r="I53" s="160">
        <v>72</v>
      </c>
      <c r="J53" s="216"/>
      <c r="K53" s="161">
        <f t="shared" si="0"/>
        <v>0</v>
      </c>
      <c r="L53" s="162">
        <f t="shared" si="3"/>
        <v>0</v>
      </c>
    </row>
    <row r="54" spans="1:12" ht="16.5" x14ac:dyDescent="0.25">
      <c r="A54" s="268"/>
      <c r="B54" s="268"/>
      <c r="C54" s="150">
        <v>76169990</v>
      </c>
      <c r="D54" s="211"/>
      <c r="E54" s="157">
        <v>0.18</v>
      </c>
      <c r="F54" s="208"/>
      <c r="G54" s="174" t="s">
        <v>324</v>
      </c>
      <c r="H54" s="159" t="s">
        <v>163</v>
      </c>
      <c r="I54" s="160">
        <v>270</v>
      </c>
      <c r="J54" s="216"/>
      <c r="K54" s="161">
        <f t="shared" si="0"/>
        <v>0</v>
      </c>
      <c r="L54" s="162">
        <f t="shared" si="3"/>
        <v>0</v>
      </c>
    </row>
    <row r="55" spans="1:12" ht="16.5" x14ac:dyDescent="0.25">
      <c r="A55" s="268"/>
      <c r="B55" s="268"/>
      <c r="C55" s="150">
        <v>76169990</v>
      </c>
      <c r="D55" s="211"/>
      <c r="E55" s="157">
        <v>0.18</v>
      </c>
      <c r="F55" s="208"/>
      <c r="G55" s="174" t="s">
        <v>325</v>
      </c>
      <c r="H55" s="159" t="s">
        <v>163</v>
      </c>
      <c r="I55" s="160">
        <v>144</v>
      </c>
      <c r="J55" s="216"/>
      <c r="K55" s="161">
        <f t="shared" si="0"/>
        <v>0</v>
      </c>
      <c r="L55" s="162">
        <f t="shared" si="3"/>
        <v>0</v>
      </c>
    </row>
    <row r="56" spans="1:12" ht="30" x14ac:dyDescent="0.25">
      <c r="A56" s="268"/>
      <c r="B56" s="268"/>
      <c r="C56" s="150">
        <v>73028011</v>
      </c>
      <c r="D56" s="211"/>
      <c r="E56" s="157">
        <v>0.18</v>
      </c>
      <c r="F56" s="208"/>
      <c r="G56" s="222" t="s">
        <v>339</v>
      </c>
      <c r="H56" s="159" t="s">
        <v>163</v>
      </c>
      <c r="I56" s="179">
        <f>1+2</f>
        <v>3</v>
      </c>
      <c r="J56" s="218"/>
      <c r="K56" s="161">
        <f t="shared" si="0"/>
        <v>0</v>
      </c>
      <c r="L56" s="162">
        <f t="shared" si="3"/>
        <v>0</v>
      </c>
    </row>
    <row r="57" spans="1:12" ht="16.5" x14ac:dyDescent="0.25">
      <c r="A57" s="268"/>
      <c r="B57" s="268"/>
      <c r="C57" s="150">
        <v>76169990</v>
      </c>
      <c r="D57" s="211"/>
      <c r="E57" s="157">
        <v>0.18</v>
      </c>
      <c r="F57" s="208"/>
      <c r="G57" s="170" t="s">
        <v>243</v>
      </c>
      <c r="H57" s="159" t="s">
        <v>163</v>
      </c>
      <c r="I57" s="179">
        <f>8+16</f>
        <v>24</v>
      </c>
      <c r="J57" s="218"/>
      <c r="K57" s="161">
        <f t="shared" si="0"/>
        <v>0</v>
      </c>
      <c r="L57" s="162">
        <f t="shared" si="3"/>
        <v>0</v>
      </c>
    </row>
    <row r="58" spans="1:12" ht="16.5" x14ac:dyDescent="0.25">
      <c r="A58" s="268"/>
      <c r="B58" s="268"/>
      <c r="C58" s="150">
        <v>73028011</v>
      </c>
      <c r="D58" s="211"/>
      <c r="E58" s="157">
        <v>0.18</v>
      </c>
      <c r="F58" s="208"/>
      <c r="G58" s="170" t="s">
        <v>246</v>
      </c>
      <c r="H58" s="159" t="s">
        <v>163</v>
      </c>
      <c r="I58" s="179">
        <f>15+32</f>
        <v>47</v>
      </c>
      <c r="J58" s="218"/>
      <c r="K58" s="161">
        <f t="shared" si="0"/>
        <v>0</v>
      </c>
      <c r="L58" s="162">
        <f t="shared" si="3"/>
        <v>0</v>
      </c>
    </row>
    <row r="59" spans="1:12" ht="16.5" x14ac:dyDescent="0.25">
      <c r="A59" s="268"/>
      <c r="B59" s="268"/>
      <c r="C59" s="150">
        <v>73028011</v>
      </c>
      <c r="D59" s="211"/>
      <c r="E59" s="157">
        <v>0.18</v>
      </c>
      <c r="F59" s="208"/>
      <c r="G59" s="170" t="s">
        <v>244</v>
      </c>
      <c r="H59" s="159" t="s">
        <v>163</v>
      </c>
      <c r="I59" s="179">
        <f>1+2</f>
        <v>3</v>
      </c>
      <c r="J59" s="218"/>
      <c r="K59" s="161">
        <f t="shared" si="0"/>
        <v>0</v>
      </c>
      <c r="L59" s="162">
        <f t="shared" si="3"/>
        <v>0</v>
      </c>
    </row>
    <row r="60" spans="1:12" ht="16.5" x14ac:dyDescent="0.25">
      <c r="A60" s="269"/>
      <c r="B60" s="269"/>
      <c r="C60" s="150">
        <v>73028011</v>
      </c>
      <c r="D60" s="211"/>
      <c r="E60" s="157">
        <v>0.18</v>
      </c>
      <c r="F60" s="208"/>
      <c r="G60" s="170" t="s">
        <v>245</v>
      </c>
      <c r="H60" s="159" t="s">
        <v>163</v>
      </c>
      <c r="I60" s="179">
        <f>7+14</f>
        <v>21</v>
      </c>
      <c r="J60" s="218"/>
      <c r="K60" s="161">
        <f t="shared" si="0"/>
        <v>0</v>
      </c>
      <c r="L60" s="162">
        <f t="shared" si="3"/>
        <v>0</v>
      </c>
    </row>
    <row r="61" spans="1:12" ht="15" x14ac:dyDescent="0.2">
      <c r="A61" s="164" t="s">
        <v>277</v>
      </c>
      <c r="B61" s="156"/>
      <c r="C61" s="156"/>
      <c r="D61" s="210"/>
      <c r="E61" s="156"/>
      <c r="F61" s="210"/>
      <c r="G61" s="156" t="s">
        <v>300</v>
      </c>
      <c r="H61" s="156"/>
      <c r="I61" s="156"/>
      <c r="J61" s="210"/>
      <c r="K61" s="167"/>
      <c r="L61" s="168"/>
    </row>
    <row r="62" spans="1:12" ht="16.5" x14ac:dyDescent="0.25">
      <c r="A62" s="220"/>
      <c r="B62" s="220"/>
      <c r="C62" s="150">
        <v>76169990</v>
      </c>
      <c r="D62" s="211"/>
      <c r="E62" s="157">
        <v>0.18</v>
      </c>
      <c r="F62" s="208"/>
      <c r="G62" s="170" t="s">
        <v>301</v>
      </c>
      <c r="H62" s="159" t="s">
        <v>302</v>
      </c>
      <c r="I62" s="179">
        <f>4+9</f>
        <v>13</v>
      </c>
      <c r="J62" s="218"/>
      <c r="K62" s="161">
        <f t="shared" si="0"/>
        <v>0</v>
      </c>
      <c r="L62" s="162">
        <f t="shared" si="3"/>
        <v>0</v>
      </c>
    </row>
    <row r="63" spans="1:12" ht="15" x14ac:dyDescent="0.2">
      <c r="A63" s="164" t="s">
        <v>299</v>
      </c>
      <c r="B63" s="156" t="s">
        <v>274</v>
      </c>
      <c r="C63" s="156"/>
      <c r="D63" s="210"/>
      <c r="E63" s="156"/>
      <c r="F63" s="210"/>
      <c r="G63" s="156"/>
      <c r="H63" s="156"/>
      <c r="I63" s="156"/>
      <c r="J63" s="210"/>
      <c r="K63" s="167"/>
      <c r="L63" s="168"/>
    </row>
    <row r="64" spans="1:12" ht="45" x14ac:dyDescent="0.25">
      <c r="A64" s="261"/>
      <c r="B64" s="261"/>
      <c r="C64" s="150">
        <v>85447090</v>
      </c>
      <c r="D64" s="211"/>
      <c r="E64" s="157">
        <v>0.18</v>
      </c>
      <c r="F64" s="208"/>
      <c r="G64" s="174" t="s">
        <v>249</v>
      </c>
      <c r="H64" s="171" t="s">
        <v>123</v>
      </c>
      <c r="I64" s="160">
        <f>1.11+2.68</f>
        <v>3.79</v>
      </c>
      <c r="J64" s="216"/>
      <c r="K64" s="161">
        <f t="shared" si="0"/>
        <v>0</v>
      </c>
      <c r="L64" s="162">
        <f t="shared" ref="L64:L71" si="4">IF(ISBLANK(F64),E64*K64,F64*K64)</f>
        <v>0</v>
      </c>
    </row>
    <row r="65" spans="1:12" ht="30" x14ac:dyDescent="0.25">
      <c r="A65" s="262"/>
      <c r="B65" s="262"/>
      <c r="C65" s="150">
        <v>82057000</v>
      </c>
      <c r="D65" s="211"/>
      <c r="E65" s="157">
        <v>0.18</v>
      </c>
      <c r="F65" s="208"/>
      <c r="G65" s="180" t="s">
        <v>256</v>
      </c>
      <c r="H65" s="171" t="s">
        <v>163</v>
      </c>
      <c r="I65" s="160">
        <f>0+2</f>
        <v>2</v>
      </c>
      <c r="J65" s="216"/>
      <c r="K65" s="161">
        <f t="shared" si="0"/>
        <v>0</v>
      </c>
      <c r="L65" s="162">
        <f t="shared" si="4"/>
        <v>0</v>
      </c>
    </row>
    <row r="66" spans="1:12" ht="33" x14ac:dyDescent="0.25">
      <c r="A66" s="262"/>
      <c r="B66" s="262"/>
      <c r="C66" s="150">
        <v>82057000</v>
      </c>
      <c r="D66" s="211"/>
      <c r="E66" s="157">
        <v>0.18</v>
      </c>
      <c r="F66" s="208"/>
      <c r="G66" s="170" t="s">
        <v>250</v>
      </c>
      <c r="H66" s="171" t="s">
        <v>174</v>
      </c>
      <c r="I66" s="160">
        <f>1+2</f>
        <v>3</v>
      </c>
      <c r="J66" s="216"/>
      <c r="K66" s="161">
        <f t="shared" si="0"/>
        <v>0</v>
      </c>
      <c r="L66" s="162">
        <f t="shared" si="4"/>
        <v>0</v>
      </c>
    </row>
    <row r="67" spans="1:12" ht="33" x14ac:dyDescent="0.25">
      <c r="A67" s="262"/>
      <c r="B67" s="262"/>
      <c r="C67" s="150">
        <v>82057000</v>
      </c>
      <c r="D67" s="211"/>
      <c r="E67" s="157">
        <v>0.18</v>
      </c>
      <c r="F67" s="208"/>
      <c r="G67" s="170" t="s">
        <v>251</v>
      </c>
      <c r="H67" s="171" t="s">
        <v>174</v>
      </c>
      <c r="I67" s="160">
        <f>3+6</f>
        <v>9</v>
      </c>
      <c r="J67" s="216"/>
      <c r="K67" s="161">
        <f t="shared" si="0"/>
        <v>0</v>
      </c>
      <c r="L67" s="162">
        <f t="shared" si="4"/>
        <v>0</v>
      </c>
    </row>
    <row r="68" spans="1:12" ht="33" x14ac:dyDescent="0.25">
      <c r="A68" s="262"/>
      <c r="B68" s="262"/>
      <c r="C68" s="150">
        <v>82057000</v>
      </c>
      <c r="D68" s="211"/>
      <c r="E68" s="157">
        <v>0.18</v>
      </c>
      <c r="F68" s="208"/>
      <c r="G68" s="170" t="s">
        <v>252</v>
      </c>
      <c r="H68" s="159" t="s">
        <v>174</v>
      </c>
      <c r="I68" s="160">
        <v>1</v>
      </c>
      <c r="J68" s="216"/>
      <c r="K68" s="161">
        <f t="shared" si="0"/>
        <v>0</v>
      </c>
      <c r="L68" s="162">
        <f t="shared" si="4"/>
        <v>0</v>
      </c>
    </row>
    <row r="69" spans="1:12" ht="16.5" x14ac:dyDescent="0.25">
      <c r="A69" s="262"/>
      <c r="B69" s="262"/>
      <c r="C69" s="150">
        <v>82057000</v>
      </c>
      <c r="D69" s="211"/>
      <c r="E69" s="157">
        <v>0.18</v>
      </c>
      <c r="F69" s="208"/>
      <c r="G69" s="170" t="s">
        <v>253</v>
      </c>
      <c r="H69" s="159" t="s">
        <v>163</v>
      </c>
      <c r="I69" s="160">
        <f>28+56</f>
        <v>84</v>
      </c>
      <c r="J69" s="216"/>
      <c r="K69" s="161">
        <f t="shared" si="0"/>
        <v>0</v>
      </c>
      <c r="L69" s="162">
        <f t="shared" si="4"/>
        <v>0</v>
      </c>
    </row>
    <row r="70" spans="1:12" ht="16.5" x14ac:dyDescent="0.25">
      <c r="A70" s="262"/>
      <c r="B70" s="262"/>
      <c r="C70" s="150">
        <v>82057000</v>
      </c>
      <c r="D70" s="211"/>
      <c r="E70" s="157">
        <v>0.18</v>
      </c>
      <c r="F70" s="208"/>
      <c r="G70" s="170" t="s">
        <v>254</v>
      </c>
      <c r="H70" s="159" t="s">
        <v>163</v>
      </c>
      <c r="I70" s="160">
        <f>80+80</f>
        <v>160</v>
      </c>
      <c r="J70" s="216"/>
      <c r="K70" s="161">
        <f t="shared" si="0"/>
        <v>0</v>
      </c>
      <c r="L70" s="162">
        <f t="shared" si="4"/>
        <v>0</v>
      </c>
    </row>
    <row r="71" spans="1:12" ht="16.5" x14ac:dyDescent="0.25">
      <c r="A71" s="266"/>
      <c r="B71" s="266"/>
      <c r="C71" s="150">
        <v>85353090</v>
      </c>
      <c r="D71" s="211"/>
      <c r="E71" s="157">
        <v>0.18</v>
      </c>
      <c r="F71" s="208"/>
      <c r="G71" s="170" t="s">
        <v>255</v>
      </c>
      <c r="H71" s="181" t="s">
        <v>163</v>
      </c>
      <c r="I71" s="181">
        <f>2+2</f>
        <v>4</v>
      </c>
      <c r="J71" s="216"/>
      <c r="K71" s="161">
        <f t="shared" si="0"/>
        <v>0</v>
      </c>
      <c r="L71" s="162">
        <f t="shared" si="4"/>
        <v>0</v>
      </c>
    </row>
    <row r="72" spans="1:12" ht="15.75" x14ac:dyDescent="0.2">
      <c r="A72" s="263" t="s">
        <v>227</v>
      </c>
      <c r="B72" s="264"/>
      <c r="C72" s="264"/>
      <c r="D72" s="264"/>
      <c r="E72" s="264"/>
      <c r="F72" s="264"/>
      <c r="G72" s="264"/>
      <c r="H72" s="264"/>
      <c r="I72" s="264"/>
      <c r="J72" s="265"/>
      <c r="K72" s="182">
        <f>SUM(K8:K71)</f>
        <v>0</v>
      </c>
      <c r="L72" s="182">
        <f>SUM(L8:L71)</f>
        <v>0</v>
      </c>
    </row>
  </sheetData>
  <sheetProtection algorithmName="SHA-512" hashValue="mRgP4gB2BweSirFBMxTP4Zj+VHYVlr+eupaIEKLg9QgLnC28vx2UbCuap7lwyMXYO9kiDsdnILYI+CzK1MGoiA==" saltValue="rSGYkN0t1BHCx4/AFTYAFw==" spinCount="100000" sheet="1" objects="1" scenarios="1"/>
  <mergeCells count="19">
    <mergeCell ref="A1:L1"/>
    <mergeCell ref="A2:L2"/>
    <mergeCell ref="A3:L3"/>
    <mergeCell ref="I4:L4"/>
    <mergeCell ref="A23:A28"/>
    <mergeCell ref="B23:B28"/>
    <mergeCell ref="B14:B15"/>
    <mergeCell ref="A14:A15"/>
    <mergeCell ref="A11:A12"/>
    <mergeCell ref="B11:B12"/>
    <mergeCell ref="A8:A9"/>
    <mergeCell ref="B8:B9"/>
    <mergeCell ref="A30:A36"/>
    <mergeCell ref="B30:B36"/>
    <mergeCell ref="A72:J72"/>
    <mergeCell ref="A64:A71"/>
    <mergeCell ref="B64:B71"/>
    <mergeCell ref="A38:A60"/>
    <mergeCell ref="B38:B6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19A3-0609-4416-B9CE-271B1F5C25C0}">
  <sheetPr codeName="Sheet5"/>
  <dimension ref="A1:L72"/>
  <sheetViews>
    <sheetView topLeftCell="A55" workbookViewId="0">
      <selection activeCell="P75" sqref="P75"/>
    </sheetView>
  </sheetViews>
  <sheetFormatPr defaultRowHeight="12.75" x14ac:dyDescent="0.2"/>
  <cols>
    <col min="3" max="3" width="41.28515625" customWidth="1"/>
    <col min="4" max="4" width="11" customWidth="1"/>
    <col min="5" max="5" width="11.42578125" customWidth="1"/>
    <col min="6" max="6" width="14" customWidth="1"/>
    <col min="7" max="7" width="15" customWidth="1"/>
  </cols>
  <sheetData>
    <row r="1" spans="1:12" ht="37.5" customHeight="1" x14ac:dyDescent="0.2">
      <c r="A1" s="273" t="s">
        <v>340</v>
      </c>
      <c r="B1" s="274"/>
      <c r="C1" s="274"/>
      <c r="D1" s="274"/>
      <c r="E1" s="274"/>
      <c r="F1" s="274"/>
      <c r="G1" s="274"/>
    </row>
    <row r="2" spans="1:12" ht="15" x14ac:dyDescent="0.25">
      <c r="A2" s="271" t="s">
        <v>278</v>
      </c>
      <c r="B2" s="271"/>
      <c r="C2" s="271"/>
      <c r="D2" s="271"/>
      <c r="E2" s="271"/>
      <c r="F2" s="271"/>
      <c r="G2" s="271"/>
      <c r="H2" s="148"/>
      <c r="I2" s="148"/>
      <c r="J2" s="148"/>
      <c r="K2" s="148"/>
      <c r="L2" s="148"/>
    </row>
    <row r="3" spans="1:12" ht="15" x14ac:dyDescent="0.25">
      <c r="A3" s="271" t="s">
        <v>279</v>
      </c>
      <c r="B3" s="271"/>
      <c r="C3" s="271"/>
      <c r="D3" s="271"/>
      <c r="E3" s="271"/>
      <c r="F3" s="271"/>
      <c r="G3" s="271"/>
      <c r="H3" s="148"/>
      <c r="I3" s="148"/>
      <c r="J3" s="148"/>
      <c r="K3" s="148"/>
      <c r="L3" s="148"/>
    </row>
    <row r="4" spans="1:12" ht="15" x14ac:dyDescent="0.25">
      <c r="A4" s="149"/>
      <c r="B4" s="149"/>
      <c r="C4" s="151"/>
      <c r="D4" s="149"/>
      <c r="E4" s="272" t="s">
        <v>194</v>
      </c>
      <c r="F4" s="272"/>
      <c r="G4" s="272"/>
      <c r="H4" s="148"/>
      <c r="I4" s="148"/>
      <c r="J4" s="148"/>
      <c r="K4" s="148"/>
      <c r="L4" s="148"/>
    </row>
    <row r="5" spans="1:12" ht="120" x14ac:dyDescent="0.25">
      <c r="A5" s="152" t="s">
        <v>195</v>
      </c>
      <c r="B5" s="153" t="s">
        <v>196</v>
      </c>
      <c r="C5" s="153" t="s">
        <v>18</v>
      </c>
      <c r="D5" s="153" t="s">
        <v>19</v>
      </c>
      <c r="E5" s="153" t="s">
        <v>151</v>
      </c>
      <c r="F5" s="153" t="s">
        <v>287</v>
      </c>
      <c r="G5" s="153" t="s">
        <v>288</v>
      </c>
      <c r="H5" s="148"/>
      <c r="I5" s="148"/>
      <c r="J5" s="148"/>
      <c r="K5" s="148"/>
      <c r="L5" s="148"/>
    </row>
    <row r="6" spans="1:12" ht="15" x14ac:dyDescent="0.25">
      <c r="A6" s="152" t="s">
        <v>204</v>
      </c>
      <c r="B6" s="152" t="s">
        <v>205</v>
      </c>
      <c r="C6" s="153" t="s">
        <v>206</v>
      </c>
      <c r="D6" s="153" t="s">
        <v>207</v>
      </c>
      <c r="E6" s="153" t="s">
        <v>208</v>
      </c>
      <c r="F6" s="153" t="s">
        <v>209</v>
      </c>
      <c r="G6" s="153" t="s">
        <v>210</v>
      </c>
      <c r="H6" s="148"/>
      <c r="I6" s="148"/>
      <c r="J6" s="148"/>
      <c r="K6" s="148"/>
      <c r="L6" s="148"/>
    </row>
    <row r="7" spans="1:12" ht="15.75" x14ac:dyDescent="0.25">
      <c r="A7" s="155" t="s">
        <v>216</v>
      </c>
      <c r="B7" s="156" t="s">
        <v>280</v>
      </c>
      <c r="C7" s="156"/>
      <c r="D7" s="156"/>
      <c r="E7" s="156"/>
      <c r="F7" s="156"/>
      <c r="G7" s="156"/>
      <c r="H7" s="148"/>
      <c r="I7" s="148"/>
      <c r="J7" s="148"/>
      <c r="K7" s="148"/>
      <c r="L7" s="148"/>
    </row>
    <row r="8" spans="1:12" ht="105" x14ac:dyDescent="0.25">
      <c r="A8" s="267"/>
      <c r="B8" s="267"/>
      <c r="C8" s="158" t="s">
        <v>257</v>
      </c>
      <c r="D8" s="159" t="s">
        <v>125</v>
      </c>
      <c r="E8" s="169">
        <f>'Sch-I Supply Works'!I8</f>
        <v>125.18</v>
      </c>
      <c r="F8" s="211"/>
      <c r="G8" s="161">
        <f>E8*F8</f>
        <v>0</v>
      </c>
      <c r="H8" s="148"/>
      <c r="I8" s="148"/>
      <c r="J8" s="148"/>
      <c r="K8" s="148"/>
      <c r="L8" s="148"/>
    </row>
    <row r="9" spans="1:12" ht="15" x14ac:dyDescent="0.25">
      <c r="A9" s="269"/>
      <c r="B9" s="269"/>
      <c r="C9" s="163" t="s">
        <v>258</v>
      </c>
      <c r="D9" s="159" t="s">
        <v>125</v>
      </c>
      <c r="E9" s="169">
        <f>'Sch-I Supply Works'!I9</f>
        <v>94.62</v>
      </c>
      <c r="F9" s="211"/>
      <c r="G9" s="161">
        <f t="shared" ref="G9:G71" si="0">E9*F9</f>
        <v>0</v>
      </c>
      <c r="H9" s="148"/>
      <c r="I9" s="148"/>
      <c r="J9" s="148"/>
      <c r="K9" s="148"/>
      <c r="L9" s="148"/>
    </row>
    <row r="10" spans="1:12" ht="15" x14ac:dyDescent="0.25">
      <c r="A10" s="164" t="s">
        <v>217</v>
      </c>
      <c r="B10" s="165" t="s">
        <v>281</v>
      </c>
      <c r="C10" s="166"/>
      <c r="D10" s="166"/>
      <c r="E10" s="183"/>
      <c r="F10" s="211"/>
      <c r="G10" s="167"/>
      <c r="H10" s="148"/>
      <c r="I10" s="148"/>
      <c r="J10" s="148"/>
      <c r="K10" s="148"/>
      <c r="L10" s="148"/>
    </row>
    <row r="11" spans="1:12" ht="90" x14ac:dyDescent="0.25">
      <c r="A11" s="267"/>
      <c r="B11" s="267"/>
      <c r="C11" s="158" t="s">
        <v>262</v>
      </c>
      <c r="D11" s="159" t="s">
        <v>125</v>
      </c>
      <c r="E11" s="169">
        <f>'Sch-I Supply Works'!I11</f>
        <v>7.0299999999999994</v>
      </c>
      <c r="F11" s="211"/>
      <c r="G11" s="161">
        <f t="shared" si="0"/>
        <v>0</v>
      </c>
      <c r="H11" s="148"/>
      <c r="I11" s="148"/>
      <c r="J11" s="148"/>
      <c r="K11" s="148"/>
      <c r="L11" s="148"/>
    </row>
    <row r="12" spans="1:12" ht="15" x14ac:dyDescent="0.25">
      <c r="A12" s="269"/>
      <c r="B12" s="269"/>
      <c r="C12" s="163" t="s">
        <v>258</v>
      </c>
      <c r="D12" s="159" t="s">
        <v>125</v>
      </c>
      <c r="E12" s="169">
        <f>'Sch-I Supply Works'!I12</f>
        <v>1.1299999999999999</v>
      </c>
      <c r="F12" s="211"/>
      <c r="G12" s="161">
        <f t="shared" si="0"/>
        <v>0</v>
      </c>
      <c r="H12" s="148"/>
      <c r="I12" s="148"/>
      <c r="J12" s="148"/>
      <c r="K12" s="148"/>
      <c r="L12" s="148"/>
    </row>
    <row r="13" spans="1:12" ht="15" x14ac:dyDescent="0.25">
      <c r="A13" s="164" t="s">
        <v>219</v>
      </c>
      <c r="B13" s="165" t="s">
        <v>282</v>
      </c>
      <c r="C13" s="166"/>
      <c r="D13" s="166"/>
      <c r="E13" s="183"/>
      <c r="F13" s="211"/>
      <c r="G13" s="167"/>
      <c r="H13" s="148"/>
      <c r="I13" s="148"/>
      <c r="J13" s="148"/>
      <c r="K13" s="148"/>
      <c r="L13" s="148"/>
    </row>
    <row r="14" spans="1:12" ht="33" x14ac:dyDescent="0.25">
      <c r="A14" s="267"/>
      <c r="B14" s="267"/>
      <c r="C14" s="170" t="s">
        <v>264</v>
      </c>
      <c r="D14" s="159" t="s">
        <v>125</v>
      </c>
      <c r="E14" s="169">
        <f>'Sch-I Supply Works'!I14</f>
        <v>9.59</v>
      </c>
      <c r="F14" s="211"/>
      <c r="G14" s="161">
        <f t="shared" si="0"/>
        <v>0</v>
      </c>
      <c r="H14" s="148"/>
      <c r="I14" s="148"/>
      <c r="J14" s="148"/>
      <c r="K14" s="148"/>
      <c r="L14" s="148"/>
    </row>
    <row r="15" spans="1:12" ht="16.5" x14ac:dyDescent="0.25">
      <c r="A15" s="269"/>
      <c r="B15" s="269"/>
      <c r="C15" s="170" t="s">
        <v>265</v>
      </c>
      <c r="D15" s="159" t="s">
        <v>125</v>
      </c>
      <c r="E15" s="169">
        <f>'Sch-I Supply Works'!I15</f>
        <v>0.18</v>
      </c>
      <c r="F15" s="211"/>
      <c r="G15" s="161">
        <f t="shared" si="0"/>
        <v>0</v>
      </c>
      <c r="H15" s="148"/>
      <c r="I15" s="148"/>
      <c r="J15" s="148"/>
      <c r="K15" s="148"/>
      <c r="L15" s="148"/>
    </row>
    <row r="16" spans="1:12" ht="15" x14ac:dyDescent="0.25">
      <c r="A16" s="164"/>
      <c r="B16" s="156" t="s">
        <v>313</v>
      </c>
      <c r="C16" s="156"/>
      <c r="D16" s="156"/>
      <c r="E16" s="184"/>
      <c r="F16" s="211"/>
      <c r="G16" s="167"/>
      <c r="H16" s="148"/>
      <c r="I16" s="148"/>
      <c r="J16" s="148"/>
      <c r="K16" s="148"/>
      <c r="L16" s="148"/>
    </row>
    <row r="17" spans="1:12" ht="99" x14ac:dyDescent="0.25">
      <c r="A17" s="220"/>
      <c r="B17" s="220"/>
      <c r="C17" s="170" t="s">
        <v>314</v>
      </c>
      <c r="D17" s="159" t="s">
        <v>125</v>
      </c>
      <c r="E17" s="169">
        <f>'Sch-I Supply Works'!I17</f>
        <v>200.68</v>
      </c>
      <c r="F17" s="211"/>
      <c r="G17" s="161">
        <f t="shared" si="0"/>
        <v>0</v>
      </c>
      <c r="H17" s="148"/>
      <c r="I17" s="148"/>
      <c r="J17" s="148"/>
      <c r="K17" s="148"/>
      <c r="L17" s="148"/>
    </row>
    <row r="18" spans="1:12" ht="49.5" x14ac:dyDescent="0.25">
      <c r="A18" s="220"/>
      <c r="B18" s="220"/>
      <c r="C18" s="170" t="s">
        <v>315</v>
      </c>
      <c r="D18" s="159" t="s">
        <v>125</v>
      </c>
      <c r="E18" s="169">
        <f>'Sch-I Supply Works'!I18</f>
        <v>1.77</v>
      </c>
      <c r="F18" s="211"/>
      <c r="G18" s="161">
        <f t="shared" si="0"/>
        <v>0</v>
      </c>
      <c r="H18" s="148"/>
      <c r="I18" s="148"/>
      <c r="J18" s="148"/>
      <c r="K18" s="148"/>
      <c r="L18" s="148"/>
    </row>
    <row r="19" spans="1:12" ht="49.5" x14ac:dyDescent="0.25">
      <c r="A19" s="220"/>
      <c r="B19" s="220"/>
      <c r="C19" s="170" t="s">
        <v>316</v>
      </c>
      <c r="D19" s="159" t="s">
        <v>125</v>
      </c>
      <c r="E19" s="169">
        <f>'Sch-I Supply Works'!I19</f>
        <v>0.23</v>
      </c>
      <c r="F19" s="211"/>
      <c r="G19" s="161">
        <f t="shared" si="0"/>
        <v>0</v>
      </c>
      <c r="H19" s="148"/>
      <c r="I19" s="148"/>
      <c r="J19" s="148"/>
      <c r="K19" s="148"/>
      <c r="L19" s="148"/>
    </row>
    <row r="20" spans="1:12" ht="33" x14ac:dyDescent="0.25">
      <c r="A20" s="220"/>
      <c r="B20" s="220"/>
      <c r="C20" s="170" t="s">
        <v>317</v>
      </c>
      <c r="D20" s="159" t="s">
        <v>125</v>
      </c>
      <c r="E20" s="169">
        <f>'Sch-I Supply Works'!I20</f>
        <v>0.57999999999999996</v>
      </c>
      <c r="F20" s="211"/>
      <c r="G20" s="161">
        <f t="shared" si="0"/>
        <v>0</v>
      </c>
      <c r="H20" s="148"/>
      <c r="I20" s="148"/>
      <c r="J20" s="148"/>
      <c r="K20" s="148"/>
      <c r="L20" s="148"/>
    </row>
    <row r="21" spans="1:12" ht="33" x14ac:dyDescent="0.25">
      <c r="A21" s="220"/>
      <c r="B21" s="220"/>
      <c r="C21" s="170" t="s">
        <v>318</v>
      </c>
      <c r="D21" s="159" t="s">
        <v>125</v>
      </c>
      <c r="E21" s="169">
        <f>'Sch-I Supply Works'!I21</f>
        <v>9.1199999999999992</v>
      </c>
      <c r="F21" s="211"/>
      <c r="G21" s="161">
        <f t="shared" si="0"/>
        <v>0</v>
      </c>
      <c r="H21" s="148"/>
      <c r="I21" s="148"/>
      <c r="J21" s="148"/>
      <c r="K21" s="148"/>
      <c r="L21" s="148"/>
    </row>
    <row r="22" spans="1:12" ht="15" x14ac:dyDescent="0.25">
      <c r="A22" s="164" t="s">
        <v>223</v>
      </c>
      <c r="B22" s="156" t="s">
        <v>283</v>
      </c>
      <c r="C22" s="156"/>
      <c r="D22" s="156"/>
      <c r="E22" s="184"/>
      <c r="F22" s="211"/>
      <c r="G22" s="167"/>
      <c r="H22" s="148"/>
      <c r="I22" s="148"/>
      <c r="J22" s="148"/>
      <c r="K22" s="148"/>
      <c r="L22" s="148"/>
    </row>
    <row r="23" spans="1:12" ht="30" x14ac:dyDescent="0.25">
      <c r="A23" s="261"/>
      <c r="B23" s="261"/>
      <c r="C23" s="163" t="s">
        <v>267</v>
      </c>
      <c r="D23" s="171" t="s">
        <v>163</v>
      </c>
      <c r="E23" s="169">
        <f>'Sch-I Supply Works'!I23</f>
        <v>11</v>
      </c>
      <c r="F23" s="211"/>
      <c r="G23" s="161">
        <f t="shared" si="0"/>
        <v>0</v>
      </c>
      <c r="H23" s="148"/>
      <c r="I23" s="148"/>
      <c r="J23" s="148"/>
      <c r="K23" s="148"/>
      <c r="L23" s="148"/>
    </row>
    <row r="24" spans="1:12" ht="16.5" x14ac:dyDescent="0.25">
      <c r="A24" s="262"/>
      <c r="B24" s="262"/>
      <c r="C24" s="172" t="s">
        <v>268</v>
      </c>
      <c r="D24" s="171" t="s">
        <v>163</v>
      </c>
      <c r="E24" s="169">
        <f>'Sch-I Supply Works'!I24</f>
        <v>9</v>
      </c>
      <c r="F24" s="211"/>
      <c r="G24" s="161">
        <f t="shared" si="0"/>
        <v>0</v>
      </c>
      <c r="H24" s="148"/>
      <c r="I24" s="148"/>
      <c r="J24" s="148"/>
      <c r="K24" s="148"/>
      <c r="L24" s="148"/>
    </row>
    <row r="25" spans="1:12" ht="33" x14ac:dyDescent="0.25">
      <c r="A25" s="262"/>
      <c r="B25" s="262"/>
      <c r="C25" s="170" t="s">
        <v>269</v>
      </c>
      <c r="D25" s="171" t="s">
        <v>163</v>
      </c>
      <c r="E25" s="169">
        <f>'Sch-I Supply Works'!I25</f>
        <v>2</v>
      </c>
      <c r="F25" s="211"/>
      <c r="G25" s="161">
        <f t="shared" si="0"/>
        <v>0</v>
      </c>
      <c r="H25" s="148"/>
      <c r="I25" s="148"/>
      <c r="J25" s="148"/>
      <c r="K25" s="148"/>
      <c r="L25" s="148"/>
    </row>
    <row r="26" spans="1:12" ht="33" x14ac:dyDescent="0.25">
      <c r="A26" s="262"/>
      <c r="B26" s="262"/>
      <c r="C26" s="170" t="s">
        <v>270</v>
      </c>
      <c r="D26" s="171" t="s">
        <v>163</v>
      </c>
      <c r="E26" s="169">
        <f>'Sch-I Supply Works'!I26</f>
        <v>0</v>
      </c>
      <c r="F26" s="211"/>
      <c r="G26" s="161">
        <f t="shared" si="0"/>
        <v>0</v>
      </c>
      <c r="H26" s="148"/>
      <c r="I26" s="148"/>
      <c r="J26" s="148"/>
      <c r="K26" s="148"/>
      <c r="L26" s="148"/>
    </row>
    <row r="27" spans="1:12" ht="75" x14ac:dyDescent="0.25">
      <c r="A27" s="262"/>
      <c r="B27" s="262"/>
      <c r="C27" s="163" t="s">
        <v>271</v>
      </c>
      <c r="D27" s="173" t="s">
        <v>163</v>
      </c>
      <c r="E27" s="169">
        <f>'Sch-I Supply Works'!I27</f>
        <v>2</v>
      </c>
      <c r="F27" s="211"/>
      <c r="G27" s="161">
        <f t="shared" si="0"/>
        <v>0</v>
      </c>
      <c r="H27" s="148"/>
      <c r="I27" s="148"/>
      <c r="J27" s="148"/>
      <c r="K27" s="148"/>
      <c r="L27" s="148"/>
    </row>
    <row r="28" spans="1:12" ht="15" x14ac:dyDescent="0.25">
      <c r="A28" s="262"/>
      <c r="B28" s="262"/>
      <c r="C28" s="163" t="s">
        <v>272</v>
      </c>
      <c r="D28" s="173" t="s">
        <v>163</v>
      </c>
      <c r="E28" s="169">
        <f>'Sch-I Supply Works'!I28</f>
        <v>0</v>
      </c>
      <c r="F28" s="211"/>
      <c r="G28" s="161">
        <f t="shared" si="0"/>
        <v>0</v>
      </c>
      <c r="H28" s="148"/>
      <c r="I28" s="148"/>
      <c r="J28" s="148"/>
      <c r="K28" s="148"/>
      <c r="L28" s="148"/>
    </row>
    <row r="29" spans="1:12" ht="15" x14ac:dyDescent="0.25">
      <c r="A29" s="164" t="s">
        <v>226</v>
      </c>
      <c r="B29" s="156" t="s">
        <v>284</v>
      </c>
      <c r="C29" s="156"/>
      <c r="D29" s="156"/>
      <c r="E29" s="184"/>
      <c r="F29" s="211"/>
      <c r="G29" s="167"/>
      <c r="H29" s="148"/>
      <c r="I29" s="148"/>
      <c r="J29" s="148"/>
      <c r="K29" s="148"/>
      <c r="L29" s="148"/>
    </row>
    <row r="30" spans="1:12" ht="30" x14ac:dyDescent="0.25">
      <c r="A30" s="261"/>
      <c r="B30" s="261"/>
      <c r="C30" s="163" t="s">
        <v>220</v>
      </c>
      <c r="D30" s="171" t="s">
        <v>163</v>
      </c>
      <c r="E30" s="169">
        <f>'Sch-I Supply Works'!I30</f>
        <v>11</v>
      </c>
      <c r="F30" s="211"/>
      <c r="G30" s="161">
        <f t="shared" si="0"/>
        <v>0</v>
      </c>
      <c r="H30" s="148"/>
      <c r="I30" s="148"/>
      <c r="J30" s="148"/>
      <c r="K30" s="148"/>
      <c r="L30" s="148"/>
    </row>
    <row r="31" spans="1:12" ht="30" x14ac:dyDescent="0.25">
      <c r="A31" s="262"/>
      <c r="B31" s="262"/>
      <c r="C31" s="163" t="s">
        <v>221</v>
      </c>
      <c r="D31" s="171" t="s">
        <v>163</v>
      </c>
      <c r="E31" s="169">
        <f>'Sch-I Supply Works'!I31</f>
        <v>11</v>
      </c>
      <c r="F31" s="211"/>
      <c r="G31" s="161">
        <f t="shared" si="0"/>
        <v>0</v>
      </c>
      <c r="H31" s="148"/>
      <c r="I31" s="148"/>
      <c r="J31" s="148"/>
      <c r="K31" s="148"/>
      <c r="L31" s="148"/>
    </row>
    <row r="32" spans="1:12" ht="15" x14ac:dyDescent="0.25">
      <c r="A32" s="262"/>
      <c r="B32" s="262"/>
      <c r="C32" s="163" t="s">
        <v>222</v>
      </c>
      <c r="D32" s="171" t="s">
        <v>174</v>
      </c>
      <c r="E32" s="169">
        <f>'Sch-I Supply Works'!I32</f>
        <v>22</v>
      </c>
      <c r="F32" s="211"/>
      <c r="G32" s="161">
        <f t="shared" si="0"/>
        <v>0</v>
      </c>
      <c r="H32" s="148"/>
      <c r="I32" s="148"/>
      <c r="J32" s="148"/>
      <c r="K32" s="148"/>
      <c r="L32" s="148"/>
    </row>
    <row r="33" spans="1:7" ht="15" x14ac:dyDescent="0.2">
      <c r="A33" s="262"/>
      <c r="B33" s="262"/>
      <c r="C33" s="174" t="s">
        <v>273</v>
      </c>
      <c r="D33" s="171" t="s">
        <v>174</v>
      </c>
      <c r="E33" s="169">
        <f>'Sch-I Supply Works'!I33</f>
        <v>11</v>
      </c>
      <c r="F33" s="211"/>
      <c r="G33" s="161">
        <f t="shared" si="0"/>
        <v>0</v>
      </c>
    </row>
    <row r="34" spans="1:7" ht="15" x14ac:dyDescent="0.2">
      <c r="A34" s="262"/>
      <c r="B34" s="262"/>
      <c r="C34" s="163" t="s">
        <v>275</v>
      </c>
      <c r="D34" s="171" t="s">
        <v>174</v>
      </c>
      <c r="E34" s="169">
        <f>'Sch-I Supply Works'!I34</f>
        <v>11</v>
      </c>
      <c r="F34" s="211"/>
      <c r="G34" s="161">
        <f t="shared" si="0"/>
        <v>0</v>
      </c>
    </row>
    <row r="35" spans="1:7" ht="15" x14ac:dyDescent="0.2">
      <c r="A35" s="262"/>
      <c r="B35" s="262"/>
      <c r="C35" s="174" t="s">
        <v>236</v>
      </c>
      <c r="D35" s="171" t="s">
        <v>174</v>
      </c>
      <c r="E35" s="169">
        <f>'Sch-I Supply Works'!I35</f>
        <v>4</v>
      </c>
      <c r="F35" s="211"/>
      <c r="G35" s="161">
        <f t="shared" si="0"/>
        <v>0</v>
      </c>
    </row>
    <row r="36" spans="1:7" ht="15" x14ac:dyDescent="0.2">
      <c r="A36" s="262"/>
      <c r="B36" s="262"/>
      <c r="C36" s="175" t="s">
        <v>237</v>
      </c>
      <c r="D36" s="176" t="s">
        <v>163</v>
      </c>
      <c r="E36" s="169">
        <f>'Sch-I Supply Works'!I36</f>
        <v>0</v>
      </c>
      <c r="F36" s="211"/>
      <c r="G36" s="161">
        <f t="shared" si="0"/>
        <v>0</v>
      </c>
    </row>
    <row r="37" spans="1:7" ht="15" x14ac:dyDescent="0.2">
      <c r="A37" s="164" t="s">
        <v>276</v>
      </c>
      <c r="B37" s="156" t="s">
        <v>285</v>
      </c>
      <c r="C37" s="156"/>
      <c r="D37" s="156"/>
      <c r="E37" s="184"/>
      <c r="F37" s="211"/>
      <c r="G37" s="167"/>
    </row>
    <row r="38" spans="1:7" ht="15" x14ac:dyDescent="0.2">
      <c r="A38" s="267"/>
      <c r="B38" s="267"/>
      <c r="C38" s="178" t="s">
        <v>238</v>
      </c>
      <c r="D38" s="161" t="s">
        <v>123</v>
      </c>
      <c r="E38" s="169">
        <f>'Sch-I Supply Works'!I38</f>
        <v>3.64</v>
      </c>
      <c r="F38" s="211"/>
      <c r="G38" s="161">
        <f t="shared" si="0"/>
        <v>0</v>
      </c>
    </row>
    <row r="39" spans="1:7" ht="15" x14ac:dyDescent="0.2">
      <c r="A39" s="268"/>
      <c r="B39" s="268"/>
      <c r="C39" s="178" t="s">
        <v>239</v>
      </c>
      <c r="D39" s="161" t="s">
        <v>123</v>
      </c>
      <c r="E39" s="169">
        <f>'Sch-I Supply Works'!I39</f>
        <v>0</v>
      </c>
      <c r="F39" s="211"/>
      <c r="G39" s="161">
        <f t="shared" si="0"/>
        <v>0</v>
      </c>
    </row>
    <row r="40" spans="1:7" ht="45" x14ac:dyDescent="0.2">
      <c r="A40" s="268"/>
      <c r="B40" s="268"/>
      <c r="C40" s="174" t="s">
        <v>247</v>
      </c>
      <c r="D40" s="171" t="s">
        <v>163</v>
      </c>
      <c r="E40" s="169">
        <f>'Sch-I Supply Works'!I40</f>
        <v>336</v>
      </c>
      <c r="F40" s="211"/>
      <c r="G40" s="161">
        <f t="shared" si="0"/>
        <v>0</v>
      </c>
    </row>
    <row r="41" spans="1:7" ht="30" x14ac:dyDescent="0.2">
      <c r="A41" s="268"/>
      <c r="B41" s="268"/>
      <c r="C41" s="163" t="s">
        <v>240</v>
      </c>
      <c r="D41" s="171" t="s">
        <v>163</v>
      </c>
      <c r="E41" s="169">
        <f>'Sch-I Supply Works'!I41</f>
        <v>54</v>
      </c>
      <c r="F41" s="211"/>
      <c r="G41" s="161">
        <f t="shared" si="0"/>
        <v>0</v>
      </c>
    </row>
    <row r="42" spans="1:7" ht="45" x14ac:dyDescent="0.2">
      <c r="A42" s="268"/>
      <c r="B42" s="268"/>
      <c r="C42" s="174" t="s">
        <v>248</v>
      </c>
      <c r="D42" s="171" t="s">
        <v>174</v>
      </c>
      <c r="E42" s="169">
        <f>'Sch-I Supply Works'!I42</f>
        <v>6</v>
      </c>
      <c r="F42" s="211"/>
      <c r="G42" s="161">
        <f t="shared" si="0"/>
        <v>0</v>
      </c>
    </row>
    <row r="43" spans="1:7" ht="15" x14ac:dyDescent="0.2">
      <c r="A43" s="268"/>
      <c r="B43" s="268"/>
      <c r="C43" s="163" t="s">
        <v>241</v>
      </c>
      <c r="D43" s="171" t="s">
        <v>174</v>
      </c>
      <c r="E43" s="169">
        <f>'Sch-I Supply Works'!I43</f>
        <v>9</v>
      </c>
      <c r="F43" s="211"/>
      <c r="G43" s="161">
        <f t="shared" si="0"/>
        <v>0</v>
      </c>
    </row>
    <row r="44" spans="1:7" ht="15" x14ac:dyDescent="0.2">
      <c r="A44" s="268"/>
      <c r="B44" s="268"/>
      <c r="C44" s="163" t="s">
        <v>242</v>
      </c>
      <c r="D44" s="171" t="s">
        <v>174</v>
      </c>
      <c r="E44" s="169">
        <f>'Sch-I Supply Works'!I44</f>
        <v>42</v>
      </c>
      <c r="F44" s="211"/>
      <c r="G44" s="161">
        <f t="shared" si="0"/>
        <v>0</v>
      </c>
    </row>
    <row r="45" spans="1:7" ht="30" x14ac:dyDescent="0.2">
      <c r="A45" s="268"/>
      <c r="B45" s="268"/>
      <c r="C45" s="180" t="s">
        <v>320</v>
      </c>
      <c r="D45" s="171"/>
      <c r="E45" s="169"/>
      <c r="F45" s="211"/>
      <c r="G45" s="161"/>
    </row>
    <row r="46" spans="1:7" ht="15" x14ac:dyDescent="0.2">
      <c r="A46" s="268"/>
      <c r="B46" s="268"/>
      <c r="C46" s="223" t="s">
        <v>321</v>
      </c>
      <c r="D46" s="171" t="s">
        <v>174</v>
      </c>
      <c r="E46" s="169">
        <f>'Sch-I Supply Works'!I46</f>
        <v>21</v>
      </c>
      <c r="F46" s="211"/>
      <c r="G46" s="161">
        <f t="shared" si="0"/>
        <v>0</v>
      </c>
    </row>
    <row r="47" spans="1:7" ht="15" x14ac:dyDescent="0.2">
      <c r="A47" s="268"/>
      <c r="B47" s="268"/>
      <c r="C47" s="223" t="s">
        <v>322</v>
      </c>
      <c r="D47" s="171" t="s">
        <v>174</v>
      </c>
      <c r="E47" s="169">
        <f>'Sch-I Supply Works'!I47</f>
        <v>84</v>
      </c>
      <c r="F47" s="211"/>
      <c r="G47" s="161">
        <f t="shared" si="0"/>
        <v>0</v>
      </c>
    </row>
    <row r="48" spans="1:7" ht="15" x14ac:dyDescent="0.2">
      <c r="A48" s="268"/>
      <c r="B48" s="268"/>
      <c r="C48" s="223" t="s">
        <v>323</v>
      </c>
      <c r="D48" s="171" t="s">
        <v>174</v>
      </c>
      <c r="E48" s="169">
        <f>'Sch-I Supply Works'!I48</f>
        <v>12</v>
      </c>
      <c r="F48" s="211"/>
      <c r="G48" s="161">
        <f t="shared" si="0"/>
        <v>0</v>
      </c>
    </row>
    <row r="49" spans="1:7" ht="45" x14ac:dyDescent="0.2">
      <c r="A49" s="268"/>
      <c r="B49" s="268"/>
      <c r="C49" s="222" t="s">
        <v>338</v>
      </c>
      <c r="D49" s="159" t="s">
        <v>163</v>
      </c>
      <c r="E49" s="169">
        <f>'Sch-I Supply Works'!I49</f>
        <v>24</v>
      </c>
      <c r="F49" s="211"/>
      <c r="G49" s="161">
        <f t="shared" si="0"/>
        <v>0</v>
      </c>
    </row>
    <row r="50" spans="1:7" ht="15" x14ac:dyDescent="0.2">
      <c r="A50" s="268"/>
      <c r="B50" s="268"/>
      <c r="C50" s="163" t="s">
        <v>224</v>
      </c>
      <c r="D50" s="159" t="s">
        <v>163</v>
      </c>
      <c r="E50" s="169">
        <f>'Sch-I Supply Works'!I50</f>
        <v>8</v>
      </c>
      <c r="F50" s="211"/>
      <c r="G50" s="161">
        <f t="shared" si="0"/>
        <v>0</v>
      </c>
    </row>
    <row r="51" spans="1:7" ht="15" x14ac:dyDescent="0.2">
      <c r="A51" s="268"/>
      <c r="B51" s="268"/>
      <c r="C51" s="163" t="s">
        <v>225</v>
      </c>
      <c r="D51" s="159" t="s">
        <v>163</v>
      </c>
      <c r="E51" s="169">
        <f>'Sch-I Supply Works'!I51</f>
        <v>384</v>
      </c>
      <c r="F51" s="211"/>
      <c r="G51" s="161">
        <f t="shared" si="0"/>
        <v>0</v>
      </c>
    </row>
    <row r="52" spans="1:7" ht="15" x14ac:dyDescent="0.2">
      <c r="A52" s="268"/>
      <c r="B52" s="268"/>
      <c r="C52" s="174" t="s">
        <v>297</v>
      </c>
      <c r="D52" s="159" t="s">
        <v>163</v>
      </c>
      <c r="E52" s="169">
        <f>'Sch-I Supply Works'!I52</f>
        <v>144</v>
      </c>
      <c r="F52" s="211"/>
      <c r="G52" s="161">
        <f t="shared" si="0"/>
        <v>0</v>
      </c>
    </row>
    <row r="53" spans="1:7" ht="15" x14ac:dyDescent="0.2">
      <c r="A53" s="268"/>
      <c r="B53" s="268"/>
      <c r="C53" s="174" t="s">
        <v>298</v>
      </c>
      <c r="D53" s="159" t="s">
        <v>163</v>
      </c>
      <c r="E53" s="169">
        <f>'Sch-I Supply Works'!I53</f>
        <v>72</v>
      </c>
      <c r="F53" s="211"/>
      <c r="G53" s="161">
        <f t="shared" si="0"/>
        <v>0</v>
      </c>
    </row>
    <row r="54" spans="1:7" ht="15" x14ac:dyDescent="0.2">
      <c r="A54" s="268"/>
      <c r="B54" s="268"/>
      <c r="C54" s="174" t="s">
        <v>324</v>
      </c>
      <c r="D54" s="159" t="s">
        <v>163</v>
      </c>
      <c r="E54" s="169">
        <f>'Sch-I Supply Works'!I54</f>
        <v>270</v>
      </c>
      <c r="F54" s="211"/>
      <c r="G54" s="161">
        <f t="shared" si="0"/>
        <v>0</v>
      </c>
    </row>
    <row r="55" spans="1:7" ht="15" x14ac:dyDescent="0.2">
      <c r="A55" s="268"/>
      <c r="B55" s="268"/>
      <c r="C55" s="174" t="s">
        <v>325</v>
      </c>
      <c r="D55" s="159" t="s">
        <v>163</v>
      </c>
      <c r="E55" s="169">
        <f>'Sch-I Supply Works'!I55</f>
        <v>144</v>
      </c>
      <c r="F55" s="211"/>
      <c r="G55" s="161">
        <f t="shared" si="0"/>
        <v>0</v>
      </c>
    </row>
    <row r="56" spans="1:7" ht="30" x14ac:dyDescent="0.2">
      <c r="A56" s="268"/>
      <c r="B56" s="268"/>
      <c r="C56" s="222" t="s">
        <v>339</v>
      </c>
      <c r="D56" s="159" t="s">
        <v>163</v>
      </c>
      <c r="E56" s="169">
        <f>'Sch-I Supply Works'!I56</f>
        <v>3</v>
      </c>
      <c r="F56" s="211"/>
      <c r="G56" s="161">
        <f t="shared" si="0"/>
        <v>0</v>
      </c>
    </row>
    <row r="57" spans="1:7" ht="16.5" x14ac:dyDescent="0.2">
      <c r="A57" s="268"/>
      <c r="B57" s="268"/>
      <c r="C57" s="170" t="s">
        <v>243</v>
      </c>
      <c r="D57" s="159" t="s">
        <v>163</v>
      </c>
      <c r="E57" s="169">
        <f>'Sch-I Supply Works'!I57</f>
        <v>24</v>
      </c>
      <c r="F57" s="211"/>
      <c r="G57" s="161">
        <f t="shared" si="0"/>
        <v>0</v>
      </c>
    </row>
    <row r="58" spans="1:7" ht="16.5" x14ac:dyDescent="0.2">
      <c r="A58" s="268"/>
      <c r="B58" s="268"/>
      <c r="C58" s="170" t="s">
        <v>246</v>
      </c>
      <c r="D58" s="159" t="s">
        <v>163</v>
      </c>
      <c r="E58" s="169">
        <f>'Sch-I Supply Works'!I58</f>
        <v>47</v>
      </c>
      <c r="F58" s="211"/>
      <c r="G58" s="161">
        <f t="shared" si="0"/>
        <v>0</v>
      </c>
    </row>
    <row r="59" spans="1:7" ht="16.5" x14ac:dyDescent="0.2">
      <c r="A59" s="268"/>
      <c r="B59" s="268"/>
      <c r="C59" s="170" t="s">
        <v>244</v>
      </c>
      <c r="D59" s="159" t="s">
        <v>163</v>
      </c>
      <c r="E59" s="169">
        <f>'Sch-I Supply Works'!I59</f>
        <v>3</v>
      </c>
      <c r="F59" s="211"/>
      <c r="G59" s="161">
        <f t="shared" si="0"/>
        <v>0</v>
      </c>
    </row>
    <row r="60" spans="1:7" ht="16.5" x14ac:dyDescent="0.2">
      <c r="A60" s="269"/>
      <c r="B60" s="269"/>
      <c r="C60" s="170" t="s">
        <v>245</v>
      </c>
      <c r="D60" s="159" t="s">
        <v>163</v>
      </c>
      <c r="E60" s="169">
        <f>'Sch-I Supply Works'!I60</f>
        <v>21</v>
      </c>
      <c r="F60" s="211"/>
      <c r="G60" s="161">
        <f t="shared" si="0"/>
        <v>0</v>
      </c>
    </row>
    <row r="61" spans="1:7" ht="15" x14ac:dyDescent="0.2">
      <c r="A61" s="164" t="s">
        <v>277</v>
      </c>
      <c r="B61" s="156" t="s">
        <v>300</v>
      </c>
      <c r="C61" s="156"/>
      <c r="D61" s="156"/>
      <c r="E61" s="184"/>
      <c r="F61" s="211"/>
      <c r="G61" s="167"/>
    </row>
    <row r="62" spans="1:7" ht="16.5" x14ac:dyDescent="0.2">
      <c r="A62" s="220"/>
      <c r="B62" s="220"/>
      <c r="C62" s="170" t="s">
        <v>301</v>
      </c>
      <c r="D62" s="159" t="s">
        <v>302</v>
      </c>
      <c r="E62" s="169">
        <f>'Sch-I Supply Works'!I62</f>
        <v>13</v>
      </c>
      <c r="F62" s="211"/>
      <c r="G62" s="161">
        <f t="shared" si="0"/>
        <v>0</v>
      </c>
    </row>
    <row r="63" spans="1:7" ht="15" x14ac:dyDescent="0.2">
      <c r="A63" s="164" t="s">
        <v>299</v>
      </c>
      <c r="B63" s="156" t="s">
        <v>286</v>
      </c>
      <c r="C63" s="156"/>
      <c r="D63" s="156"/>
      <c r="E63" s="184"/>
      <c r="F63" s="211"/>
      <c r="G63" s="167"/>
    </row>
    <row r="64" spans="1:7" ht="45" x14ac:dyDescent="0.2">
      <c r="A64" s="261"/>
      <c r="B64" s="261"/>
      <c r="C64" s="174" t="s">
        <v>249</v>
      </c>
      <c r="D64" s="171" t="s">
        <v>123</v>
      </c>
      <c r="E64" s="169">
        <f>'Sch-I Supply Works'!I64</f>
        <v>3.79</v>
      </c>
      <c r="F64" s="211"/>
      <c r="G64" s="161">
        <f t="shared" si="0"/>
        <v>0</v>
      </c>
    </row>
    <row r="65" spans="1:7" ht="30" x14ac:dyDescent="0.2">
      <c r="A65" s="262"/>
      <c r="B65" s="262"/>
      <c r="C65" s="180" t="s">
        <v>256</v>
      </c>
      <c r="D65" s="171" t="s">
        <v>163</v>
      </c>
      <c r="E65" s="169">
        <f>'Sch-I Supply Works'!I65</f>
        <v>2</v>
      </c>
      <c r="F65" s="211"/>
      <c r="G65" s="161">
        <f t="shared" si="0"/>
        <v>0</v>
      </c>
    </row>
    <row r="66" spans="1:7" ht="33" x14ac:dyDescent="0.2">
      <c r="A66" s="262"/>
      <c r="B66" s="262"/>
      <c r="C66" s="170" t="s">
        <v>250</v>
      </c>
      <c r="D66" s="171" t="s">
        <v>174</v>
      </c>
      <c r="E66" s="169">
        <f>'Sch-I Supply Works'!I66</f>
        <v>3</v>
      </c>
      <c r="F66" s="211"/>
      <c r="G66" s="161">
        <f t="shared" si="0"/>
        <v>0</v>
      </c>
    </row>
    <row r="67" spans="1:7" ht="33" x14ac:dyDescent="0.2">
      <c r="A67" s="262"/>
      <c r="B67" s="262"/>
      <c r="C67" s="170" t="s">
        <v>251</v>
      </c>
      <c r="D67" s="171" t="s">
        <v>174</v>
      </c>
      <c r="E67" s="169">
        <f>'Sch-I Supply Works'!I67</f>
        <v>9</v>
      </c>
      <c r="F67" s="211"/>
      <c r="G67" s="161">
        <f t="shared" si="0"/>
        <v>0</v>
      </c>
    </row>
    <row r="68" spans="1:7" ht="33" x14ac:dyDescent="0.2">
      <c r="A68" s="262"/>
      <c r="B68" s="262"/>
      <c r="C68" s="170" t="s">
        <v>252</v>
      </c>
      <c r="D68" s="159" t="s">
        <v>174</v>
      </c>
      <c r="E68" s="169">
        <f>'Sch-I Supply Works'!I68</f>
        <v>1</v>
      </c>
      <c r="F68" s="211"/>
      <c r="G68" s="161">
        <f t="shared" si="0"/>
        <v>0</v>
      </c>
    </row>
    <row r="69" spans="1:7" ht="16.5" x14ac:dyDescent="0.2">
      <c r="A69" s="262"/>
      <c r="B69" s="262"/>
      <c r="C69" s="170" t="s">
        <v>253</v>
      </c>
      <c r="D69" s="159" t="s">
        <v>163</v>
      </c>
      <c r="E69" s="169">
        <f>'Sch-I Supply Works'!I69</f>
        <v>84</v>
      </c>
      <c r="F69" s="211"/>
      <c r="G69" s="161">
        <f t="shared" si="0"/>
        <v>0</v>
      </c>
    </row>
    <row r="70" spans="1:7" ht="16.5" x14ac:dyDescent="0.2">
      <c r="A70" s="262"/>
      <c r="B70" s="262"/>
      <c r="C70" s="170" t="s">
        <v>254</v>
      </c>
      <c r="D70" s="159" t="s">
        <v>163</v>
      </c>
      <c r="E70" s="169">
        <f>'Sch-I Supply Works'!I70</f>
        <v>160</v>
      </c>
      <c r="F70" s="211"/>
      <c r="G70" s="161">
        <f t="shared" si="0"/>
        <v>0</v>
      </c>
    </row>
    <row r="71" spans="1:7" ht="16.5" x14ac:dyDescent="0.25">
      <c r="A71" s="266"/>
      <c r="B71" s="266"/>
      <c r="C71" s="170" t="s">
        <v>255</v>
      </c>
      <c r="D71" s="181" t="s">
        <v>163</v>
      </c>
      <c r="E71" s="169">
        <f>'Sch-I Supply Works'!I71</f>
        <v>4</v>
      </c>
      <c r="F71" s="211"/>
      <c r="G71" s="161">
        <f t="shared" si="0"/>
        <v>0</v>
      </c>
    </row>
    <row r="72" spans="1:7" ht="15.75" x14ac:dyDescent="0.2">
      <c r="A72" s="263" t="s">
        <v>289</v>
      </c>
      <c r="B72" s="264"/>
      <c r="C72" s="264"/>
      <c r="D72" s="264"/>
      <c r="E72" s="264"/>
      <c r="F72" s="265"/>
      <c r="G72" s="182">
        <f>SUM(G8:G71)</f>
        <v>0</v>
      </c>
    </row>
  </sheetData>
  <sheetProtection algorithmName="SHA-512" hashValue="mGjtvpOWGdmO/5i7c+dSgsV/EWgfA5vpsbAZiIeyMTSvLQkGpz5AocOSEX80XTMNofnr5K1p8tA/eGSk9K43dg==" saltValue="9riHVNW7WfNm64TrZDgUTQ==" spinCount="100000" sheet="1" objects="1" scenarios="1"/>
  <mergeCells count="19">
    <mergeCell ref="A1:G1"/>
    <mergeCell ref="B30:B36"/>
    <mergeCell ref="A2:G2"/>
    <mergeCell ref="A3:G3"/>
    <mergeCell ref="E4:G4"/>
    <mergeCell ref="A8:A9"/>
    <mergeCell ref="B8:B9"/>
    <mergeCell ref="A11:A12"/>
    <mergeCell ref="B11:B12"/>
    <mergeCell ref="A14:A15"/>
    <mergeCell ref="B14:B15"/>
    <mergeCell ref="A23:A28"/>
    <mergeCell ref="B23:B28"/>
    <mergeCell ref="A30:A36"/>
    <mergeCell ref="A38:A60"/>
    <mergeCell ref="B38:B60"/>
    <mergeCell ref="A64:A71"/>
    <mergeCell ref="B64:B71"/>
    <mergeCell ref="A72:F7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93973-3347-41F2-9F39-EA4BCBC80740}">
  <sheetPr codeName="Sheet2"/>
  <dimension ref="A1:M86"/>
  <sheetViews>
    <sheetView tabSelected="1" zoomScale="85" zoomScaleNormal="85" zoomScaleSheetLayoutView="70" workbookViewId="0">
      <selection activeCell="O11" sqref="O11"/>
    </sheetView>
  </sheetViews>
  <sheetFormatPr defaultRowHeight="15.75" x14ac:dyDescent="0.2"/>
  <cols>
    <col min="1" max="1" width="9.28515625" style="206" customWidth="1"/>
    <col min="2" max="2" width="13.28515625" style="203" customWidth="1"/>
    <col min="3" max="3" width="16.42578125" style="206" customWidth="1"/>
    <col min="4" max="4" width="19.5703125" style="206" customWidth="1"/>
    <col min="5" max="5" width="17.7109375" style="206" customWidth="1"/>
    <col min="6" max="6" width="22.42578125" style="206" customWidth="1"/>
    <col min="7" max="7" width="54" style="206" customWidth="1"/>
    <col min="8" max="8" width="9.140625" style="203" customWidth="1"/>
    <col min="9" max="9" width="16.140625" style="206" customWidth="1"/>
    <col min="10" max="10" width="18.28515625" style="206" bestFit="1" customWidth="1"/>
    <col min="11" max="11" width="23.7109375" style="203" customWidth="1"/>
    <col min="12" max="12" width="16.140625" style="203" customWidth="1"/>
    <col min="13" max="13" width="13.85546875" style="185" bestFit="1" customWidth="1"/>
    <col min="14" max="16384" width="9.140625" style="185"/>
  </cols>
  <sheetData>
    <row r="1" spans="1:12" ht="20.25" x14ac:dyDescent="0.2">
      <c r="A1" s="246" t="s">
        <v>15</v>
      </c>
      <c r="B1" s="246"/>
      <c r="C1" s="246"/>
      <c r="D1" s="246"/>
      <c r="E1" s="246"/>
      <c r="F1" s="246"/>
      <c r="G1" s="246"/>
      <c r="H1" s="246"/>
      <c r="I1" s="246"/>
      <c r="J1" s="246"/>
      <c r="K1" s="246"/>
      <c r="L1" s="246"/>
    </row>
    <row r="2" spans="1:12" ht="20.25" x14ac:dyDescent="0.2">
      <c r="A2" s="246" t="s">
        <v>14</v>
      </c>
      <c r="B2" s="246"/>
      <c r="C2" s="246"/>
      <c r="D2" s="246"/>
      <c r="E2" s="246"/>
      <c r="F2" s="246"/>
      <c r="G2" s="246"/>
      <c r="H2" s="246"/>
      <c r="I2" s="246"/>
      <c r="J2" s="246"/>
      <c r="K2" s="246"/>
      <c r="L2" s="246"/>
    </row>
    <row r="3" spans="1:12" s="117" customFormat="1" ht="43.5" customHeight="1" x14ac:dyDescent="0.25">
      <c r="A3" s="248" t="s">
        <v>340</v>
      </c>
      <c r="B3" s="248"/>
      <c r="C3" s="248"/>
      <c r="D3" s="248"/>
      <c r="E3" s="248"/>
      <c r="F3" s="248"/>
      <c r="G3" s="248"/>
      <c r="H3" s="248"/>
      <c r="I3" s="248"/>
      <c r="J3" s="248"/>
      <c r="K3" s="248"/>
      <c r="L3" s="248"/>
    </row>
    <row r="4" spans="1:12" s="117" customFormat="1" ht="19.5" customHeight="1" x14ac:dyDescent="0.25">
      <c r="A4" s="247" t="s">
        <v>290</v>
      </c>
      <c r="B4" s="247"/>
      <c r="C4" s="247"/>
      <c r="D4" s="247"/>
      <c r="E4" s="247"/>
      <c r="F4" s="247"/>
      <c r="G4" s="247"/>
      <c r="H4" s="247"/>
      <c r="I4" s="247"/>
      <c r="J4" s="247"/>
      <c r="K4" s="247"/>
      <c r="L4" s="247"/>
    </row>
    <row r="5" spans="1:12" s="117" customFormat="1" ht="13.5" customHeight="1" x14ac:dyDescent="0.25">
      <c r="A5" s="132"/>
      <c r="B5" s="132"/>
      <c r="C5" s="242"/>
      <c r="D5" s="242"/>
      <c r="E5" s="242"/>
      <c r="F5" s="242"/>
      <c r="G5" s="242"/>
      <c r="H5" s="242"/>
      <c r="I5" s="242"/>
      <c r="J5" s="245" t="s">
        <v>20</v>
      </c>
      <c r="K5" s="245"/>
      <c r="L5" s="245"/>
    </row>
    <row r="6" spans="1:12" s="117" customFormat="1" ht="15" customHeight="1" x14ac:dyDescent="0.25">
      <c r="A6" s="242"/>
      <c r="B6" s="242"/>
      <c r="C6" s="242"/>
      <c r="D6" s="242"/>
      <c r="E6" s="243"/>
      <c r="F6" s="243"/>
      <c r="G6" s="243"/>
      <c r="H6" s="243"/>
      <c r="I6" s="243"/>
      <c r="J6" s="245" t="s">
        <v>21</v>
      </c>
      <c r="K6" s="245"/>
      <c r="L6" s="245"/>
    </row>
    <row r="7" spans="1:12" s="117" customFormat="1" ht="15" customHeight="1" x14ac:dyDescent="0.25">
      <c r="A7" s="242"/>
      <c r="B7" s="243"/>
      <c r="C7" s="242"/>
      <c r="D7" s="242"/>
      <c r="E7" s="243"/>
      <c r="F7" s="243"/>
      <c r="G7" s="243"/>
      <c r="H7" s="243"/>
      <c r="I7" s="243"/>
      <c r="J7" s="245" t="s">
        <v>22</v>
      </c>
      <c r="K7" s="245"/>
      <c r="L7" s="245"/>
    </row>
    <row r="8" spans="1:12" s="117" customFormat="1" ht="15" customHeight="1" x14ac:dyDescent="0.25">
      <c r="A8" s="133"/>
      <c r="B8" s="133"/>
      <c r="C8" s="242"/>
      <c r="D8" s="242"/>
      <c r="E8" s="243"/>
      <c r="F8" s="243"/>
      <c r="G8" s="243"/>
      <c r="H8" s="243"/>
      <c r="I8" s="243"/>
      <c r="J8" s="245" t="s">
        <v>23</v>
      </c>
      <c r="K8" s="245"/>
      <c r="L8" s="245"/>
    </row>
    <row r="9" spans="1:12" s="117" customFormat="1" ht="15" customHeight="1" x14ac:dyDescent="0.25">
      <c r="A9" s="133"/>
      <c r="B9" s="133"/>
      <c r="C9" s="242"/>
      <c r="D9" s="242"/>
      <c r="E9" s="243"/>
      <c r="F9" s="243"/>
      <c r="G9" s="243"/>
      <c r="H9" s="243"/>
      <c r="I9" s="243"/>
      <c r="J9" s="245" t="s">
        <v>140</v>
      </c>
      <c r="K9" s="245"/>
      <c r="L9" s="245"/>
    </row>
    <row r="10" spans="1:12" s="117" customFormat="1" ht="15" customHeight="1" x14ac:dyDescent="0.25">
      <c r="A10" s="244"/>
      <c r="B10" s="244"/>
      <c r="C10" s="244"/>
      <c r="D10" s="244"/>
      <c r="E10" s="244"/>
      <c r="F10" s="244"/>
      <c r="G10" s="244"/>
      <c r="H10" s="244"/>
      <c r="I10" s="244"/>
      <c r="J10" s="245" t="s">
        <v>25</v>
      </c>
      <c r="K10" s="245"/>
      <c r="L10" s="245"/>
    </row>
    <row r="11" spans="1:12" s="117" customFormat="1" ht="24.75" customHeight="1" x14ac:dyDescent="0.25">
      <c r="A11" s="221"/>
      <c r="B11" s="221"/>
      <c r="C11" s="221"/>
      <c r="D11" s="221"/>
      <c r="E11" s="221"/>
      <c r="F11" s="221"/>
      <c r="G11" s="221"/>
      <c r="H11" s="221"/>
      <c r="I11" s="221"/>
      <c r="J11" s="238" t="s">
        <v>147</v>
      </c>
      <c r="K11" s="238"/>
      <c r="L11" s="238"/>
    </row>
    <row r="12" spans="1:12" s="119" customFormat="1" ht="36.75" customHeight="1" x14ac:dyDescent="0.25">
      <c r="A12" s="238" t="s">
        <v>141</v>
      </c>
      <c r="B12" s="221" t="s">
        <v>27</v>
      </c>
      <c r="C12" s="221" t="s">
        <v>28</v>
      </c>
      <c r="D12" s="238" t="s">
        <v>44</v>
      </c>
      <c r="E12" s="238" t="s">
        <v>110</v>
      </c>
      <c r="F12" s="238" t="s">
        <v>45</v>
      </c>
      <c r="G12" s="238" t="s">
        <v>111</v>
      </c>
      <c r="H12" s="238" t="s">
        <v>19</v>
      </c>
      <c r="I12" s="238" t="s">
        <v>151</v>
      </c>
      <c r="J12" s="238" t="s">
        <v>29</v>
      </c>
      <c r="K12" s="238" t="s">
        <v>30</v>
      </c>
      <c r="L12" s="238" t="s">
        <v>31</v>
      </c>
    </row>
    <row r="13" spans="1:12" s="119" customFormat="1" ht="90.75" customHeight="1" x14ac:dyDescent="0.25">
      <c r="A13" s="238"/>
      <c r="B13" s="221"/>
      <c r="C13" s="221" t="s">
        <v>32</v>
      </c>
      <c r="D13" s="238"/>
      <c r="E13" s="238"/>
      <c r="F13" s="238"/>
      <c r="G13" s="238"/>
      <c r="H13" s="238"/>
      <c r="I13" s="238"/>
      <c r="J13" s="238"/>
      <c r="K13" s="238"/>
      <c r="L13" s="238"/>
    </row>
    <row r="14" spans="1:12" s="117" customFormat="1" ht="15.75" customHeight="1" x14ac:dyDescent="0.25">
      <c r="A14" s="120">
        <v>1</v>
      </c>
      <c r="B14" s="120"/>
      <c r="C14" s="118">
        <v>2</v>
      </c>
      <c r="D14" s="118">
        <v>3</v>
      </c>
      <c r="E14" s="118">
        <v>4</v>
      </c>
      <c r="F14" s="118">
        <v>5</v>
      </c>
      <c r="G14" s="121">
        <v>6</v>
      </c>
      <c r="H14" s="121">
        <v>7</v>
      </c>
      <c r="I14" s="121">
        <v>8</v>
      </c>
      <c r="J14" s="121">
        <v>9</v>
      </c>
      <c r="K14" s="121" t="s">
        <v>152</v>
      </c>
      <c r="L14" s="122" t="s">
        <v>153</v>
      </c>
    </row>
    <row r="15" spans="1:12" s="188" customFormat="1" ht="47.45" customHeight="1" x14ac:dyDescent="0.2">
      <c r="A15" s="186" t="s">
        <v>1</v>
      </c>
      <c r="B15" s="186"/>
      <c r="C15" s="120">
        <v>998344</v>
      </c>
      <c r="D15" s="219"/>
      <c r="E15" s="231">
        <v>0.18</v>
      </c>
      <c r="F15" s="219"/>
      <c r="G15" s="187" t="s">
        <v>168</v>
      </c>
      <c r="H15" s="120" t="s">
        <v>123</v>
      </c>
      <c r="I15" s="123">
        <f>1.05+2.549</f>
        <v>3.5990000000000002</v>
      </c>
      <c r="J15" s="236"/>
      <c r="K15" s="128">
        <f>I15*J15</f>
        <v>0</v>
      </c>
      <c r="L15" s="128">
        <f t="shared" ref="L15:L35" si="0">IF(ISBLANK(F15),E15*K15,F15*K15)</f>
        <v>0</v>
      </c>
    </row>
    <row r="16" spans="1:12" s="188" customFormat="1" ht="17.25" customHeight="1" x14ac:dyDescent="0.2">
      <c r="A16" s="186" t="s">
        <v>2</v>
      </c>
      <c r="B16" s="186"/>
      <c r="C16" s="120">
        <v>998344</v>
      </c>
      <c r="D16" s="219"/>
      <c r="E16" s="231">
        <v>0.18</v>
      </c>
      <c r="F16" s="219"/>
      <c r="G16" s="189" t="s">
        <v>118</v>
      </c>
      <c r="H16" s="120" t="s">
        <v>123</v>
      </c>
      <c r="I16" s="123">
        <f>I15</f>
        <v>3.5990000000000002</v>
      </c>
      <c r="J16" s="236"/>
      <c r="K16" s="128">
        <f t="shared" ref="K16:K69" si="1">I16*J16</f>
        <v>0</v>
      </c>
      <c r="L16" s="128">
        <f t="shared" si="0"/>
        <v>0</v>
      </c>
    </row>
    <row r="17" spans="1:13" s="188" customFormat="1" ht="39.950000000000003" customHeight="1" x14ac:dyDescent="0.2">
      <c r="A17" s="186" t="s">
        <v>13</v>
      </c>
      <c r="B17" s="186"/>
      <c r="C17" s="120">
        <v>998342</v>
      </c>
      <c r="D17" s="219"/>
      <c r="E17" s="231">
        <v>0.18</v>
      </c>
      <c r="F17" s="219"/>
      <c r="G17" s="187" t="s">
        <v>131</v>
      </c>
      <c r="H17" s="120" t="s">
        <v>163</v>
      </c>
      <c r="I17" s="123">
        <f>1+4</f>
        <v>5</v>
      </c>
      <c r="J17" s="236"/>
      <c r="K17" s="128">
        <f t="shared" si="1"/>
        <v>0</v>
      </c>
      <c r="L17" s="128">
        <f t="shared" si="0"/>
        <v>0</v>
      </c>
    </row>
    <row r="18" spans="1:13" s="188" customFormat="1" ht="25.5" customHeight="1" x14ac:dyDescent="0.2">
      <c r="A18" s="186" t="s">
        <v>162</v>
      </c>
      <c r="B18" s="186"/>
      <c r="C18" s="120">
        <v>998342</v>
      </c>
      <c r="D18" s="219"/>
      <c r="E18" s="231">
        <v>0.18</v>
      </c>
      <c r="F18" s="219"/>
      <c r="G18" s="189" t="s">
        <v>155</v>
      </c>
      <c r="H18" s="120" t="s">
        <v>163</v>
      </c>
      <c r="I18" s="123">
        <f>1+1</f>
        <v>2</v>
      </c>
      <c r="J18" s="236"/>
      <c r="K18" s="128">
        <f>I18*J18</f>
        <v>0</v>
      </c>
      <c r="L18" s="128">
        <f>IF(ISBLANK(F18),E18*K18,F18*K18)</f>
        <v>0</v>
      </c>
    </row>
    <row r="19" spans="1:13" s="188" customFormat="1" ht="25.5" customHeight="1" x14ac:dyDescent="0.2">
      <c r="A19" s="186" t="s">
        <v>5</v>
      </c>
      <c r="B19" s="186"/>
      <c r="C19" s="120">
        <v>998342</v>
      </c>
      <c r="D19" s="219"/>
      <c r="E19" s="231">
        <v>0.18</v>
      </c>
      <c r="F19" s="219"/>
      <c r="G19" s="190" t="s">
        <v>169</v>
      </c>
      <c r="H19" s="120" t="s">
        <v>163</v>
      </c>
      <c r="I19" s="123">
        <v>0</v>
      </c>
      <c r="J19" s="236"/>
      <c r="K19" s="128">
        <f>I19*J19</f>
        <v>0</v>
      </c>
      <c r="L19" s="128">
        <f>IF(ISBLANK(F19),E19*K19,F19*K19)</f>
        <v>0</v>
      </c>
    </row>
    <row r="20" spans="1:13" s="188" customFormat="1" ht="47.25" x14ac:dyDescent="0.2">
      <c r="A20" s="186" t="s">
        <v>6</v>
      </c>
      <c r="B20" s="186"/>
      <c r="C20" s="120">
        <v>995432</v>
      </c>
      <c r="D20" s="219"/>
      <c r="E20" s="231">
        <v>0.18</v>
      </c>
      <c r="F20" s="219"/>
      <c r="G20" s="232" t="s">
        <v>326</v>
      </c>
      <c r="H20" s="120" t="s">
        <v>124</v>
      </c>
      <c r="I20" s="123">
        <f>10+10</f>
        <v>20</v>
      </c>
      <c r="J20" s="236"/>
      <c r="K20" s="128">
        <f t="shared" si="1"/>
        <v>0</v>
      </c>
      <c r="L20" s="128">
        <f>IF(ISBLANK(F20),E20*K20,F20*K20)</f>
        <v>0</v>
      </c>
      <c r="M20" s="191"/>
    </row>
    <row r="21" spans="1:13" s="188" customFormat="1" ht="18" x14ac:dyDescent="0.2">
      <c r="A21" s="186" t="s">
        <v>7</v>
      </c>
      <c r="B21" s="186"/>
      <c r="C21" s="120">
        <v>995432</v>
      </c>
      <c r="D21" s="219"/>
      <c r="E21" s="231">
        <v>0.18</v>
      </c>
      <c r="F21" s="219"/>
      <c r="G21" s="189" t="s">
        <v>119</v>
      </c>
      <c r="H21" s="120" t="s">
        <v>124</v>
      </c>
      <c r="I21" s="123">
        <f>5+5</f>
        <v>10</v>
      </c>
      <c r="J21" s="236"/>
      <c r="K21" s="128">
        <f t="shared" si="1"/>
        <v>0</v>
      </c>
      <c r="L21" s="128">
        <f>IF(ISBLANK(F21),E21*K21,F21*K21)</f>
        <v>0</v>
      </c>
    </row>
    <row r="22" spans="1:13" s="188" customFormat="1" ht="18" x14ac:dyDescent="0.2">
      <c r="A22" s="186" t="s">
        <v>8</v>
      </c>
      <c r="B22" s="186"/>
      <c r="C22" s="120">
        <v>995432</v>
      </c>
      <c r="D22" s="219"/>
      <c r="E22" s="231">
        <v>0.18</v>
      </c>
      <c r="F22" s="219"/>
      <c r="G22" s="190" t="s">
        <v>169</v>
      </c>
      <c r="H22" s="120" t="s">
        <v>124</v>
      </c>
      <c r="I22" s="123">
        <v>0</v>
      </c>
      <c r="J22" s="236"/>
      <c r="K22" s="128"/>
      <c r="L22" s="128"/>
    </row>
    <row r="23" spans="1:13" s="188" customFormat="1" ht="94.5" x14ac:dyDescent="0.2">
      <c r="A23" s="186" t="s">
        <v>9</v>
      </c>
      <c r="B23" s="186"/>
      <c r="C23" s="120">
        <v>995455</v>
      </c>
      <c r="D23" s="219"/>
      <c r="E23" s="231">
        <v>0.18</v>
      </c>
      <c r="F23" s="219"/>
      <c r="G23" s="192" t="s">
        <v>158</v>
      </c>
      <c r="H23" s="120" t="s">
        <v>125</v>
      </c>
      <c r="I23" s="123">
        <f>152.68+76.7</f>
        <v>229.38</v>
      </c>
      <c r="J23" s="236"/>
      <c r="K23" s="128">
        <f t="shared" si="1"/>
        <v>0</v>
      </c>
      <c r="L23" s="131">
        <f t="shared" si="0"/>
        <v>0</v>
      </c>
    </row>
    <row r="24" spans="1:13" s="188" customFormat="1" ht="31.5" x14ac:dyDescent="0.2">
      <c r="A24" s="186" t="s">
        <v>10</v>
      </c>
      <c r="B24" s="186"/>
      <c r="C24" s="120">
        <v>995433</v>
      </c>
      <c r="D24" s="219"/>
      <c r="E24" s="231">
        <v>0.18</v>
      </c>
      <c r="F24" s="219"/>
      <c r="G24" s="187" t="s">
        <v>132</v>
      </c>
      <c r="H24" s="120" t="s">
        <v>124</v>
      </c>
      <c r="I24" s="123">
        <f>596.59+129.56</f>
        <v>726.15000000000009</v>
      </c>
      <c r="J24" s="236"/>
      <c r="K24" s="128">
        <f t="shared" si="1"/>
        <v>0</v>
      </c>
      <c r="L24" s="128">
        <f t="shared" si="0"/>
        <v>0</v>
      </c>
    </row>
    <row r="25" spans="1:13" s="188" customFormat="1" ht="18" x14ac:dyDescent="0.2">
      <c r="A25" s="186" t="s">
        <v>112</v>
      </c>
      <c r="B25" s="186"/>
      <c r="C25" s="120">
        <v>995433</v>
      </c>
      <c r="D25" s="219"/>
      <c r="E25" s="231">
        <v>0.18</v>
      </c>
      <c r="F25" s="219"/>
      <c r="G25" s="189" t="s">
        <v>120</v>
      </c>
      <c r="H25" s="120" t="s">
        <v>124</v>
      </c>
      <c r="I25" s="123">
        <f>1789.77+906.92</f>
        <v>2696.69</v>
      </c>
      <c r="J25" s="236"/>
      <c r="K25" s="128">
        <f t="shared" si="1"/>
        <v>0</v>
      </c>
      <c r="L25" s="128">
        <f t="shared" si="0"/>
        <v>0</v>
      </c>
    </row>
    <row r="26" spans="1:13" s="188" customFormat="1" ht="18" x14ac:dyDescent="0.2">
      <c r="A26" s="186" t="s">
        <v>113</v>
      </c>
      <c r="B26" s="186"/>
      <c r="C26" s="120">
        <v>995433</v>
      </c>
      <c r="D26" s="219"/>
      <c r="E26" s="231">
        <v>0.18</v>
      </c>
      <c r="F26" s="219"/>
      <c r="G26" s="189" t="s">
        <v>154</v>
      </c>
      <c r="H26" s="120" t="s">
        <v>124</v>
      </c>
      <c r="I26" s="123">
        <f>298.3+129.56</f>
        <v>427.86</v>
      </c>
      <c r="J26" s="236"/>
      <c r="K26" s="128">
        <f t="shared" si="1"/>
        <v>0</v>
      </c>
      <c r="L26" s="128">
        <f t="shared" si="0"/>
        <v>0</v>
      </c>
    </row>
    <row r="27" spans="1:13" s="188" customFormat="1" ht="18" x14ac:dyDescent="0.2">
      <c r="A27" s="186" t="s">
        <v>16</v>
      </c>
      <c r="B27" s="186"/>
      <c r="C27" s="120">
        <v>995433</v>
      </c>
      <c r="D27" s="219"/>
      <c r="E27" s="231">
        <v>0.18</v>
      </c>
      <c r="F27" s="219"/>
      <c r="G27" s="189" t="s">
        <v>170</v>
      </c>
      <c r="H27" s="120" t="s">
        <v>124</v>
      </c>
      <c r="I27" s="123">
        <f>149.15+64.78</f>
        <v>213.93</v>
      </c>
      <c r="J27" s="236"/>
      <c r="K27" s="128">
        <f t="shared" si="1"/>
        <v>0</v>
      </c>
      <c r="L27" s="128">
        <f t="shared" si="0"/>
        <v>0</v>
      </c>
    </row>
    <row r="28" spans="1:13" s="188" customFormat="1" ht="18" x14ac:dyDescent="0.2">
      <c r="A28" s="186" t="s">
        <v>179</v>
      </c>
      <c r="B28" s="186"/>
      <c r="C28" s="120">
        <v>995433</v>
      </c>
      <c r="D28" s="219"/>
      <c r="E28" s="231">
        <v>0.18</v>
      </c>
      <c r="F28" s="219"/>
      <c r="G28" s="189" t="s">
        <v>156</v>
      </c>
      <c r="H28" s="120" t="s">
        <v>124</v>
      </c>
      <c r="I28" s="123">
        <f>149.15+64.78</f>
        <v>213.93</v>
      </c>
      <c r="J28" s="236"/>
      <c r="K28" s="128">
        <f t="shared" si="1"/>
        <v>0</v>
      </c>
      <c r="L28" s="128">
        <f t="shared" si="0"/>
        <v>0</v>
      </c>
    </row>
    <row r="29" spans="1:13" s="188" customFormat="1" ht="100.5" customHeight="1" x14ac:dyDescent="0.2">
      <c r="A29" s="186" t="s">
        <v>114</v>
      </c>
      <c r="B29" s="186"/>
      <c r="C29" s="120">
        <v>995454</v>
      </c>
      <c r="D29" s="219"/>
      <c r="E29" s="231">
        <v>0.18</v>
      </c>
      <c r="F29" s="219"/>
      <c r="G29" s="187" t="s">
        <v>171</v>
      </c>
      <c r="H29" s="120" t="s">
        <v>124</v>
      </c>
      <c r="I29" s="123">
        <f>124.35+170.49</f>
        <v>294.84000000000003</v>
      </c>
      <c r="J29" s="236"/>
      <c r="K29" s="128">
        <f t="shared" si="1"/>
        <v>0</v>
      </c>
      <c r="L29" s="128">
        <f t="shared" si="0"/>
        <v>0</v>
      </c>
      <c r="M29" s="191"/>
    </row>
    <row r="30" spans="1:13" s="188" customFormat="1" ht="18" x14ac:dyDescent="0.2">
      <c r="A30" s="186" t="s">
        <v>115</v>
      </c>
      <c r="B30" s="186"/>
      <c r="C30" s="120">
        <v>995454</v>
      </c>
      <c r="D30" s="219"/>
      <c r="E30" s="231">
        <v>0.18</v>
      </c>
      <c r="F30" s="219"/>
      <c r="G30" s="189" t="s">
        <v>172</v>
      </c>
      <c r="H30" s="120" t="s">
        <v>124</v>
      </c>
      <c r="I30" s="123">
        <f>46.5+19.28</f>
        <v>65.78</v>
      </c>
      <c r="J30" s="236"/>
      <c r="K30" s="128">
        <f t="shared" si="1"/>
        <v>0</v>
      </c>
      <c r="L30" s="128">
        <f t="shared" si="0"/>
        <v>0</v>
      </c>
    </row>
    <row r="31" spans="1:13" s="188" customFormat="1" ht="18" x14ac:dyDescent="0.2">
      <c r="A31" s="186"/>
      <c r="B31" s="186"/>
      <c r="C31" s="120"/>
      <c r="D31" s="219"/>
      <c r="E31" s="231"/>
      <c r="F31" s="219"/>
      <c r="G31" s="189" t="s">
        <v>308</v>
      </c>
      <c r="H31" s="120" t="s">
        <v>309</v>
      </c>
      <c r="I31" s="123">
        <v>352.74</v>
      </c>
      <c r="J31" s="236"/>
      <c r="K31" s="128">
        <f t="shared" si="1"/>
        <v>0</v>
      </c>
      <c r="L31" s="128"/>
    </row>
    <row r="32" spans="1:13" s="188" customFormat="1" ht="31.5" x14ac:dyDescent="0.2">
      <c r="A32" s="186" t="s">
        <v>116</v>
      </c>
      <c r="B32" s="186"/>
      <c r="C32" s="120">
        <v>995454</v>
      </c>
      <c r="D32" s="219"/>
      <c r="E32" s="231">
        <v>0.18</v>
      </c>
      <c r="F32" s="219"/>
      <c r="G32" s="187" t="s">
        <v>133</v>
      </c>
      <c r="H32" s="120" t="s">
        <v>125</v>
      </c>
      <c r="I32" s="123">
        <f>37.87+13.11</f>
        <v>50.98</v>
      </c>
      <c r="J32" s="236"/>
      <c r="K32" s="128">
        <f>I32*J32</f>
        <v>0</v>
      </c>
      <c r="L32" s="128">
        <f t="shared" si="0"/>
        <v>0</v>
      </c>
    </row>
    <row r="33" spans="1:13" s="188" customFormat="1" ht="47.25" x14ac:dyDescent="0.2">
      <c r="A33" s="186" t="s">
        <v>117</v>
      </c>
      <c r="B33" s="186"/>
      <c r="C33" s="120">
        <v>995455</v>
      </c>
      <c r="D33" s="219"/>
      <c r="E33" s="231">
        <v>0.18</v>
      </c>
      <c r="F33" s="219"/>
      <c r="G33" s="187" t="s">
        <v>157</v>
      </c>
      <c r="H33" s="120" t="s">
        <v>125</v>
      </c>
      <c r="I33" s="228">
        <f>5.5+2.82</f>
        <v>8.32</v>
      </c>
      <c r="J33" s="236"/>
      <c r="K33" s="128">
        <f>I33*J33</f>
        <v>0</v>
      </c>
      <c r="L33" s="128">
        <f t="shared" si="0"/>
        <v>0</v>
      </c>
    </row>
    <row r="34" spans="1:13" s="188" customFormat="1" ht="31.5" x14ac:dyDescent="0.2">
      <c r="A34" s="186" t="s">
        <v>3</v>
      </c>
      <c r="B34" s="186"/>
      <c r="C34" s="120">
        <v>995468</v>
      </c>
      <c r="D34" s="219"/>
      <c r="E34" s="231">
        <v>0.18</v>
      </c>
      <c r="F34" s="219"/>
      <c r="G34" s="187" t="s">
        <v>135</v>
      </c>
      <c r="H34" s="120" t="s">
        <v>163</v>
      </c>
      <c r="I34" s="123">
        <f>4+7</f>
        <v>11</v>
      </c>
      <c r="J34" s="236"/>
      <c r="K34" s="128">
        <f t="shared" si="1"/>
        <v>0</v>
      </c>
      <c r="L34" s="128">
        <f t="shared" si="0"/>
        <v>0</v>
      </c>
    </row>
    <row r="35" spans="1:13" s="188" customFormat="1" ht="18" x14ac:dyDescent="0.2">
      <c r="A35" s="186" t="s">
        <v>4</v>
      </c>
      <c r="B35" s="186"/>
      <c r="C35" s="120">
        <v>995468</v>
      </c>
      <c r="D35" s="219"/>
      <c r="E35" s="231">
        <v>0.18</v>
      </c>
      <c r="F35" s="219"/>
      <c r="G35" s="170" t="s">
        <v>189</v>
      </c>
      <c r="H35" s="120" t="s">
        <v>163</v>
      </c>
      <c r="I35" s="123">
        <f>1+1</f>
        <v>2</v>
      </c>
      <c r="J35" s="236"/>
      <c r="K35" s="128">
        <f t="shared" si="1"/>
        <v>0</v>
      </c>
      <c r="L35" s="128">
        <f t="shared" si="0"/>
        <v>0</v>
      </c>
    </row>
    <row r="36" spans="1:13" s="188" customFormat="1" ht="33" x14ac:dyDescent="0.2">
      <c r="A36" s="186" t="s">
        <v>11</v>
      </c>
      <c r="B36" s="186"/>
      <c r="C36" s="120">
        <v>995468</v>
      </c>
      <c r="D36" s="219"/>
      <c r="E36" s="231">
        <v>0.18</v>
      </c>
      <c r="F36" s="219"/>
      <c r="G36" s="170" t="s">
        <v>190</v>
      </c>
      <c r="H36" s="120" t="s">
        <v>163</v>
      </c>
      <c r="I36" s="123">
        <v>0</v>
      </c>
      <c r="J36" s="236"/>
      <c r="K36" s="128"/>
      <c r="L36" s="128"/>
    </row>
    <row r="37" spans="1:13" s="188" customFormat="1" ht="45" x14ac:dyDescent="0.2">
      <c r="A37" s="186" t="s">
        <v>0</v>
      </c>
      <c r="B37" s="186"/>
      <c r="C37" s="120">
        <v>995468</v>
      </c>
      <c r="D37" s="219"/>
      <c r="E37" s="231">
        <v>0.18</v>
      </c>
      <c r="F37" s="219"/>
      <c r="G37" s="193" t="s">
        <v>191</v>
      </c>
      <c r="H37" s="120" t="s">
        <v>174</v>
      </c>
      <c r="I37" s="123">
        <f>1+1</f>
        <v>2</v>
      </c>
      <c r="J37" s="236"/>
      <c r="K37" s="128">
        <f t="shared" si="1"/>
        <v>0</v>
      </c>
      <c r="L37" s="128">
        <f t="shared" ref="L37:L69" si="2">IF(ISBLANK(F37),E37*K37,F37*K37)</f>
        <v>0</v>
      </c>
    </row>
    <row r="38" spans="1:13" s="188" customFormat="1" ht="18" x14ac:dyDescent="0.2">
      <c r="A38" s="186" t="s">
        <v>12</v>
      </c>
      <c r="B38" s="186"/>
      <c r="C38" s="120">
        <v>995468</v>
      </c>
      <c r="D38" s="219"/>
      <c r="E38" s="231">
        <v>0.18</v>
      </c>
      <c r="F38" s="219"/>
      <c r="G38" s="194" t="s">
        <v>173</v>
      </c>
      <c r="H38" s="120" t="s">
        <v>174</v>
      </c>
      <c r="I38" s="123"/>
      <c r="J38" s="236"/>
      <c r="K38" s="128"/>
      <c r="L38" s="128"/>
    </row>
    <row r="39" spans="1:13" s="188" customFormat="1" ht="18" x14ac:dyDescent="0.2">
      <c r="A39" s="186" t="s">
        <v>165</v>
      </c>
      <c r="B39" s="186"/>
      <c r="C39" s="120">
        <v>998731</v>
      </c>
      <c r="D39" s="219"/>
      <c r="E39" s="231">
        <v>0.18</v>
      </c>
      <c r="F39" s="219"/>
      <c r="G39" s="187" t="s">
        <v>159</v>
      </c>
      <c r="H39" s="120" t="s">
        <v>163</v>
      </c>
      <c r="I39" s="123">
        <f>2+4</f>
        <v>6</v>
      </c>
      <c r="J39" s="236"/>
      <c r="K39" s="128">
        <f t="shared" si="1"/>
        <v>0</v>
      </c>
      <c r="L39" s="128">
        <f t="shared" si="2"/>
        <v>0</v>
      </c>
    </row>
    <row r="40" spans="1:13" s="188" customFormat="1" ht="31.5" x14ac:dyDescent="0.2">
      <c r="A40" s="186" t="s">
        <v>17</v>
      </c>
      <c r="B40" s="186"/>
      <c r="C40" s="120">
        <v>995444</v>
      </c>
      <c r="D40" s="219"/>
      <c r="E40" s="231">
        <v>0.18</v>
      </c>
      <c r="F40" s="219"/>
      <c r="G40" s="187" t="s">
        <v>134</v>
      </c>
      <c r="H40" s="120" t="s">
        <v>163</v>
      </c>
      <c r="I40" s="123">
        <f>3+8</f>
        <v>11</v>
      </c>
      <c r="J40" s="236"/>
      <c r="K40" s="128">
        <f t="shared" si="1"/>
        <v>0</v>
      </c>
      <c r="L40" s="128">
        <f t="shared" si="2"/>
        <v>0</v>
      </c>
      <c r="M40" s="191"/>
    </row>
    <row r="41" spans="1:13" s="188" customFormat="1" ht="18" x14ac:dyDescent="0.2">
      <c r="A41" s="186" t="s">
        <v>137</v>
      </c>
      <c r="B41" s="186"/>
      <c r="C41" s="120">
        <v>995444</v>
      </c>
      <c r="D41" s="219"/>
      <c r="E41" s="231">
        <v>0.18</v>
      </c>
      <c r="F41" s="219"/>
      <c r="G41" s="189" t="s">
        <v>121</v>
      </c>
      <c r="H41" s="120" t="s">
        <v>163</v>
      </c>
      <c r="I41" s="123">
        <f>3+8</f>
        <v>11</v>
      </c>
      <c r="J41" s="236"/>
      <c r="K41" s="128">
        <f t="shared" si="1"/>
        <v>0</v>
      </c>
      <c r="L41" s="128">
        <f t="shared" si="2"/>
        <v>0</v>
      </c>
    </row>
    <row r="42" spans="1:13" s="188" customFormat="1" ht="18" x14ac:dyDescent="0.2">
      <c r="A42" s="186" t="s">
        <v>138</v>
      </c>
      <c r="B42" s="186"/>
      <c r="C42" s="120">
        <v>995444</v>
      </c>
      <c r="D42" s="219"/>
      <c r="E42" s="231">
        <v>0.18</v>
      </c>
      <c r="F42" s="219"/>
      <c r="G42" s="189" t="s">
        <v>142</v>
      </c>
      <c r="H42" s="120" t="s">
        <v>143</v>
      </c>
      <c r="I42" s="123">
        <f>6+16</f>
        <v>22</v>
      </c>
      <c r="J42" s="236"/>
      <c r="K42" s="128">
        <f t="shared" si="1"/>
        <v>0</v>
      </c>
      <c r="L42" s="128">
        <f t="shared" si="2"/>
        <v>0</v>
      </c>
    </row>
    <row r="43" spans="1:13" s="188" customFormat="1" ht="18" x14ac:dyDescent="0.2">
      <c r="A43" s="186" t="s">
        <v>139</v>
      </c>
      <c r="B43" s="186"/>
      <c r="C43" s="120">
        <v>995444</v>
      </c>
      <c r="D43" s="219"/>
      <c r="E43" s="231">
        <v>0.18</v>
      </c>
      <c r="F43" s="219"/>
      <c r="G43" s="189" t="s">
        <v>144</v>
      </c>
      <c r="H43" s="120" t="s">
        <v>143</v>
      </c>
      <c r="I43" s="123">
        <f>3+8</f>
        <v>11</v>
      </c>
      <c r="J43" s="236"/>
      <c r="K43" s="128">
        <f t="shared" si="1"/>
        <v>0</v>
      </c>
      <c r="L43" s="128">
        <f t="shared" si="2"/>
        <v>0</v>
      </c>
    </row>
    <row r="44" spans="1:13" s="188" customFormat="1" ht="18" x14ac:dyDescent="0.2">
      <c r="A44" s="186" t="s">
        <v>180</v>
      </c>
      <c r="B44" s="186"/>
      <c r="C44" s="120">
        <v>995444</v>
      </c>
      <c r="D44" s="219"/>
      <c r="E44" s="231">
        <v>0.18</v>
      </c>
      <c r="F44" s="219"/>
      <c r="G44" s="189" t="s">
        <v>130</v>
      </c>
      <c r="H44" s="120" t="s">
        <v>163</v>
      </c>
      <c r="I44" s="123">
        <f>3+8</f>
        <v>11</v>
      </c>
      <c r="J44" s="236"/>
      <c r="K44" s="128">
        <f t="shared" si="1"/>
        <v>0</v>
      </c>
      <c r="L44" s="128">
        <f t="shared" si="2"/>
        <v>0</v>
      </c>
    </row>
    <row r="45" spans="1:13" s="188" customFormat="1" ht="18" x14ac:dyDescent="0.2">
      <c r="A45" s="186"/>
      <c r="B45" s="186"/>
      <c r="C45" s="120">
        <v>995444</v>
      </c>
      <c r="D45" s="219"/>
      <c r="E45" s="231">
        <v>0.18</v>
      </c>
      <c r="F45" s="219"/>
      <c r="G45" s="189" t="s">
        <v>187</v>
      </c>
      <c r="H45" s="120" t="s">
        <v>143</v>
      </c>
      <c r="I45" s="123">
        <v>4</v>
      </c>
      <c r="J45" s="236"/>
      <c r="K45" s="128">
        <f t="shared" si="1"/>
        <v>0</v>
      </c>
      <c r="L45" s="128">
        <f t="shared" si="2"/>
        <v>0</v>
      </c>
    </row>
    <row r="46" spans="1:13" s="188" customFormat="1" ht="18" x14ac:dyDescent="0.2">
      <c r="A46" s="186"/>
      <c r="B46" s="186"/>
      <c r="C46" s="120">
        <v>995468</v>
      </c>
      <c r="D46" s="219"/>
      <c r="E46" s="231">
        <v>0.18</v>
      </c>
      <c r="F46" s="219"/>
      <c r="G46" s="189" t="s">
        <v>188</v>
      </c>
      <c r="H46" s="120" t="s">
        <v>163</v>
      </c>
      <c r="I46" s="123">
        <v>0</v>
      </c>
      <c r="J46" s="236"/>
      <c r="K46" s="128">
        <f t="shared" si="1"/>
        <v>0</v>
      </c>
      <c r="L46" s="128">
        <f t="shared" si="2"/>
        <v>0</v>
      </c>
    </row>
    <row r="47" spans="1:13" s="188" customFormat="1" ht="47.25" x14ac:dyDescent="0.2">
      <c r="A47" s="186" t="s">
        <v>148</v>
      </c>
      <c r="B47" s="186"/>
      <c r="C47" s="120">
        <v>995456</v>
      </c>
      <c r="D47" s="219"/>
      <c r="E47" s="231">
        <v>0.18</v>
      </c>
      <c r="F47" s="219"/>
      <c r="G47" s="195" t="s">
        <v>175</v>
      </c>
      <c r="H47" s="120" t="s">
        <v>124</v>
      </c>
      <c r="I47" s="123">
        <f>10+10</f>
        <v>20</v>
      </c>
      <c r="J47" s="236"/>
      <c r="K47" s="131">
        <f t="shared" si="1"/>
        <v>0</v>
      </c>
      <c r="L47" s="128">
        <f t="shared" si="2"/>
        <v>0</v>
      </c>
    </row>
    <row r="48" spans="1:13" s="188" customFormat="1" ht="31.5" x14ac:dyDescent="0.2">
      <c r="A48" s="186" t="s">
        <v>181</v>
      </c>
      <c r="B48" s="186"/>
      <c r="C48" s="120">
        <v>995456</v>
      </c>
      <c r="D48" s="219"/>
      <c r="E48" s="231">
        <v>0.18</v>
      </c>
      <c r="F48" s="219"/>
      <c r="G48" s="196" t="s">
        <v>122</v>
      </c>
      <c r="H48" s="120" t="s">
        <v>124</v>
      </c>
      <c r="I48" s="123">
        <f>5+5</f>
        <v>10</v>
      </c>
      <c r="J48" s="236"/>
      <c r="K48" s="131">
        <f t="shared" si="1"/>
        <v>0</v>
      </c>
      <c r="L48" s="128">
        <f t="shared" si="2"/>
        <v>0</v>
      </c>
    </row>
    <row r="49" spans="1:12" s="188" customFormat="1" ht="31.5" x14ac:dyDescent="0.2">
      <c r="A49" s="186" t="s">
        <v>182</v>
      </c>
      <c r="B49" s="186"/>
      <c r="C49" s="120">
        <v>995456</v>
      </c>
      <c r="D49" s="219"/>
      <c r="E49" s="231">
        <v>0.18</v>
      </c>
      <c r="F49" s="219"/>
      <c r="G49" s="196" t="s">
        <v>161</v>
      </c>
      <c r="H49" s="120" t="s">
        <v>124</v>
      </c>
      <c r="I49" s="123">
        <f>5+5</f>
        <v>10</v>
      </c>
      <c r="J49" s="236"/>
      <c r="K49" s="131">
        <f t="shared" si="1"/>
        <v>0</v>
      </c>
      <c r="L49" s="128">
        <f t="shared" si="2"/>
        <v>0</v>
      </c>
    </row>
    <row r="50" spans="1:12" s="188" customFormat="1" ht="18" x14ac:dyDescent="0.2">
      <c r="A50" s="186" t="s">
        <v>149</v>
      </c>
      <c r="B50" s="186"/>
      <c r="C50" s="120">
        <v>995456</v>
      </c>
      <c r="D50" s="219"/>
      <c r="E50" s="231">
        <v>0.18</v>
      </c>
      <c r="F50" s="219"/>
      <c r="G50" s="196" t="s">
        <v>150</v>
      </c>
      <c r="H50" s="120" t="s">
        <v>124</v>
      </c>
      <c r="I50" s="123">
        <f>5+5</f>
        <v>10</v>
      </c>
      <c r="J50" s="236"/>
      <c r="K50" s="131">
        <f t="shared" si="1"/>
        <v>0</v>
      </c>
      <c r="L50" s="128">
        <f t="shared" si="2"/>
        <v>0</v>
      </c>
    </row>
    <row r="51" spans="1:12" s="188" customFormat="1" ht="31.5" x14ac:dyDescent="0.2">
      <c r="A51" s="186" t="s">
        <v>166</v>
      </c>
      <c r="B51" s="186"/>
      <c r="C51" s="120">
        <v>995456</v>
      </c>
      <c r="D51" s="219"/>
      <c r="E51" s="231">
        <v>0.18</v>
      </c>
      <c r="F51" s="219"/>
      <c r="G51" s="196" t="s">
        <v>176</v>
      </c>
      <c r="H51" s="120" t="s">
        <v>124</v>
      </c>
      <c r="I51" s="123">
        <v>0</v>
      </c>
      <c r="J51" s="236"/>
      <c r="K51" s="131"/>
      <c r="L51" s="128"/>
    </row>
    <row r="52" spans="1:12" s="188" customFormat="1" ht="18" x14ac:dyDescent="0.2">
      <c r="A52" s="186"/>
      <c r="B52" s="186"/>
      <c r="C52" s="120"/>
      <c r="D52" s="219"/>
      <c r="E52" s="231"/>
      <c r="F52" s="219"/>
      <c r="G52" s="196" t="s">
        <v>327</v>
      </c>
      <c r="H52" s="120"/>
      <c r="I52" s="123"/>
      <c r="J52" s="236"/>
      <c r="K52" s="131"/>
      <c r="L52" s="128"/>
    </row>
    <row r="53" spans="1:12" s="188" customFormat="1" ht="114.75" x14ac:dyDescent="0.2">
      <c r="A53" s="186" t="s">
        <v>167</v>
      </c>
      <c r="B53" s="186"/>
      <c r="C53" s="120"/>
      <c r="D53" s="219"/>
      <c r="E53" s="231">
        <v>0.18</v>
      </c>
      <c r="F53" s="219"/>
      <c r="G53" s="226" t="s">
        <v>330</v>
      </c>
      <c r="H53" s="225" t="s">
        <v>328</v>
      </c>
      <c r="I53" s="123">
        <v>51.3</v>
      </c>
      <c r="J53" s="236"/>
      <c r="K53" s="131">
        <f>I53*J53</f>
        <v>0</v>
      </c>
      <c r="L53" s="128">
        <f t="shared" ref="L53:L60" si="3">IF(ISBLANK(F53),E53*K53,F53*K53)</f>
        <v>0</v>
      </c>
    </row>
    <row r="54" spans="1:12" s="188" customFormat="1" ht="63.75" x14ac:dyDescent="0.2">
      <c r="A54" s="186" t="s">
        <v>183</v>
      </c>
      <c r="B54" s="186"/>
      <c r="C54" s="120"/>
      <c r="D54" s="219"/>
      <c r="E54" s="231">
        <v>0.18</v>
      </c>
      <c r="F54" s="219"/>
      <c r="G54" s="226" t="s">
        <v>331</v>
      </c>
      <c r="H54" s="225" t="s">
        <v>328</v>
      </c>
      <c r="I54" s="123">
        <v>10</v>
      </c>
      <c r="J54" s="236"/>
      <c r="K54" s="131">
        <f>I54*J54</f>
        <v>0</v>
      </c>
      <c r="L54" s="128">
        <f t="shared" si="3"/>
        <v>0</v>
      </c>
    </row>
    <row r="55" spans="1:12" s="188" customFormat="1" ht="63.75" x14ac:dyDescent="0.2">
      <c r="A55" s="186" t="s">
        <v>184</v>
      </c>
      <c r="B55" s="186"/>
      <c r="C55" s="120"/>
      <c r="D55" s="219"/>
      <c r="E55" s="231">
        <v>0.18</v>
      </c>
      <c r="F55" s="219"/>
      <c r="G55" s="226" t="s">
        <v>334</v>
      </c>
      <c r="H55" s="225" t="s">
        <v>328</v>
      </c>
      <c r="I55" s="123">
        <v>10</v>
      </c>
      <c r="J55" s="236"/>
      <c r="K55" s="131">
        <f>I55*J55</f>
        <v>0</v>
      </c>
      <c r="L55" s="128">
        <f t="shared" si="3"/>
        <v>0</v>
      </c>
    </row>
    <row r="56" spans="1:12" s="188" customFormat="1" ht="102" x14ac:dyDescent="0.2">
      <c r="A56" s="186" t="s">
        <v>185</v>
      </c>
      <c r="B56" s="186"/>
      <c r="C56" s="120"/>
      <c r="D56" s="219"/>
      <c r="E56" s="231">
        <v>0.18</v>
      </c>
      <c r="F56" s="219"/>
      <c r="G56" s="227" t="s">
        <v>332</v>
      </c>
      <c r="H56" s="225" t="s">
        <v>329</v>
      </c>
      <c r="I56" s="123">
        <v>2.5499999999999998</v>
      </c>
      <c r="J56" s="236"/>
      <c r="K56" s="131">
        <f>I56*J56</f>
        <v>0</v>
      </c>
      <c r="L56" s="128">
        <f t="shared" si="3"/>
        <v>0</v>
      </c>
    </row>
    <row r="57" spans="1:12" s="188" customFormat="1" ht="63.75" x14ac:dyDescent="0.2">
      <c r="A57" s="186" t="s">
        <v>186</v>
      </c>
      <c r="B57" s="186"/>
      <c r="C57" s="120"/>
      <c r="D57" s="219"/>
      <c r="E57" s="231">
        <v>0.18</v>
      </c>
      <c r="F57" s="219"/>
      <c r="G57" s="226" t="s">
        <v>333</v>
      </c>
      <c r="H57" s="225" t="s">
        <v>125</v>
      </c>
      <c r="I57" s="123">
        <v>55.237000000000002</v>
      </c>
      <c r="J57" s="236"/>
      <c r="K57" s="131">
        <f>I57*J57</f>
        <v>0</v>
      </c>
      <c r="L57" s="128">
        <f t="shared" si="3"/>
        <v>0</v>
      </c>
    </row>
    <row r="58" spans="1:12" s="188" customFormat="1" ht="18" x14ac:dyDescent="0.2">
      <c r="A58" s="186"/>
      <c r="B58" s="186"/>
      <c r="C58" s="120"/>
      <c r="D58" s="219"/>
      <c r="E58" s="231"/>
      <c r="F58" s="219"/>
      <c r="G58" s="229" t="s">
        <v>335</v>
      </c>
      <c r="H58" s="225"/>
      <c r="I58" s="123"/>
      <c r="J58" s="236"/>
      <c r="K58" s="131"/>
      <c r="L58" s="128"/>
    </row>
    <row r="59" spans="1:12" s="188" customFormat="1" ht="57" x14ac:dyDescent="0.2">
      <c r="A59" s="186" t="s">
        <v>341</v>
      </c>
      <c r="B59" s="186"/>
      <c r="C59" s="120"/>
      <c r="D59" s="219"/>
      <c r="E59" s="231">
        <v>0.18</v>
      </c>
      <c r="F59" s="219"/>
      <c r="G59" s="230" t="s">
        <v>336</v>
      </c>
      <c r="H59" s="225" t="s">
        <v>125</v>
      </c>
      <c r="I59" s="123">
        <v>201.48</v>
      </c>
      <c r="J59" s="236"/>
      <c r="K59" s="131">
        <f>I59*J59</f>
        <v>0</v>
      </c>
      <c r="L59" s="128">
        <f t="shared" si="3"/>
        <v>0</v>
      </c>
    </row>
    <row r="60" spans="1:12" s="188" customFormat="1" ht="42.75" x14ac:dyDescent="0.2">
      <c r="A60" s="186" t="s">
        <v>342</v>
      </c>
      <c r="B60" s="186"/>
      <c r="C60" s="120"/>
      <c r="D60" s="219"/>
      <c r="E60" s="231">
        <v>0.18</v>
      </c>
      <c r="F60" s="219"/>
      <c r="G60" s="230" t="s">
        <v>337</v>
      </c>
      <c r="H60" s="225" t="s">
        <v>125</v>
      </c>
      <c r="I60" s="123">
        <v>10.89</v>
      </c>
      <c r="J60" s="236"/>
      <c r="K60" s="131">
        <f>I60*J60</f>
        <v>0</v>
      </c>
      <c r="L60" s="128">
        <f t="shared" si="3"/>
        <v>0</v>
      </c>
    </row>
    <row r="61" spans="1:12" s="188" customFormat="1" ht="110.25" x14ac:dyDescent="0.2">
      <c r="A61" s="186" t="s">
        <v>343</v>
      </c>
      <c r="B61" s="186"/>
      <c r="C61" s="120">
        <v>995468</v>
      </c>
      <c r="D61" s="219"/>
      <c r="E61" s="231">
        <v>0.18</v>
      </c>
      <c r="F61" s="219"/>
      <c r="G61" s="197" t="s">
        <v>177</v>
      </c>
      <c r="H61" s="120" t="s">
        <v>123</v>
      </c>
      <c r="I61" s="199">
        <v>2.5489999999999999</v>
      </c>
      <c r="J61" s="236"/>
      <c r="K61" s="128">
        <f t="shared" si="1"/>
        <v>0</v>
      </c>
      <c r="L61" s="128">
        <f t="shared" si="2"/>
        <v>0</v>
      </c>
    </row>
    <row r="62" spans="1:12" s="188" customFormat="1" ht="110.25" x14ac:dyDescent="0.2">
      <c r="A62" s="186" t="s">
        <v>344</v>
      </c>
      <c r="B62" s="186"/>
      <c r="C62" s="120"/>
      <c r="D62" s="219"/>
      <c r="E62" s="231">
        <v>0.18</v>
      </c>
      <c r="F62" s="219"/>
      <c r="G62" s="197" t="s">
        <v>304</v>
      </c>
      <c r="H62" s="120" t="s">
        <v>305</v>
      </c>
      <c r="I62" s="123">
        <f>1.05</f>
        <v>1.05</v>
      </c>
      <c r="J62" s="236"/>
      <c r="K62" s="128">
        <f t="shared" si="1"/>
        <v>0</v>
      </c>
      <c r="L62" s="128">
        <f t="shared" si="2"/>
        <v>0</v>
      </c>
    </row>
    <row r="63" spans="1:12" s="188" customFormat="1" ht="31.5" x14ac:dyDescent="0.25">
      <c r="A63" s="186" t="s">
        <v>345</v>
      </c>
      <c r="B63" s="186"/>
      <c r="C63" s="120">
        <v>995421</v>
      </c>
      <c r="D63" s="219"/>
      <c r="E63" s="231">
        <v>0.18</v>
      </c>
      <c r="F63" s="219"/>
      <c r="G63" s="198" t="s">
        <v>160</v>
      </c>
      <c r="H63" s="127" t="s">
        <v>163</v>
      </c>
      <c r="I63" s="123">
        <f>2+2</f>
        <v>4</v>
      </c>
      <c r="J63" s="236"/>
      <c r="K63" s="128">
        <f t="shared" si="1"/>
        <v>0</v>
      </c>
      <c r="L63" s="128">
        <f t="shared" si="2"/>
        <v>0</v>
      </c>
    </row>
    <row r="64" spans="1:12" s="188" customFormat="1" ht="82.5" customHeight="1" x14ac:dyDescent="0.2">
      <c r="A64" s="186" t="s">
        <v>346</v>
      </c>
      <c r="B64" s="186"/>
      <c r="C64" s="120">
        <v>995468</v>
      </c>
      <c r="D64" s="219"/>
      <c r="E64" s="231">
        <v>0.18</v>
      </c>
      <c r="F64" s="219"/>
      <c r="G64" s="192" t="s">
        <v>178</v>
      </c>
      <c r="H64" s="120" t="s">
        <v>123</v>
      </c>
      <c r="I64" s="123">
        <f>1.059+2.786</f>
        <v>3.8449999999999998</v>
      </c>
      <c r="J64" s="236"/>
      <c r="K64" s="128">
        <f t="shared" si="1"/>
        <v>0</v>
      </c>
      <c r="L64" s="128">
        <f t="shared" si="2"/>
        <v>0</v>
      </c>
    </row>
    <row r="65" spans="1:12" s="188" customFormat="1" ht="78.75" x14ac:dyDescent="0.2">
      <c r="A65" s="186" t="s">
        <v>347</v>
      </c>
      <c r="B65" s="186"/>
      <c r="C65" s="120">
        <v>995431</v>
      </c>
      <c r="D65" s="219"/>
      <c r="E65" s="231">
        <v>0.18</v>
      </c>
      <c r="F65" s="219"/>
      <c r="G65" s="187" t="s">
        <v>164</v>
      </c>
      <c r="H65" s="120" t="s">
        <v>125</v>
      </c>
      <c r="I65" s="123">
        <f>37.07+137.76</f>
        <v>174.82999999999998</v>
      </c>
      <c r="J65" s="236"/>
      <c r="K65" s="128">
        <f t="shared" si="1"/>
        <v>0</v>
      </c>
      <c r="L65" s="128">
        <f t="shared" si="2"/>
        <v>0</v>
      </c>
    </row>
    <row r="66" spans="1:12" s="188" customFormat="1" ht="94.5" x14ac:dyDescent="0.2">
      <c r="A66" s="186" t="s">
        <v>348</v>
      </c>
      <c r="B66" s="186"/>
      <c r="C66" s="120">
        <v>995455</v>
      </c>
      <c r="D66" s="219"/>
      <c r="E66" s="231">
        <v>0.18</v>
      </c>
      <c r="F66" s="219"/>
      <c r="G66" s="187" t="s">
        <v>303</v>
      </c>
      <c r="H66" s="120" t="s">
        <v>163</v>
      </c>
      <c r="I66" s="123">
        <f>8+32</f>
        <v>40</v>
      </c>
      <c r="J66" s="236"/>
      <c r="K66" s="128">
        <f t="shared" si="1"/>
        <v>0</v>
      </c>
      <c r="L66" s="128">
        <f t="shared" si="2"/>
        <v>0</v>
      </c>
    </row>
    <row r="67" spans="1:12" s="188" customFormat="1" ht="47.25" x14ac:dyDescent="0.2">
      <c r="A67" s="186" t="s">
        <v>349</v>
      </c>
      <c r="B67" s="186"/>
      <c r="C67" s="120"/>
      <c r="D67" s="219"/>
      <c r="E67" s="231">
        <v>0.18</v>
      </c>
      <c r="F67" s="219"/>
      <c r="G67" s="187" t="s">
        <v>310</v>
      </c>
      <c r="H67" s="120" t="s">
        <v>311</v>
      </c>
      <c r="I67" s="123">
        <f>4+9</f>
        <v>13</v>
      </c>
      <c r="J67" s="236"/>
      <c r="K67" s="128">
        <f t="shared" si="1"/>
        <v>0</v>
      </c>
      <c r="L67" s="128">
        <f t="shared" si="2"/>
        <v>0</v>
      </c>
    </row>
    <row r="68" spans="1:12" s="188" customFormat="1" ht="18" x14ac:dyDescent="0.2">
      <c r="A68" s="186" t="s">
        <v>350</v>
      </c>
      <c r="B68" s="186"/>
      <c r="C68" s="120"/>
      <c r="D68" s="219"/>
      <c r="E68" s="231">
        <v>0.18</v>
      </c>
      <c r="F68" s="219"/>
      <c r="G68" s="187" t="s">
        <v>312</v>
      </c>
      <c r="H68" s="120" t="s">
        <v>125</v>
      </c>
      <c r="I68" s="123">
        <f>20+10</f>
        <v>30</v>
      </c>
      <c r="J68" s="236"/>
      <c r="K68" s="128">
        <f t="shared" si="1"/>
        <v>0</v>
      </c>
      <c r="L68" s="128">
        <f t="shared" si="2"/>
        <v>0</v>
      </c>
    </row>
    <row r="69" spans="1:12" s="188" customFormat="1" ht="47.25" x14ac:dyDescent="0.2">
      <c r="A69" s="186" t="s">
        <v>351</v>
      </c>
      <c r="B69" s="186"/>
      <c r="C69" s="120"/>
      <c r="D69" s="219"/>
      <c r="E69" s="231">
        <v>0.18</v>
      </c>
      <c r="F69" s="219"/>
      <c r="G69" s="187" t="s">
        <v>306</v>
      </c>
      <c r="H69" s="120" t="s">
        <v>307</v>
      </c>
      <c r="I69" s="123">
        <v>1</v>
      </c>
      <c r="J69" s="236"/>
      <c r="K69" s="128">
        <f t="shared" si="1"/>
        <v>0</v>
      </c>
      <c r="L69" s="128">
        <f t="shared" si="2"/>
        <v>0</v>
      </c>
    </row>
    <row r="70" spans="1:12" s="188" customFormat="1" ht="18.75" x14ac:dyDescent="0.2">
      <c r="A70" s="199"/>
      <c r="B70" s="200"/>
      <c r="C70" s="199"/>
      <c r="D70" s="199"/>
      <c r="E70" s="201"/>
      <c r="F70" s="199"/>
      <c r="G70" s="239" t="s">
        <v>145</v>
      </c>
      <c r="H70" s="240"/>
      <c r="I70" s="240"/>
      <c r="J70" s="241"/>
      <c r="K70" s="202">
        <f>SUM(K15:K69)</f>
        <v>0</v>
      </c>
      <c r="L70" s="202">
        <f>SUM(L15:L66)</f>
        <v>0</v>
      </c>
    </row>
    <row r="71" spans="1:12" s="188" customFormat="1" ht="18.75" x14ac:dyDescent="0.2">
      <c r="A71" s="199"/>
      <c r="B71" s="200"/>
      <c r="C71" s="199"/>
      <c r="D71" s="199"/>
      <c r="E71" s="201"/>
      <c r="F71" s="199"/>
      <c r="G71" s="239" t="s">
        <v>146</v>
      </c>
      <c r="H71" s="240"/>
      <c r="I71" s="240"/>
      <c r="J71" s="241"/>
      <c r="K71" s="237">
        <f>K70+L70</f>
        <v>0</v>
      </c>
      <c r="L71" s="237"/>
    </row>
    <row r="72" spans="1:12" ht="43.5" customHeight="1" x14ac:dyDescent="0.25">
      <c r="A72" s="124" t="s">
        <v>43</v>
      </c>
      <c r="B72" s="124"/>
      <c r="C72" s="124"/>
      <c r="D72" s="124"/>
      <c r="E72" s="124"/>
      <c r="F72" s="125"/>
      <c r="G72" s="125"/>
      <c r="H72" s="126"/>
      <c r="I72" s="125"/>
      <c r="J72" s="125"/>
      <c r="K72" s="129"/>
    </row>
    <row r="73" spans="1:12" ht="63" customHeight="1" x14ac:dyDescent="0.25">
      <c r="A73" s="124"/>
      <c r="B73" s="124"/>
      <c r="C73" s="124"/>
      <c r="D73" s="124"/>
      <c r="E73" s="124"/>
      <c r="F73" s="125"/>
      <c r="G73" s="125"/>
      <c r="H73" s="126"/>
      <c r="I73" s="125"/>
      <c r="J73" s="125"/>
      <c r="K73" s="129"/>
    </row>
    <row r="74" spans="1:12" x14ac:dyDescent="0.25">
      <c r="A74" s="126" t="s">
        <v>38</v>
      </c>
      <c r="B74" s="125"/>
      <c r="C74" s="130">
        <f>'Names of Bidder'!C21</f>
        <v>0</v>
      </c>
      <c r="D74" s="125"/>
      <c r="E74" s="125"/>
      <c r="F74" s="125"/>
      <c r="G74" s="125"/>
      <c r="H74" s="126" t="s">
        <v>39</v>
      </c>
      <c r="I74" s="125"/>
      <c r="J74" s="204">
        <f>'Names of Bidder'!C18</f>
        <v>0</v>
      </c>
      <c r="K74" s="129"/>
    </row>
    <row r="75" spans="1:12" x14ac:dyDescent="0.25">
      <c r="A75" s="126" t="s">
        <v>40</v>
      </c>
      <c r="B75" s="125"/>
      <c r="C75" s="130">
        <f>'Names of Bidder'!C22</f>
        <v>0</v>
      </c>
      <c r="D75" s="125"/>
      <c r="E75" s="125"/>
      <c r="F75" s="125"/>
      <c r="G75" s="125"/>
      <c r="H75" s="126" t="s">
        <v>41</v>
      </c>
      <c r="I75" s="125"/>
      <c r="J75" s="204">
        <f>'Names of Bidder'!C19</f>
        <v>0</v>
      </c>
      <c r="K75" s="129"/>
      <c r="L75" s="205"/>
    </row>
    <row r="76" spans="1:12" x14ac:dyDescent="0.25">
      <c r="C76" s="130"/>
    </row>
    <row r="80" spans="1:12" x14ac:dyDescent="0.2">
      <c r="K80" s="224"/>
    </row>
    <row r="86" spans="11:11" x14ac:dyDescent="0.2">
      <c r="K86" s="224"/>
    </row>
  </sheetData>
  <sheetProtection algorithmName="SHA-512" hashValue="ERfVYwTvDvSv1ZTK6Fk5FhfgRJFkt15POsxyhqd7KoU2Idc4tPxrfSZ69kGY93hvWQtjfNCXwENCvIiPX06DFA==" saltValue="panVXmZRN3Lrt5T0tE6O9A==" spinCount="100000" sheet="1" objects="1" scenarios="1"/>
  <mergeCells count="32">
    <mergeCell ref="J8:L8"/>
    <mergeCell ref="J9:L9"/>
    <mergeCell ref="J10:L10"/>
    <mergeCell ref="A7:B7"/>
    <mergeCell ref="A1:L1"/>
    <mergeCell ref="A2:L2"/>
    <mergeCell ref="C7:I7"/>
    <mergeCell ref="J7:L7"/>
    <mergeCell ref="C8:I8"/>
    <mergeCell ref="J5:L5"/>
    <mergeCell ref="A6:B6"/>
    <mergeCell ref="A4:L4"/>
    <mergeCell ref="C6:I6"/>
    <mergeCell ref="J6:L6"/>
    <mergeCell ref="A3:L3"/>
    <mergeCell ref="C5:I5"/>
    <mergeCell ref="A12:A13"/>
    <mergeCell ref="G12:G13"/>
    <mergeCell ref="L12:L13"/>
    <mergeCell ref="C9:I9"/>
    <mergeCell ref="H12:H13"/>
    <mergeCell ref="I12:I13"/>
    <mergeCell ref="J12:J13"/>
    <mergeCell ref="K12:K13"/>
    <mergeCell ref="A10:I10"/>
    <mergeCell ref="D12:D13"/>
    <mergeCell ref="F12:F13"/>
    <mergeCell ref="K71:L71"/>
    <mergeCell ref="J11:L11"/>
    <mergeCell ref="G70:J70"/>
    <mergeCell ref="G71:J71"/>
    <mergeCell ref="E12:E13"/>
  </mergeCells>
  <phoneticPr fontId="29" type="noConversion"/>
  <dataValidations xWindow="489" yWindow="726" count="3">
    <dataValidation type="decimal" operator="greaterThanOrEqual" allowBlank="1" showInputMessage="1" showErrorMessage="1" errorTitle="ERREUR" error="ENTER POSITIVE DECIMAL VALUE" prompt="Please Enter Positive Decimal Value" sqref="J15:J69" xr:uid="{95FA1ABC-CFC4-40B8-83FA-D2CD6782ACD8}">
      <formula1>0</formula1>
    </dataValidation>
    <dataValidation allowBlank="1" showInputMessage="1" showErrorMessage="1" prompt="Please Enter SAC Code" sqref="D15:D69" xr:uid="{368FA201-5141-44E3-BBBD-41E8788CC83E}"/>
    <dataValidation type="decimal" operator="greaterThanOrEqual" allowBlank="1" showInputMessage="1" showErrorMessage="1" error="ENTER GST RATE" prompt="Please Enter GST Rate" sqref="F15:F69" xr:uid="{3BF310A1-7224-46A9-A81D-5E20529753CB}">
      <formula1>0</formula1>
    </dataValidation>
  </dataValidations>
  <pageMargins left="0.25" right="0.25" top="0.75" bottom="0.75" header="0.3" footer="0.3"/>
  <pageSetup paperSize="9" scale="53" orientation="landscape" horizontalDpi="300" verticalDpi="300" r:id="rId1"/>
  <headerFooter>
    <oddFooter>&amp;LSch II Qtr NS Civil&amp;CPage &amp;P of &amp;N</oddFooter>
  </headerFooter>
  <rowBreaks count="2" manualBreakCount="2">
    <brk id="29" max="14" man="1"/>
    <brk id="3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1AC9-C66E-409D-B18A-7C4D0A214707}">
  <sheetPr codeName="Sheet6"/>
  <dimension ref="A1:D10"/>
  <sheetViews>
    <sheetView workbookViewId="0">
      <selection activeCell="A2" sqref="A2:D2"/>
    </sheetView>
  </sheetViews>
  <sheetFormatPr defaultRowHeight="12.75" x14ac:dyDescent="0.2"/>
  <cols>
    <col min="3" max="3" width="45.42578125" customWidth="1"/>
    <col min="4" max="4" width="18.42578125" customWidth="1"/>
  </cols>
  <sheetData>
    <row r="1" spans="1:4" ht="41.25" customHeight="1" x14ac:dyDescent="0.2">
      <c r="A1" s="275" t="s">
        <v>340</v>
      </c>
      <c r="B1" s="275"/>
      <c r="C1" s="275"/>
      <c r="D1" s="275"/>
    </row>
    <row r="2" spans="1:4" ht="15" x14ac:dyDescent="0.25">
      <c r="A2" s="271" t="s">
        <v>228</v>
      </c>
      <c r="B2" s="271"/>
      <c r="C2" s="271"/>
      <c r="D2" s="271"/>
    </row>
    <row r="3" spans="1:4" ht="15" x14ac:dyDescent="0.25">
      <c r="A3" s="271" t="s">
        <v>229</v>
      </c>
      <c r="B3" s="271"/>
      <c r="C3" s="271"/>
      <c r="D3" s="271"/>
    </row>
    <row r="4" spans="1:4" ht="30" x14ac:dyDescent="0.2">
      <c r="A4" s="135" t="s">
        <v>26</v>
      </c>
      <c r="B4" s="276" t="s">
        <v>34</v>
      </c>
      <c r="C4" s="276"/>
      <c r="D4" s="135" t="s">
        <v>42</v>
      </c>
    </row>
    <row r="5" spans="1:4" ht="45" customHeight="1" x14ac:dyDescent="0.2">
      <c r="A5" s="136">
        <v>1</v>
      </c>
      <c r="B5" s="276" t="s">
        <v>36</v>
      </c>
      <c r="C5" s="276"/>
      <c r="D5" s="137"/>
    </row>
    <row r="6" spans="1:4" ht="49.5" customHeight="1" x14ac:dyDescent="0.2">
      <c r="A6" s="136" t="s">
        <v>37</v>
      </c>
      <c r="B6" s="277" t="s">
        <v>230</v>
      </c>
      <c r="C6" s="277"/>
      <c r="D6" s="140">
        <f>'Sch-I Supply Works'!L72</f>
        <v>0</v>
      </c>
    </row>
    <row r="7" spans="1:4" ht="51.75" customHeight="1" x14ac:dyDescent="0.2">
      <c r="A7" s="136" t="s">
        <v>231</v>
      </c>
      <c r="B7" s="277" t="s">
        <v>232</v>
      </c>
      <c r="C7" s="277"/>
      <c r="D7" s="140">
        <f>'Sch-III Erection Works'!L70</f>
        <v>0</v>
      </c>
    </row>
    <row r="8" spans="1:4" ht="54" customHeight="1" x14ac:dyDescent="0.2">
      <c r="A8" s="136"/>
      <c r="B8" s="276" t="s">
        <v>233</v>
      </c>
      <c r="C8" s="276"/>
      <c r="D8" s="140">
        <f>SUM(D6:D7)</f>
        <v>0</v>
      </c>
    </row>
    <row r="9" spans="1:4" ht="15" x14ac:dyDescent="0.3">
      <c r="A9" s="138"/>
      <c r="B9" s="134"/>
      <c r="C9" s="134"/>
      <c r="D9" s="139"/>
    </row>
    <row r="10" spans="1:4" ht="15" x14ac:dyDescent="0.3">
      <c r="A10" s="138"/>
      <c r="B10" s="134"/>
      <c r="C10" s="134"/>
      <c r="D10" s="139"/>
    </row>
  </sheetData>
  <sheetProtection algorithmName="SHA-512" hashValue="DZdKhJ+7cFvDMvdM84NktLq5JwzVD+E97lOJzxFFGDCDyAfaEbg7ANB7zcUjV95ALVBZvqdflERK39N+HpGcEQ==" saltValue="1CEoWOiFMruHX5AQoiUQ+w==" spinCount="100000" sheet="1" objects="1" scenarios="1"/>
  <mergeCells count="8">
    <mergeCell ref="A1:D1"/>
    <mergeCell ref="A3:D3"/>
    <mergeCell ref="A2:D2"/>
    <mergeCell ref="B8:C8"/>
    <mergeCell ref="B4:C4"/>
    <mergeCell ref="B5:C5"/>
    <mergeCell ref="B6:C6"/>
    <mergeCell ref="B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8E2D7-43C3-446B-854B-E483A89694E5}">
  <sheetPr codeName="Sheet7"/>
  <dimension ref="A1:D14"/>
  <sheetViews>
    <sheetView topLeftCell="A6" workbookViewId="0">
      <selection activeCell="H7" sqref="H7"/>
    </sheetView>
  </sheetViews>
  <sheetFormatPr defaultRowHeight="12.75" x14ac:dyDescent="0.2"/>
  <cols>
    <col min="2" max="2" width="20.140625" customWidth="1"/>
    <col min="3" max="3" width="31.7109375" customWidth="1"/>
    <col min="4" max="4" width="23.7109375" customWidth="1"/>
  </cols>
  <sheetData>
    <row r="1" spans="1:4" ht="35.25" customHeight="1" x14ac:dyDescent="0.2">
      <c r="A1" s="275" t="s">
        <v>340</v>
      </c>
      <c r="B1" s="275"/>
      <c r="C1" s="275"/>
      <c r="D1" s="275"/>
    </row>
    <row r="2" spans="1:4" ht="15" x14ac:dyDescent="0.25">
      <c r="A2" s="271" t="s">
        <v>234</v>
      </c>
      <c r="B2" s="271"/>
      <c r="C2" s="271"/>
      <c r="D2" s="271"/>
    </row>
    <row r="3" spans="1:4" ht="15" x14ac:dyDescent="0.25">
      <c r="A3" s="271" t="s">
        <v>235</v>
      </c>
      <c r="B3" s="271"/>
      <c r="C3" s="271"/>
      <c r="D3" s="271"/>
    </row>
    <row r="4" spans="1:4" ht="36" x14ac:dyDescent="0.2">
      <c r="A4" s="143" t="s">
        <v>26</v>
      </c>
      <c r="B4" s="282" t="s">
        <v>18</v>
      </c>
      <c r="C4" s="282"/>
      <c r="D4" s="144" t="s">
        <v>35</v>
      </c>
    </row>
    <row r="5" spans="1:4" ht="49.5" customHeight="1" x14ac:dyDescent="0.2">
      <c r="A5" s="145" t="s">
        <v>216</v>
      </c>
      <c r="B5" s="281" t="s">
        <v>291</v>
      </c>
      <c r="C5" s="281"/>
      <c r="D5" s="141">
        <f>'Sch-I Supply Works'!K72</f>
        <v>0</v>
      </c>
    </row>
    <row r="6" spans="1:4" ht="49.5" customHeight="1" x14ac:dyDescent="0.2">
      <c r="A6" s="145" t="s">
        <v>217</v>
      </c>
      <c r="B6" s="278" t="s">
        <v>293</v>
      </c>
      <c r="C6" s="279"/>
      <c r="D6" s="207">
        <f>'Sch-III Erection Works'!K70</f>
        <v>0</v>
      </c>
    </row>
    <row r="7" spans="1:4" ht="49.5" customHeight="1" x14ac:dyDescent="0.2">
      <c r="A7" s="145" t="s">
        <v>219</v>
      </c>
      <c r="B7" s="278" t="s">
        <v>292</v>
      </c>
      <c r="C7" s="279"/>
      <c r="D7" s="141">
        <f>'Sch-I Supply Works'!L72</f>
        <v>0</v>
      </c>
    </row>
    <row r="8" spans="1:4" ht="49.5" customHeight="1" x14ac:dyDescent="0.2">
      <c r="A8" s="145" t="s">
        <v>223</v>
      </c>
      <c r="B8" s="278" t="s">
        <v>294</v>
      </c>
      <c r="C8" s="279"/>
      <c r="D8" s="207">
        <f>'Sch-III Erection Works'!L70</f>
        <v>0</v>
      </c>
    </row>
    <row r="9" spans="1:4" ht="39.75" customHeight="1" x14ac:dyDescent="0.2">
      <c r="A9" s="145" t="s">
        <v>226</v>
      </c>
      <c r="B9" s="281" t="s">
        <v>295</v>
      </c>
      <c r="C9" s="281"/>
      <c r="D9" s="142">
        <f>'Sch-II F&amp;I'!G72</f>
        <v>0</v>
      </c>
    </row>
    <row r="10" spans="1:4" ht="26.25" x14ac:dyDescent="0.2">
      <c r="A10" s="145"/>
      <c r="B10" s="280" t="s">
        <v>48</v>
      </c>
      <c r="C10" s="280"/>
      <c r="D10" s="146">
        <f>SUM(D5:D9)</f>
        <v>0</v>
      </c>
    </row>
    <row r="14" spans="1:4" x14ac:dyDescent="0.2">
      <c r="D14" s="147"/>
    </row>
  </sheetData>
  <sheetProtection algorithmName="SHA-512" hashValue="RoBQ4zmxg2FRE6QpJ2kVByO5ZmumXx/M6kcT5N5BVzZJIFiwwMSA0VrlTZ7RScZs7/1aZhncF9sm14Zr6rUKIg==" saltValue="luvBrGTEQCv7XKQNhopRDg==" spinCount="100000" sheet="1" objects="1" scenarios="1"/>
  <mergeCells count="10">
    <mergeCell ref="B6:C6"/>
    <mergeCell ref="B7:C7"/>
    <mergeCell ref="B8:C8"/>
    <mergeCell ref="A1:D1"/>
    <mergeCell ref="B10:C10"/>
    <mergeCell ref="A3:D3"/>
    <mergeCell ref="A2:D2"/>
    <mergeCell ref="B9:C9"/>
    <mergeCell ref="B4:C4"/>
    <mergeCell ref="B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7AC4-99D0-4BEB-9992-A03E5696362E}">
  <sheetPr codeName="Sheet9"/>
  <dimension ref="A1:I16"/>
  <sheetViews>
    <sheetView view="pageBreakPreview" topLeftCell="A5" zoomScale="130" zoomScaleNormal="100" zoomScaleSheetLayoutView="130" workbookViewId="0">
      <selection activeCell="D11" sqref="D11"/>
    </sheetView>
  </sheetViews>
  <sheetFormatPr defaultRowHeight="15" x14ac:dyDescent="0.3"/>
  <cols>
    <col min="1" max="1" width="8.5703125" style="15" customWidth="1"/>
    <col min="2" max="2" width="67.7109375" style="4" customWidth="1"/>
    <col min="3" max="3" width="17.85546875" style="4" customWidth="1"/>
    <col min="4" max="4" width="22.5703125" style="4" customWidth="1"/>
    <col min="5" max="16384" width="9.140625" style="4"/>
  </cols>
  <sheetData>
    <row r="1" spans="1:9" ht="36" customHeight="1" x14ac:dyDescent="0.3">
      <c r="A1" s="286" t="s">
        <v>50</v>
      </c>
      <c r="B1" s="287"/>
      <c r="C1" s="287"/>
      <c r="D1" s="288"/>
    </row>
    <row r="2" spans="1:9" x14ac:dyDescent="0.3">
      <c r="A2" s="289" t="s">
        <v>33</v>
      </c>
      <c r="B2" s="289"/>
      <c r="C2" s="289"/>
      <c r="D2" s="289"/>
    </row>
    <row r="3" spans="1:9" x14ac:dyDescent="0.3">
      <c r="A3" s="284"/>
      <c r="B3" s="290"/>
      <c r="C3" s="284" t="s">
        <v>20</v>
      </c>
      <c r="D3" s="284"/>
    </row>
    <row r="4" spans="1:9" x14ac:dyDescent="0.3">
      <c r="A4" s="28" t="s">
        <v>56</v>
      </c>
      <c r="B4" s="114"/>
      <c r="C4" s="283" t="s">
        <v>21</v>
      </c>
      <c r="D4" s="284"/>
    </row>
    <row r="5" spans="1:9" x14ac:dyDescent="0.3">
      <c r="A5" s="28" t="s">
        <v>57</v>
      </c>
      <c r="B5" s="110">
        <f>'Names of Bidder'!C9</f>
        <v>0</v>
      </c>
      <c r="C5" s="283" t="s">
        <v>22</v>
      </c>
      <c r="D5" s="284"/>
    </row>
    <row r="6" spans="1:9" x14ac:dyDescent="0.3">
      <c r="A6" s="29"/>
      <c r="B6" s="110">
        <f>'Names of Bidder'!C10</f>
        <v>0</v>
      </c>
      <c r="C6" s="283" t="s">
        <v>23</v>
      </c>
      <c r="D6" s="284"/>
    </row>
    <row r="7" spans="1:9" x14ac:dyDescent="0.3">
      <c r="A7" s="29"/>
      <c r="B7" s="110">
        <f>'Names of Bidder'!C11</f>
        <v>0</v>
      </c>
      <c r="C7" s="283" t="s">
        <v>24</v>
      </c>
      <c r="D7" s="284"/>
    </row>
    <row r="8" spans="1:9" x14ac:dyDescent="0.3">
      <c r="A8" s="18"/>
      <c r="B8" s="30"/>
      <c r="C8" s="284" t="s">
        <v>25</v>
      </c>
      <c r="D8" s="284"/>
    </row>
    <row r="9" spans="1:9" ht="30" x14ac:dyDescent="0.3">
      <c r="A9" s="11" t="s">
        <v>26</v>
      </c>
      <c r="B9" s="285" t="s">
        <v>34</v>
      </c>
      <c r="C9" s="285"/>
      <c r="D9" s="11" t="s">
        <v>42</v>
      </c>
      <c r="I9" s="47"/>
    </row>
    <row r="10" spans="1:9" ht="33" customHeight="1" x14ac:dyDescent="0.3">
      <c r="A10" s="13">
        <v>1</v>
      </c>
      <c r="B10" s="285" t="s">
        <v>36</v>
      </c>
      <c r="C10" s="285"/>
      <c r="D10" s="6"/>
    </row>
    <row r="11" spans="1:9" ht="46.5" customHeight="1" x14ac:dyDescent="0.3">
      <c r="A11" s="13" t="s">
        <v>126</v>
      </c>
      <c r="B11" s="285" t="s">
        <v>128</v>
      </c>
      <c r="C11" s="285"/>
      <c r="D11" s="16" t="e">
        <f>#REF!</f>
        <v>#REF!</v>
      </c>
    </row>
    <row r="12" spans="1:9" x14ac:dyDescent="0.3">
      <c r="A12" s="13">
        <v>2</v>
      </c>
      <c r="B12" s="285" t="s">
        <v>127</v>
      </c>
      <c r="C12" s="285"/>
      <c r="D12" s="16" t="e">
        <f>SUM(D11:D11)</f>
        <v>#REF!</v>
      </c>
    </row>
    <row r="13" spans="1:9" x14ac:dyDescent="0.3">
      <c r="A13" s="12"/>
      <c r="D13" s="7"/>
    </row>
    <row r="14" spans="1:9" x14ac:dyDescent="0.3">
      <c r="A14" s="12"/>
      <c r="D14" s="7"/>
    </row>
    <row r="15" spans="1:9" x14ac:dyDescent="0.3">
      <c r="A15" s="12" t="s">
        <v>38</v>
      </c>
      <c r="B15" s="8">
        <f>'[2]Names of Bidder'!G27</f>
        <v>0</v>
      </c>
      <c r="C15" s="27" t="s">
        <v>39</v>
      </c>
      <c r="D15" s="5">
        <f>'[2]Names of Bidder'!G24</f>
        <v>0</v>
      </c>
    </row>
    <row r="16" spans="1:9" x14ac:dyDescent="0.3">
      <c r="A16" s="14" t="s">
        <v>40</v>
      </c>
      <c r="B16" s="9">
        <f>'[2]Names of Bidder'!G28</f>
        <v>0</v>
      </c>
      <c r="C16" s="116" t="s">
        <v>41</v>
      </c>
      <c r="D16" s="10">
        <f>'[2]Names of Bidder'!G25</f>
        <v>0</v>
      </c>
    </row>
  </sheetData>
  <mergeCells count="13">
    <mergeCell ref="C5:D5"/>
    <mergeCell ref="A1:D1"/>
    <mergeCell ref="A2:D2"/>
    <mergeCell ref="A3:B3"/>
    <mergeCell ref="C3:D3"/>
    <mergeCell ref="C4:D4"/>
    <mergeCell ref="C6:D6"/>
    <mergeCell ref="B12:C12"/>
    <mergeCell ref="C7:D7"/>
    <mergeCell ref="C8:D8"/>
    <mergeCell ref="B9:C9"/>
    <mergeCell ref="B10:C10"/>
    <mergeCell ref="B11:C11"/>
  </mergeCells>
  <pageMargins left="0.7" right="0.7" top="0.75" bottom="0.75" header="0.3" footer="0.3"/>
  <pageSetup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EC4A-0C2E-4776-9A06-834B7D57D80E}">
  <sheetPr codeName="Sheet10"/>
  <dimension ref="A1:O21"/>
  <sheetViews>
    <sheetView view="pageBreakPreview" zoomScale="85" zoomScaleNormal="100" zoomScaleSheetLayoutView="85" workbookViewId="0">
      <selection activeCell="D13" sqref="D13"/>
    </sheetView>
  </sheetViews>
  <sheetFormatPr defaultRowHeight="18.75" x14ac:dyDescent="0.3"/>
  <cols>
    <col min="1" max="1" width="11.5703125" style="42" customWidth="1"/>
    <col min="2" max="2" width="64.42578125" style="4" customWidth="1"/>
    <col min="3" max="3" width="19.7109375" style="4" customWidth="1"/>
    <col min="4" max="4" width="30.28515625" style="4" customWidth="1"/>
    <col min="5" max="5" width="2.28515625" style="4" hidden="1" customWidth="1"/>
    <col min="6" max="6" width="11.5703125" style="4" bestFit="1" customWidth="1"/>
    <col min="7" max="16384" width="9.140625" style="4"/>
  </cols>
  <sheetData>
    <row r="1" spans="1:15" ht="26.25" x14ac:dyDescent="0.3">
      <c r="A1" s="299" t="s">
        <v>51</v>
      </c>
      <c r="B1" s="299"/>
      <c r="C1" s="299"/>
      <c r="D1" s="299"/>
      <c r="E1" s="17"/>
      <c r="F1" s="46"/>
      <c r="G1" s="46"/>
      <c r="H1" s="46"/>
      <c r="I1" s="46"/>
      <c r="J1" s="46"/>
      <c r="K1" s="46"/>
      <c r="L1" s="46"/>
      <c r="M1" s="46"/>
      <c r="N1" s="46"/>
      <c r="O1" s="46"/>
    </row>
    <row r="2" spans="1:15" ht="20.25" x14ac:dyDescent="0.3">
      <c r="A2" s="300" t="s">
        <v>52</v>
      </c>
      <c r="B2" s="300"/>
      <c r="C2" s="300"/>
      <c r="D2" s="300"/>
    </row>
    <row r="3" spans="1:15" ht="15" x14ac:dyDescent="0.3">
      <c r="A3" s="284"/>
      <c r="B3" s="284"/>
      <c r="C3" s="284" t="s">
        <v>20</v>
      </c>
      <c r="D3" s="284"/>
    </row>
    <row r="4" spans="1:15" ht="15" x14ac:dyDescent="0.3">
      <c r="A4" s="1" t="s">
        <v>56</v>
      </c>
      <c r="B4" s="110">
        <f>'Names of Bidder'!C8</f>
        <v>0</v>
      </c>
      <c r="C4" s="3" t="s">
        <v>21</v>
      </c>
      <c r="D4" s="3"/>
    </row>
    <row r="5" spans="1:15" ht="15" x14ac:dyDescent="0.3">
      <c r="A5" s="1" t="s">
        <v>57</v>
      </c>
      <c r="B5" s="110">
        <f>'Names of Bidder'!C9</f>
        <v>0</v>
      </c>
      <c r="C5" s="3" t="s">
        <v>22</v>
      </c>
      <c r="D5" s="3"/>
    </row>
    <row r="6" spans="1:15" ht="18" x14ac:dyDescent="0.3">
      <c r="A6" s="37"/>
      <c r="B6" s="110">
        <f>'Names of Bidder'!C10</f>
        <v>0</v>
      </c>
      <c r="C6" s="3" t="s">
        <v>23</v>
      </c>
      <c r="D6" s="3"/>
    </row>
    <row r="7" spans="1:15" ht="18" x14ac:dyDescent="0.3">
      <c r="A7" s="37"/>
      <c r="B7" s="110">
        <f>'Names of Bidder'!C11</f>
        <v>0</v>
      </c>
      <c r="C7" s="3" t="s">
        <v>24</v>
      </c>
      <c r="D7" s="3"/>
    </row>
    <row r="8" spans="1:15" ht="15" x14ac:dyDescent="0.3">
      <c r="A8" s="301"/>
      <c r="B8" s="301"/>
      <c r="C8" s="3" t="s">
        <v>25</v>
      </c>
      <c r="D8" s="3"/>
    </row>
    <row r="9" spans="1:15" s="20" customFormat="1" ht="33" customHeight="1" x14ac:dyDescent="0.2">
      <c r="A9" s="38" t="s">
        <v>26</v>
      </c>
      <c r="B9" s="302" t="s">
        <v>18</v>
      </c>
      <c r="C9" s="302"/>
      <c r="D9" s="19" t="s">
        <v>35</v>
      </c>
      <c r="E9" s="19" t="s">
        <v>35</v>
      </c>
    </row>
    <row r="10" spans="1:15" s="20" customFormat="1" ht="33" customHeight="1" x14ac:dyDescent="0.2">
      <c r="A10" s="38">
        <v>1</v>
      </c>
      <c r="B10" s="298" t="s">
        <v>49</v>
      </c>
      <c r="C10" s="298"/>
      <c r="D10" s="19"/>
      <c r="E10" s="35"/>
    </row>
    <row r="11" spans="1:15" ht="33" customHeight="1" x14ac:dyDescent="0.3">
      <c r="A11" s="36" t="s">
        <v>37</v>
      </c>
      <c r="B11" s="292" t="s">
        <v>129</v>
      </c>
      <c r="C11" s="292"/>
      <c r="D11" s="3"/>
      <c r="E11" s="3"/>
    </row>
    <row r="12" spans="1:15" ht="66.75" customHeight="1" x14ac:dyDescent="0.3">
      <c r="A12" s="36"/>
      <c r="B12" s="293" t="s">
        <v>136</v>
      </c>
      <c r="C12" s="293"/>
      <c r="D12" s="2">
        <f>+'Sch-III Erection Works'!K70</f>
        <v>0</v>
      </c>
      <c r="E12" s="21">
        <f>+D12</f>
        <v>0</v>
      </c>
      <c r="F12" s="22"/>
    </row>
    <row r="13" spans="1:15" ht="36" customHeight="1" x14ac:dyDescent="0.3">
      <c r="A13" s="36"/>
      <c r="B13" s="294" t="s">
        <v>46</v>
      </c>
      <c r="C13" s="295"/>
      <c r="D13" s="44" t="e">
        <f>(#REF!+D12)</f>
        <v>#REF!</v>
      </c>
      <c r="E13" s="21"/>
      <c r="F13" s="22"/>
    </row>
    <row r="14" spans="1:15" ht="36" customHeight="1" x14ac:dyDescent="0.3">
      <c r="A14" s="36"/>
      <c r="B14" s="294"/>
      <c r="C14" s="295"/>
      <c r="D14" s="2"/>
      <c r="E14" s="21"/>
      <c r="F14" s="22"/>
    </row>
    <row r="15" spans="1:15" ht="33" customHeight="1" x14ac:dyDescent="0.3">
      <c r="A15" s="43">
        <v>2</v>
      </c>
      <c r="B15" s="296" t="s">
        <v>47</v>
      </c>
      <c r="C15" s="297"/>
      <c r="D15" s="45" t="e">
        <f>+'Sch-5 Taxes and duties'!D12</f>
        <v>#REF!</v>
      </c>
      <c r="E15" s="3"/>
    </row>
    <row r="16" spans="1:15" ht="37.5" customHeight="1" x14ac:dyDescent="0.3">
      <c r="A16" s="36"/>
      <c r="B16" s="33"/>
      <c r="C16" s="34"/>
      <c r="D16" s="2"/>
      <c r="E16" s="23"/>
    </row>
    <row r="17" spans="1:5" ht="33" customHeight="1" x14ac:dyDescent="0.3">
      <c r="A17" s="36"/>
      <c r="B17" s="291" t="s">
        <v>48</v>
      </c>
      <c r="C17" s="291"/>
      <c r="D17" s="32" t="e">
        <f>SUM(D13,D15)</f>
        <v>#REF!</v>
      </c>
      <c r="E17" s="24">
        <f>SUM(E11:E15)</f>
        <v>0</v>
      </c>
    </row>
    <row r="18" spans="1:5" ht="18" x14ac:dyDescent="0.3">
      <c r="A18" s="39"/>
      <c r="B18" s="25"/>
      <c r="C18" s="25"/>
      <c r="D18" s="115"/>
    </row>
    <row r="19" spans="1:5" ht="18" x14ac:dyDescent="0.3">
      <c r="A19" s="40"/>
      <c r="D19" s="7"/>
    </row>
    <row r="20" spans="1:5" ht="18" x14ac:dyDescent="0.3">
      <c r="A20" s="40" t="s">
        <v>38</v>
      </c>
      <c r="B20" s="111">
        <f>'Names of Bidder'!C21</f>
        <v>0</v>
      </c>
      <c r="C20" s="26" t="s">
        <v>39</v>
      </c>
      <c r="D20" s="112">
        <f>'Names of Bidder'!C18</f>
        <v>0</v>
      </c>
    </row>
    <row r="21" spans="1:5" ht="18" x14ac:dyDescent="0.3">
      <c r="A21" s="41" t="s">
        <v>40</v>
      </c>
      <c r="B21" s="9">
        <f>'Names of Bidder'!C22</f>
        <v>0</v>
      </c>
      <c r="C21" s="31" t="s">
        <v>41</v>
      </c>
      <c r="D21" s="113">
        <f>'Names of Bidder'!C19</f>
        <v>0</v>
      </c>
    </row>
  </sheetData>
  <mergeCells count="13">
    <mergeCell ref="B10:C10"/>
    <mergeCell ref="A1:D1"/>
    <mergeCell ref="A2:D2"/>
    <mergeCell ref="A3:B3"/>
    <mergeCell ref="C3:D3"/>
    <mergeCell ref="A8:B8"/>
    <mergeCell ref="B9:C9"/>
    <mergeCell ref="B17:C17"/>
    <mergeCell ref="B11:C11"/>
    <mergeCell ref="B12:C12"/>
    <mergeCell ref="B14:C14"/>
    <mergeCell ref="B13:C13"/>
    <mergeCell ref="B15:C15"/>
  </mergeCells>
  <pageMargins left="0.7" right="0.7" top="0.75" bottom="0.75" header="0.3" footer="0.3"/>
  <pageSetup scale="6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BASIC </vt:lpstr>
      <vt:lpstr>Names of Bidder</vt:lpstr>
      <vt:lpstr>Sch-I Supply Works</vt:lpstr>
      <vt:lpstr>Sch-II F&amp;I</vt:lpstr>
      <vt:lpstr>Sch-III Erection Works</vt:lpstr>
      <vt:lpstr>Schedule IV-Taxes</vt:lpstr>
      <vt:lpstr>Schedule V- Summary</vt:lpstr>
      <vt:lpstr>Sch-5 Taxes and duties</vt:lpstr>
      <vt:lpstr>Sch-6 GRAND SUMMARY</vt:lpstr>
      <vt:lpstr>Sheet7</vt:lpstr>
      <vt:lpstr>Bid Form </vt:lpstr>
      <vt:lpstr>Sheet5</vt:lpstr>
      <vt:lpstr>'Bid Form '!Print_Area</vt:lpstr>
      <vt:lpstr>'Sch-6 GRAND SUMMARY'!Print_Area</vt:lpstr>
      <vt:lpstr>'Sch-III Erection Works'!Print_Area</vt:lpstr>
    </vt:vector>
  </TitlesOfParts>
  <Company>pgcil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Rajesh Kumar Singh {राजेश कुमार सिंह}</cp:lastModifiedBy>
  <cp:lastPrinted>2026-06-15T10:46:22Z</cp:lastPrinted>
  <dcterms:created xsi:type="dcterms:W3CDTF">2001-11-05T04:29:00Z</dcterms:created>
  <dcterms:modified xsi:type="dcterms:W3CDTF">2026-06-20T09:57:30Z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2026-06-20T07:23:32Z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249be671-5883-49a1-be16-dcb442b7c105</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