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codeName="ThisWorkbook" defaultThemeVersion="124226"/>
  <mc:AlternateContent xmlns:mc="http://schemas.openxmlformats.org/markup-compatibility/2006">
    <mc:Choice Requires="x15">
      <x15ac:absPath xmlns:x15ac="http://schemas.microsoft.com/office/spreadsheetml/2010/11/ac" url="E:\DHARMENDRA\TENDERS\PUBLISHED\TENDERS 2024-25\KOTA\DIVERSION OF POWERGRID LINE AT KOTA\BID DOCUMENTS\"/>
    </mc:Choice>
  </mc:AlternateContent>
  <xr:revisionPtr revIDLastSave="0" documentId="13_ncr:1_{AC4D58FA-03C8-4A54-9F1B-6D85206AC711}" xr6:coauthVersionLast="47" xr6:coauthVersionMax="47" xr10:uidLastSave="{00000000-0000-0000-0000-000000000000}"/>
  <bookViews>
    <workbookView xWindow="-120" yWindow="-120" windowWidth="29040" windowHeight="15720" tabRatio="607" firstSheet="3" activeTab="6"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'Sch-1'!$A$18:$IV$102</definedName>
    <definedName name="_xlnm._FilterDatabase" localSheetId="5" hidden="1">'Sch-2'!$A$16:$AF$102</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'Sch-1'!$A$1:$N$111</definedName>
    <definedName name="_xlnm.Print_Area" localSheetId="5">'Sch-2'!$A$1:$J$108</definedName>
    <definedName name="_xlnm.Print_Area" localSheetId="6">'Sch-3'!$A$1:$P$88</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11E1B9_FC37_4364_9CF0_0FFC01866726_.wvu.Cols" localSheetId="0" hidden="1">Basic!$I:$I</definedName>
    <definedName name="Z_1211E1B9_FC37_4364_9CF0_0FFC01866726_.wvu.Cols" localSheetId="18" hidden="1">'Bid Form 2nd Envelope'!$H:$AO</definedName>
    <definedName name="Z_1211E1B9_FC37_4364_9CF0_0FFC01866726_.wvu.Cols" localSheetId="14" hidden="1">Discount!$H:$L</definedName>
    <definedName name="Z_1211E1B9_FC37_4364_9CF0_0FFC01866726_.wvu.Cols" localSheetId="3" hidden="1">'Names of Bidder'!$G:$G,'Names of Bidder'!$I:$N</definedName>
    <definedName name="Z_1211E1B9_FC37_4364_9CF0_0FFC01866726_.wvu.Cols" localSheetId="21" hidden="1">'N-W (Cr.)'!$A:$O,'N-W (Cr.)'!$T:$DL</definedName>
    <definedName name="Z_1211E1B9_FC37_4364_9CF0_0FFC01866726_.wvu.Cols" localSheetId="4" hidden="1">'Sch-1'!$O:$T,'Sch-1'!$V:$AM</definedName>
    <definedName name="Z_1211E1B9_FC37_4364_9CF0_0FFC01866726_.wvu.Cols" localSheetId="6" hidden="1">'Sch-3'!$Q:$AB</definedName>
    <definedName name="Z_1211E1B9_FC37_4364_9CF0_0FFC01866726_.wvu.Cols" localSheetId="8" hidden="1">'Sch-5'!$F:$T</definedName>
    <definedName name="Z_1211E1B9_FC37_4364_9CF0_0FFC01866726_.wvu.Cols" localSheetId="12" hidden="1">'Sch-6 (After Discount)'!$E:$F</definedName>
    <definedName name="Z_1211E1B9_FC37_4364_9CF0_0FFC01866726_.wvu.Cols" localSheetId="13" hidden="1">'Sch-7'!$AA:$AG</definedName>
    <definedName name="Z_1211E1B9_FC37_4364_9CF0_0FFC01866726_.wvu.FilterData" localSheetId="4" hidden="1">'Sch-1'!$A$18:$IV$102</definedName>
    <definedName name="Z_1211E1B9_FC37_4364_9CF0_0FFC01866726_.wvu.FilterData" localSheetId="5" hidden="1">'Sch-2'!$A$16:$AF$102</definedName>
    <definedName name="Z_1211E1B9_FC37_4364_9CF0_0FFC01866726_.wvu.PrintArea" localSheetId="18" hidden="1">'Bid Form 2nd Envelope'!$A$1:$F$60</definedName>
    <definedName name="Z_1211E1B9_FC37_4364_9CF0_0FFC01866726_.wvu.PrintArea" localSheetId="1" hidden="1">Cover!$A$1:$F$15</definedName>
    <definedName name="Z_1211E1B9_FC37_4364_9CF0_0FFC01866726_.wvu.PrintArea" localSheetId="14" hidden="1">Discount!$A$2:$G$40</definedName>
    <definedName name="Z_1211E1B9_FC37_4364_9CF0_0FFC01866726_.wvu.PrintArea" localSheetId="16" hidden="1">'Entry Tax'!$A$1:$E$16</definedName>
    <definedName name="Z_1211E1B9_FC37_4364_9CF0_0FFC01866726_.wvu.PrintArea" localSheetId="2" hidden="1">Instructions!$A$1:$C$65</definedName>
    <definedName name="Z_1211E1B9_FC37_4364_9CF0_0FFC01866726_.wvu.PrintArea" localSheetId="3" hidden="1">'Names of Bidder'!$A$1:$F$23</definedName>
    <definedName name="Z_1211E1B9_FC37_4364_9CF0_0FFC01866726_.wvu.PrintArea" localSheetId="15" hidden="1">Octroi!$A$1:$E$16</definedName>
    <definedName name="Z_1211E1B9_FC37_4364_9CF0_0FFC01866726_.wvu.PrintArea" localSheetId="17" hidden="1">'Other Taxes &amp; Duties'!$A$1:$F$16</definedName>
    <definedName name="Z_1211E1B9_FC37_4364_9CF0_0FFC01866726_.wvu.PrintArea" localSheetId="4" hidden="1">'Sch-1'!$A$1:$N$111</definedName>
    <definedName name="Z_1211E1B9_FC37_4364_9CF0_0FFC01866726_.wvu.PrintArea" localSheetId="5" hidden="1">'Sch-2'!$A$1:$J$108</definedName>
    <definedName name="Z_1211E1B9_FC37_4364_9CF0_0FFC01866726_.wvu.PrintArea" localSheetId="6" hidden="1">'Sch-3'!$A$1:$P$88</definedName>
    <definedName name="Z_1211E1B9_FC37_4364_9CF0_0FFC01866726_.wvu.PrintArea" localSheetId="7" hidden="1">'Sch-4'!$A$1:$P$24</definedName>
    <definedName name="Z_1211E1B9_FC37_4364_9CF0_0FFC01866726_.wvu.PrintArea" localSheetId="8" hidden="1">'Sch-5'!$A$1:$E$23</definedName>
    <definedName name="Z_1211E1B9_FC37_4364_9CF0_0FFC01866726_.wvu.PrintArea" localSheetId="9" hidden="1">'Sch-5 after discount'!$A$1:$E$23</definedName>
    <definedName name="Z_1211E1B9_FC37_4364_9CF0_0FFC01866726_.wvu.PrintArea" localSheetId="10" hidden="1">'Sch-6'!$A$1:$D$32</definedName>
    <definedName name="Z_1211E1B9_FC37_4364_9CF0_0FFC01866726_.wvu.PrintArea" localSheetId="12" hidden="1">'Sch-6 (After Discount)'!$A$1:$D$32</definedName>
    <definedName name="Z_1211E1B9_FC37_4364_9CF0_0FFC01866726_.wvu.PrintArea" localSheetId="11" hidden="1">'Sch-6 After Discount'!$A$1:$D$31</definedName>
    <definedName name="Z_1211E1B9_FC37_4364_9CF0_0FFC01866726_.wvu.PrintArea" localSheetId="13" hidden="1">'Sch-7'!$A$1:$M$22</definedName>
    <definedName name="Z_1211E1B9_FC37_4364_9CF0_0FFC01866726_.wvu.PrintTitles" localSheetId="4" hidden="1">'Sch-1'!$15:$16</definedName>
    <definedName name="Z_1211E1B9_FC37_4364_9CF0_0FFC01866726_.wvu.PrintTitles" localSheetId="5" hidden="1">'Sch-2'!$15:$16</definedName>
    <definedName name="Z_1211E1B9_FC37_4364_9CF0_0FFC01866726_.wvu.PrintTitles" localSheetId="6" hidden="1">'Sch-3'!$15:$16</definedName>
    <definedName name="Z_1211E1B9_FC37_4364_9CF0_0FFC01866726_.wvu.PrintTitles" localSheetId="8" hidden="1">'Sch-5'!$3:$14</definedName>
    <definedName name="Z_1211E1B9_FC37_4364_9CF0_0FFC01866726_.wvu.PrintTitles" localSheetId="9" hidden="1">'Sch-5 after discount'!$3:$14</definedName>
    <definedName name="Z_1211E1B9_FC37_4364_9CF0_0FFC01866726_.wvu.PrintTitles" localSheetId="10" hidden="1">'Sch-6'!$3:$14</definedName>
    <definedName name="Z_1211E1B9_FC37_4364_9CF0_0FFC01866726_.wvu.PrintTitles" localSheetId="12" hidden="1">'Sch-6 (After Discount)'!$3:$14</definedName>
    <definedName name="Z_1211E1B9_FC37_4364_9CF0_0FFC01866726_.wvu.PrintTitles" localSheetId="11" hidden="1">'Sch-6 After Discount'!$3:$13</definedName>
    <definedName name="Z_1211E1B9_FC37_4364_9CF0_0FFC01866726_.wvu.Rows" localSheetId="1" hidden="1">Cover!$7:$7</definedName>
    <definedName name="Z_1211E1B9_FC37_4364_9CF0_0FFC01866726_.wvu.Rows" localSheetId="14" hidden="1">Discount!$21:$22,Discount!$27:$32</definedName>
    <definedName name="Z_1211E1B9_FC37_4364_9CF0_0FFC01866726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'Sch-1'!$16:$107</definedName>
    <definedName name="Z_18EA11B4_BD82_47BF_99FA_7AB19BF74D0B_.wvu.FilterData" localSheetId="5" hidden="1">'Sch-2'!$A$16:$AF$105</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'Sch-1'!$A$1:$N$111</definedName>
    <definedName name="Z_18EA11B4_BD82_47BF_99FA_7AB19BF74D0B_.wvu.PrintArea" localSheetId="5" hidden="1">'Sch-2'!$A$1:$J$108</definedName>
    <definedName name="Z_18EA11B4_BD82_47BF_99FA_7AB19BF74D0B_.wvu.PrintArea" localSheetId="6" hidden="1">'Sch-3'!$A$1:$P$88</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'Sch-1'!$C$1:$C$107</definedName>
    <definedName name="Z_357C9841_BEC3_434B_AC63_C04FB4321BA3_.wvu.FilterData" localSheetId="5" hidden="1">'Sch-2'!$C$1:$C$110</definedName>
    <definedName name="Z_357C9841_BEC3_434B_AC63_C04FB4321BA3_.wvu.FilterData" localSheetId="6" hidden="1">'Sch-3'!$C$1:$C$90</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'Sch-1'!$A$1:$N$111</definedName>
    <definedName name="Z_357C9841_BEC3_434B_AC63_C04FB4321BA3_.wvu.PrintArea" localSheetId="5" hidden="1">'Sch-2'!$A$1:$J$110</definedName>
    <definedName name="Z_357C9841_BEC3_434B_AC63_C04FB4321BA3_.wvu.PrintArea" localSheetId="6" hidden="1">'Sch-3'!$A$1:$P$90</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'Sch-1'!$C$1:$C$107</definedName>
    <definedName name="Z_3C00DDA0_7DDE_4169_A739_550DAF5DCF8D_.wvu.FilterData" localSheetId="5" hidden="1">'Sch-2'!$C$1:$C$110</definedName>
    <definedName name="Z_3C00DDA0_7DDE_4169_A739_550DAF5DCF8D_.wvu.FilterData" localSheetId="6" hidden="1">'Sch-3'!$C$1:$C$90</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'Sch-1'!$A$1:$N$111</definedName>
    <definedName name="Z_3C00DDA0_7DDE_4169_A739_550DAF5DCF8D_.wvu.PrintArea" localSheetId="5" hidden="1">'Sch-2'!$A$1:$J$110</definedName>
    <definedName name="Z_3C00DDA0_7DDE_4169_A739_550DAF5DCF8D_.wvu.PrintArea" localSheetId="6" hidden="1">'Sch-3'!$A$1:$P$90</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'Sch-1'!$C$1:$C$107</definedName>
    <definedName name="Z_63D51328_7CBC_4A1E_B96D_BAE91416501B_.wvu.FilterData" localSheetId="5" hidden="1">'Sch-2'!$C$1:$C$110</definedName>
    <definedName name="Z_63D51328_7CBC_4A1E_B96D_BAE91416501B_.wvu.FilterData" localSheetId="6" hidden="1">'Sch-3'!$C$1:$C$90</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'Sch-1'!$A$1:$N$111</definedName>
    <definedName name="Z_63D51328_7CBC_4A1E_B96D_BAE91416501B_.wvu.PrintArea" localSheetId="5" hidden="1">'Sch-2'!$A$1:$J$110</definedName>
    <definedName name="Z_63D51328_7CBC_4A1E_B96D_BAE91416501B_.wvu.PrintArea" localSheetId="6" hidden="1">'Sch-3'!$A$1:$P$90</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'Sch-1'!$A$18:$IV$102</definedName>
    <definedName name="Z_889C3D82_0A24_4765_A688_A80A782F5056_.wvu.FilterData" localSheetId="5" hidden="1">'Sch-2'!$A$16:$AF$102</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'Sch-1'!$A$1:$N$111</definedName>
    <definedName name="Z_889C3D82_0A24_4765_A688_A80A782F5056_.wvu.PrintArea" localSheetId="5" hidden="1">'Sch-2'!$A$1:$J$108</definedName>
    <definedName name="Z_889C3D82_0A24_4765_A688_A80A782F5056_.wvu.PrintArea" localSheetId="6" hidden="1">'Sch-3'!$A$1:$P$88</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'Sch-1'!$A$18:$IV$107</definedName>
    <definedName name="Z_89CB4E6A_722E_4E39_885D_E2A6D0D08321_.wvu.FilterData" localSheetId="5" hidden="1">'Sch-2'!$A$16:$AF$102</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'Sch-1'!$A$1:$N$111</definedName>
    <definedName name="Z_89CB4E6A_722E_4E39_885D_E2A6D0D08321_.wvu.PrintArea" localSheetId="5" hidden="1">'Sch-2'!$A$1:$J$108</definedName>
    <definedName name="Z_89CB4E6A_722E_4E39_885D_E2A6D0D08321_.wvu.PrintArea" localSheetId="6" hidden="1">'Sch-3'!$A$1:$P$88</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'Sch-1'!$16:$107</definedName>
    <definedName name="Z_915C64AD_BD67_44F0_9117_5B9D998BA799_.wvu.FilterData" localSheetId="5" hidden="1">'Sch-2'!$A$16:$AF$105</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'Sch-1'!$A$1:$N$111</definedName>
    <definedName name="Z_915C64AD_BD67_44F0_9117_5B9D998BA799_.wvu.PrintArea" localSheetId="5" hidden="1">'Sch-2'!$A$1:$J$108</definedName>
    <definedName name="Z_915C64AD_BD67_44F0_9117_5B9D998BA799_.wvu.PrintArea" localSheetId="6" hidden="1">'Sch-3'!$A$1:$P$88</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'Sch-1'!$16:$107</definedName>
    <definedName name="Z_99CA2F10_F926_46DC_8609_4EAE5B9F3585_.wvu.FilterData" localSheetId="5" hidden="1">'Sch-2'!$A$16:$AF$105</definedName>
    <definedName name="Z_99CA2F10_F926_46DC_8609_4EAE5B9F3585_.wvu.FilterData" localSheetId="6" hidden="1">'Sch-3'!$A$16:$AE$82</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'Sch-1'!$A$1:$N$111</definedName>
    <definedName name="Z_99CA2F10_F926_46DC_8609_4EAE5B9F3585_.wvu.PrintArea" localSheetId="5" hidden="1">'Sch-2'!$A$1:$J$108</definedName>
    <definedName name="Z_99CA2F10_F926_46DC_8609_4EAE5B9F3585_.wvu.PrintArea" localSheetId="6" hidden="1">'Sch-3'!$A$1:$P$88</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'Sch-1'!$16:$107</definedName>
    <definedName name="Z_A58DB4DF_40C7_4BEB_B85E_6BD6F54941CF_.wvu.FilterData" localSheetId="5" hidden="1">'Sch-2'!$A$16:$AF$105</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'Sch-1'!$A$1:$N$111</definedName>
    <definedName name="Z_A58DB4DF_40C7_4BEB_B85E_6BD6F54941CF_.wvu.PrintArea" localSheetId="5" hidden="1">'Sch-2'!$A$1:$J$108</definedName>
    <definedName name="Z_A58DB4DF_40C7_4BEB_B85E_6BD6F54941CF_.wvu.PrintArea" localSheetId="6" hidden="1">'Sch-3'!$A$1:$P$88</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F3F130_0A37_42E7_A525_50C5A6B01A26_.wvu.Cols" localSheetId="0" hidden="1">Basic!$I:$I</definedName>
    <definedName name="Z_ADF3F130_0A37_42E7_A525_50C5A6B01A26_.wvu.Cols" localSheetId="18" hidden="1">'Bid Form 2nd Envelope'!$H:$AO</definedName>
    <definedName name="Z_ADF3F130_0A37_42E7_A525_50C5A6B01A26_.wvu.Cols" localSheetId="14" hidden="1">Discount!$H:$L</definedName>
    <definedName name="Z_ADF3F130_0A37_42E7_A525_50C5A6B01A26_.wvu.Cols" localSheetId="3" hidden="1">'Names of Bidder'!$G:$G,'Names of Bidder'!$I:$N</definedName>
    <definedName name="Z_ADF3F130_0A37_42E7_A525_50C5A6B01A26_.wvu.Cols" localSheetId="21" hidden="1">'N-W (Cr.)'!$A:$O,'N-W (Cr.)'!$T:$DL</definedName>
    <definedName name="Z_ADF3F130_0A37_42E7_A525_50C5A6B01A26_.wvu.Cols" localSheetId="4" hidden="1">'Sch-1'!$O:$T,'Sch-1'!$V:$AM</definedName>
    <definedName name="Z_ADF3F130_0A37_42E7_A525_50C5A6B01A26_.wvu.Cols" localSheetId="6" hidden="1">'Sch-3'!$Q:$AB</definedName>
    <definedName name="Z_ADF3F130_0A37_42E7_A525_50C5A6B01A26_.wvu.Cols" localSheetId="8" hidden="1">'Sch-5'!$F:$T</definedName>
    <definedName name="Z_ADF3F130_0A37_42E7_A525_50C5A6B01A26_.wvu.Cols" localSheetId="12" hidden="1">'Sch-6 (After Discount)'!$E:$F</definedName>
    <definedName name="Z_ADF3F130_0A37_42E7_A525_50C5A6B01A26_.wvu.Cols" localSheetId="13" hidden="1">'Sch-7'!$AA:$AG</definedName>
    <definedName name="Z_ADF3F130_0A37_42E7_A525_50C5A6B01A26_.wvu.FilterData" localSheetId="4" hidden="1">'Sch-1'!$A$18:$IV$102</definedName>
    <definedName name="Z_ADF3F130_0A37_42E7_A525_50C5A6B01A26_.wvu.FilterData" localSheetId="5" hidden="1">'Sch-2'!$A$16:$AF$102</definedName>
    <definedName name="Z_ADF3F130_0A37_42E7_A525_50C5A6B01A26_.wvu.PrintArea" localSheetId="18" hidden="1">'Bid Form 2nd Envelope'!$A$1:$F$60</definedName>
    <definedName name="Z_ADF3F130_0A37_42E7_A525_50C5A6B01A26_.wvu.PrintArea" localSheetId="1" hidden="1">Cover!$A$1:$F$15</definedName>
    <definedName name="Z_ADF3F130_0A37_42E7_A525_50C5A6B01A26_.wvu.PrintArea" localSheetId="14" hidden="1">Discount!$A$2:$G$40</definedName>
    <definedName name="Z_ADF3F130_0A37_42E7_A525_50C5A6B01A26_.wvu.PrintArea" localSheetId="16" hidden="1">'Entry Tax'!$A$1:$E$16</definedName>
    <definedName name="Z_ADF3F130_0A37_42E7_A525_50C5A6B01A26_.wvu.PrintArea" localSheetId="2" hidden="1">Instructions!$A$1:$C$65</definedName>
    <definedName name="Z_ADF3F130_0A37_42E7_A525_50C5A6B01A26_.wvu.PrintArea" localSheetId="3" hidden="1">'Names of Bidder'!$A$1:$F$23</definedName>
    <definedName name="Z_ADF3F130_0A37_42E7_A525_50C5A6B01A26_.wvu.PrintArea" localSheetId="15" hidden="1">Octroi!$A$1:$E$16</definedName>
    <definedName name="Z_ADF3F130_0A37_42E7_A525_50C5A6B01A26_.wvu.PrintArea" localSheetId="17" hidden="1">'Other Taxes &amp; Duties'!$A$1:$F$16</definedName>
    <definedName name="Z_ADF3F130_0A37_42E7_A525_50C5A6B01A26_.wvu.PrintArea" localSheetId="4" hidden="1">'Sch-1'!$A$1:$N$111</definedName>
    <definedName name="Z_ADF3F130_0A37_42E7_A525_50C5A6B01A26_.wvu.PrintArea" localSheetId="5" hidden="1">'Sch-2'!$A$1:$J$108</definedName>
    <definedName name="Z_ADF3F130_0A37_42E7_A525_50C5A6B01A26_.wvu.PrintArea" localSheetId="6" hidden="1">'Sch-3'!$A$1:$P$88</definedName>
    <definedName name="Z_ADF3F130_0A37_42E7_A525_50C5A6B01A26_.wvu.PrintArea" localSheetId="7" hidden="1">'Sch-4'!$A$1:$P$24</definedName>
    <definedName name="Z_ADF3F130_0A37_42E7_A525_50C5A6B01A26_.wvu.PrintArea" localSheetId="8" hidden="1">'Sch-5'!$A$1:$E$23</definedName>
    <definedName name="Z_ADF3F130_0A37_42E7_A525_50C5A6B01A26_.wvu.PrintArea" localSheetId="9" hidden="1">'Sch-5 after discount'!$A$1:$E$23</definedName>
    <definedName name="Z_ADF3F130_0A37_42E7_A525_50C5A6B01A26_.wvu.PrintArea" localSheetId="10" hidden="1">'Sch-6'!$A$1:$D$32</definedName>
    <definedName name="Z_ADF3F130_0A37_42E7_A525_50C5A6B01A26_.wvu.PrintArea" localSheetId="12" hidden="1">'Sch-6 (After Discount)'!$A$1:$D$32</definedName>
    <definedName name="Z_ADF3F130_0A37_42E7_A525_50C5A6B01A26_.wvu.PrintArea" localSheetId="11" hidden="1">'Sch-6 After Discount'!$A$1:$D$31</definedName>
    <definedName name="Z_ADF3F130_0A37_42E7_A525_50C5A6B01A26_.wvu.PrintArea" localSheetId="13" hidden="1">'Sch-7'!$A$1:$M$22</definedName>
    <definedName name="Z_ADF3F130_0A37_42E7_A525_50C5A6B01A26_.wvu.PrintTitles" localSheetId="4" hidden="1">'Sch-1'!$15:$16</definedName>
    <definedName name="Z_ADF3F130_0A37_42E7_A525_50C5A6B01A26_.wvu.PrintTitles" localSheetId="5" hidden="1">'Sch-2'!$15:$16</definedName>
    <definedName name="Z_ADF3F130_0A37_42E7_A525_50C5A6B01A26_.wvu.PrintTitles" localSheetId="6" hidden="1">'Sch-3'!$15:$16</definedName>
    <definedName name="Z_ADF3F130_0A37_42E7_A525_50C5A6B01A26_.wvu.PrintTitles" localSheetId="8" hidden="1">'Sch-5'!$3:$14</definedName>
    <definedName name="Z_ADF3F130_0A37_42E7_A525_50C5A6B01A26_.wvu.PrintTitles" localSheetId="9" hidden="1">'Sch-5 after discount'!$3:$14</definedName>
    <definedName name="Z_ADF3F130_0A37_42E7_A525_50C5A6B01A26_.wvu.PrintTitles" localSheetId="10" hidden="1">'Sch-6'!$3:$14</definedName>
    <definedName name="Z_ADF3F130_0A37_42E7_A525_50C5A6B01A26_.wvu.PrintTitles" localSheetId="12" hidden="1">'Sch-6 (After Discount)'!$3:$14</definedName>
    <definedName name="Z_ADF3F130_0A37_42E7_A525_50C5A6B01A26_.wvu.PrintTitles" localSheetId="11" hidden="1">'Sch-6 After Discount'!$3:$13</definedName>
    <definedName name="Z_ADF3F130_0A37_42E7_A525_50C5A6B01A26_.wvu.Rows" localSheetId="1" hidden="1">Cover!$7:$7</definedName>
    <definedName name="Z_ADF3F130_0A37_42E7_A525_50C5A6B01A26_.wvu.Rows" localSheetId="14" hidden="1">Discount!$21:$22,Discount!$27:$32</definedName>
    <definedName name="Z_ADF3F130_0A37_42E7_A525_50C5A6B01A26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'Sch-1'!$C$1:$C$107</definedName>
    <definedName name="Z_B96E710B_6DD7_4DE1_95AB_C9EE060CD030_.wvu.FilterData" localSheetId="5" hidden="1">'Sch-2'!$C$1:$C$110</definedName>
    <definedName name="Z_B96E710B_6DD7_4DE1_95AB_C9EE060CD030_.wvu.FilterData" localSheetId="6" hidden="1">'Sch-3'!$C$1:$C$90</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'Sch-1'!$A$1:$N$111</definedName>
    <definedName name="Z_B96E710B_6DD7_4DE1_95AB_C9EE060CD030_.wvu.PrintArea" localSheetId="5" hidden="1">'Sch-2'!$A$1:$J$110</definedName>
    <definedName name="Z_B96E710B_6DD7_4DE1_95AB_C9EE060CD030_.wvu.PrintArea" localSheetId="6" hidden="1">'Sch-3'!$A$1:$P$90</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'Sch-1'!$16:$107</definedName>
    <definedName name="Z_CCA37BAE_906F_43D5_9FD9_B13563E4B9D7_.wvu.FilterData" localSheetId="5" hidden="1">'Sch-2'!$A$16:$AF$105</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'Sch-1'!$A$1:$N$111</definedName>
    <definedName name="Z_CCA37BAE_906F_43D5_9FD9_B13563E4B9D7_.wvu.PrintArea" localSheetId="5" hidden="1">'Sch-2'!$A$1:$J$108</definedName>
    <definedName name="Z_CCA37BAE_906F_43D5_9FD9_B13563E4B9D7_.wvu.PrintArea" localSheetId="6" hidden="1">'Sch-3'!$A$1:$P$88</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Chandra Kr. Kamat {चंद्र कुमार कामत} - Personal View" guid="{ADF3F130-0A37-42E7-A525-50C5A6B01A26}" mergeInterval="0" personalView="1" maximized="1" xWindow="-8" yWindow="-8" windowWidth="1936" windowHeight="1056" tabRatio="607" activeSheetId="2"/>
    <customWorkbookView name="Samrat Jain {Samrat Jain} - Personal View" guid="{889C3D82-0A24-4765-A688-A80A782F5056}" mergeInterval="0" personalView="1" maximized="1" xWindow="-8" yWindow="-8" windowWidth="1936" windowHeight="1056" tabRatio="607" activeSheetId="2" showComments="commIndAndComment"/>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Jasminder Singh Bhatia {जसमिंदर सिंह} - Personal View" guid="{1211E1B9-FC37-4364-9CF0-0FFC01866726}" mergeInterval="0" personalView="1" maximized="1" xWindow="-8" yWindow="-8" windowWidth="1936" windowHeight="1056" tabRatio="60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3" i="7" l="1"/>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4" i="7"/>
  <c r="V75" i="7"/>
  <c r="V76" i="7"/>
  <c r="V77" i="7"/>
  <c r="V78" i="7"/>
  <c r="V79" i="7"/>
  <c r="V80" i="7"/>
  <c r="T60" i="5" l="1"/>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R45" i="7"/>
  <c r="R48" i="7"/>
  <c r="R49" i="7"/>
  <c r="R80" i="7"/>
  <c r="Q48" i="7"/>
  <c r="Q72" i="7"/>
  <c r="Q78" i="7"/>
  <c r="P60" i="5"/>
  <c r="P73" i="5"/>
  <c r="P74" i="5"/>
  <c r="O60" i="5"/>
  <c r="O62" i="5"/>
  <c r="O73" i="5"/>
  <c r="O74" i="5"/>
  <c r="O92" i="5"/>
  <c r="O97" i="5"/>
  <c r="N61" i="5"/>
  <c r="O61" i="5" s="1"/>
  <c r="N62" i="5"/>
  <c r="P62" i="5" s="1"/>
  <c r="N63" i="5"/>
  <c r="P63" i="5" s="1"/>
  <c r="N64" i="5"/>
  <c r="P64" i="5" s="1"/>
  <c r="N65" i="5"/>
  <c r="P65" i="5" s="1"/>
  <c r="N66" i="5"/>
  <c r="P66" i="5" s="1"/>
  <c r="N67" i="5"/>
  <c r="O67" i="5" s="1"/>
  <c r="N68" i="5"/>
  <c r="O68" i="5" s="1"/>
  <c r="N69" i="5"/>
  <c r="P69" i="5" s="1"/>
  <c r="N70" i="5"/>
  <c r="P70" i="5" s="1"/>
  <c r="N71" i="5"/>
  <c r="P71" i="5" s="1"/>
  <c r="N72" i="5"/>
  <c r="P72" i="5" s="1"/>
  <c r="N73" i="5"/>
  <c r="N74" i="5"/>
  <c r="N75" i="5"/>
  <c r="P75" i="5" s="1"/>
  <c r="N76" i="5"/>
  <c r="P76" i="5" s="1"/>
  <c r="N77" i="5"/>
  <c r="P77" i="5" s="1"/>
  <c r="N78" i="5"/>
  <c r="P78" i="5" s="1"/>
  <c r="N79" i="5"/>
  <c r="P79" i="5" s="1"/>
  <c r="N80" i="5"/>
  <c r="O80" i="5" s="1"/>
  <c r="N81" i="5"/>
  <c r="P81" i="5" s="1"/>
  <c r="N82" i="5"/>
  <c r="P82" i="5" s="1"/>
  <c r="N83" i="5"/>
  <c r="P83" i="5" s="1"/>
  <c r="N84" i="5"/>
  <c r="P84" i="5" s="1"/>
  <c r="N85" i="5"/>
  <c r="P85" i="5" s="1"/>
  <c r="N86" i="5"/>
  <c r="P86" i="5" s="1"/>
  <c r="N87" i="5"/>
  <c r="P87" i="5" s="1"/>
  <c r="N88" i="5"/>
  <c r="P88" i="5" s="1"/>
  <c r="N89" i="5"/>
  <c r="P89" i="5" s="1"/>
  <c r="N90" i="5"/>
  <c r="P90" i="5" s="1"/>
  <c r="N91" i="5"/>
  <c r="P91" i="5" s="1"/>
  <c r="N92" i="5"/>
  <c r="P92" i="5" s="1"/>
  <c r="N93" i="5"/>
  <c r="P93" i="5" s="1"/>
  <c r="N94" i="5"/>
  <c r="P94" i="5" s="1"/>
  <c r="N95" i="5"/>
  <c r="P95" i="5" s="1"/>
  <c r="N96" i="5"/>
  <c r="P96" i="5" s="1"/>
  <c r="N97" i="5"/>
  <c r="P97" i="5" s="1"/>
  <c r="N98" i="5"/>
  <c r="P98" i="5" s="1"/>
  <c r="N99" i="5"/>
  <c r="P99" i="5" s="1"/>
  <c r="N100" i="5"/>
  <c r="P100" i="5" s="1"/>
  <c r="N101" i="5"/>
  <c r="P101" i="5" s="1"/>
  <c r="N102" i="5"/>
  <c r="O102" i="5" s="1"/>
  <c r="P49" i="7"/>
  <c r="Q49" i="7" s="1"/>
  <c r="P50" i="7"/>
  <c r="R50" i="7" s="1"/>
  <c r="P51" i="7"/>
  <c r="Q51" i="7" s="1"/>
  <c r="P52" i="7"/>
  <c r="R52" i="7" s="1"/>
  <c r="P53" i="7"/>
  <c r="Q53" i="7" s="1"/>
  <c r="P54" i="7"/>
  <c r="R54" i="7" s="1"/>
  <c r="P55" i="7"/>
  <c r="Q55" i="7" s="1"/>
  <c r="P56" i="7"/>
  <c r="Q56" i="7" s="1"/>
  <c r="P57" i="7"/>
  <c r="Q57" i="7" s="1"/>
  <c r="P58" i="7"/>
  <c r="R58" i="7" s="1"/>
  <c r="P59" i="7"/>
  <c r="Q59" i="7" s="1"/>
  <c r="P60" i="7"/>
  <c r="R60" i="7" s="1"/>
  <c r="P61" i="7"/>
  <c r="Q61" i="7" s="1"/>
  <c r="P62" i="7"/>
  <c r="R62" i="7" s="1"/>
  <c r="P63" i="7"/>
  <c r="Q63" i="7" s="1"/>
  <c r="P64" i="7"/>
  <c r="R64" i="7" s="1"/>
  <c r="P65" i="7"/>
  <c r="Q65" i="7" s="1"/>
  <c r="P66" i="7"/>
  <c r="R66" i="7" s="1"/>
  <c r="P67" i="7"/>
  <c r="Q67" i="7" s="1"/>
  <c r="P68" i="7"/>
  <c r="Q68" i="7" s="1"/>
  <c r="P69" i="7"/>
  <c r="Q69" i="7" s="1"/>
  <c r="P70" i="7"/>
  <c r="R70" i="7" s="1"/>
  <c r="P71" i="7"/>
  <c r="Q71" i="7" s="1"/>
  <c r="P72" i="7"/>
  <c r="R72" i="7" s="1"/>
  <c r="P73" i="7"/>
  <c r="Q73" i="7" s="1"/>
  <c r="P74" i="7"/>
  <c r="Q74" i="7" s="1"/>
  <c r="P75" i="7"/>
  <c r="Q75" i="7" s="1"/>
  <c r="P76" i="7"/>
  <c r="R76" i="7" s="1"/>
  <c r="P77" i="7"/>
  <c r="Q77" i="7" s="1"/>
  <c r="P78" i="7"/>
  <c r="R78" i="7" s="1"/>
  <c r="P79" i="7"/>
  <c r="Q79" i="7" s="1"/>
  <c r="P80" i="7"/>
  <c r="Q80" i="7" s="1"/>
  <c r="P43" i="7"/>
  <c r="R43" i="7" s="1"/>
  <c r="P44" i="7"/>
  <c r="R44" i="7" s="1"/>
  <c r="P45" i="7"/>
  <c r="Q45" i="7" s="1"/>
  <c r="P46" i="7"/>
  <c r="Q46" i="7" s="1"/>
  <c r="P47" i="7"/>
  <c r="R47" i="7" s="1"/>
  <c r="J57" i="6"/>
  <c r="J58" i="6"/>
  <c r="J59"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N58" i="5"/>
  <c r="O58" i="5" s="1"/>
  <c r="T58" i="5"/>
  <c r="N57" i="5"/>
  <c r="O57" i="5" s="1"/>
  <c r="T57" i="5"/>
  <c r="Q76" i="7" l="1"/>
  <c r="Q70" i="7"/>
  <c r="Q66" i="7"/>
  <c r="Q64" i="7"/>
  <c r="Q60" i="7"/>
  <c r="Q58" i="7"/>
  <c r="Q52" i="7"/>
  <c r="Q54" i="7"/>
  <c r="R46" i="7"/>
  <c r="Q44" i="7"/>
  <c r="Q43" i="7"/>
  <c r="O98" i="5"/>
  <c r="O91" i="5"/>
  <c r="O86" i="5"/>
  <c r="O85" i="5"/>
  <c r="P80" i="5"/>
  <c r="O79" i="5"/>
  <c r="P68" i="5"/>
  <c r="P67" i="5"/>
  <c r="P61" i="5"/>
  <c r="R69" i="7"/>
  <c r="R57" i="7"/>
  <c r="R74" i="7"/>
  <c r="R75" i="7"/>
  <c r="R51" i="7"/>
  <c r="R68" i="7"/>
  <c r="R56" i="7"/>
  <c r="Q62" i="7"/>
  <c r="Q50" i="7"/>
  <c r="R79" i="7"/>
  <c r="R73" i="7"/>
  <c r="R67" i="7"/>
  <c r="R61" i="7"/>
  <c r="R55" i="7"/>
  <c r="R63" i="7"/>
  <c r="R77" i="7"/>
  <c r="R71" i="7"/>
  <c r="R65" i="7"/>
  <c r="R59" i="7"/>
  <c r="R53" i="7"/>
  <c r="Q47" i="7"/>
  <c r="O96" i="5"/>
  <c r="O90" i="5"/>
  <c r="O84" i="5"/>
  <c r="O78" i="5"/>
  <c r="O72" i="5"/>
  <c r="O66" i="5"/>
  <c r="O101" i="5"/>
  <c r="O95" i="5"/>
  <c r="O89" i="5"/>
  <c r="O83" i="5"/>
  <c r="O77" i="5"/>
  <c r="O71" i="5"/>
  <c r="O65" i="5"/>
  <c r="O100" i="5"/>
  <c r="O94" i="5"/>
  <c r="O88" i="5"/>
  <c r="O82" i="5"/>
  <c r="O76" i="5"/>
  <c r="O70" i="5"/>
  <c r="O64" i="5"/>
  <c r="O99" i="5"/>
  <c r="O93" i="5"/>
  <c r="O87" i="5"/>
  <c r="O81" i="5"/>
  <c r="O75" i="5"/>
  <c r="O69" i="5"/>
  <c r="O63" i="5"/>
  <c r="P102" i="5"/>
  <c r="P57" i="5"/>
  <c r="P58" i="5"/>
  <c r="T19" i="5" l="1"/>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9" i="5"/>
  <c r="Z10" i="5"/>
  <c r="Z9" i="5"/>
  <c r="H12" i="6"/>
  <c r="B17" i="7" l="1"/>
  <c r="A17" i="7"/>
  <c r="B17" i="6"/>
  <c r="A17" i="6"/>
  <c r="V81" i="7" l="1"/>
  <c r="Q81" i="7"/>
  <c r="R81" i="7" l="1"/>
  <c r="V19" i="7"/>
  <c r="V20" i="7"/>
  <c r="V21" i="7"/>
  <c r="V22" i="7"/>
  <c r="V23" i="7"/>
  <c r="V24" i="7"/>
  <c r="V25" i="7"/>
  <c r="V26" i="7"/>
  <c r="V27" i="7"/>
  <c r="V28" i="7"/>
  <c r="V29" i="7"/>
  <c r="V30" i="7"/>
  <c r="V31" i="7"/>
  <c r="V32" i="7"/>
  <c r="V33" i="7"/>
  <c r="V34" i="7"/>
  <c r="V35" i="7"/>
  <c r="V36" i="7"/>
  <c r="V37" i="7"/>
  <c r="V38" i="7"/>
  <c r="V39" i="7"/>
  <c r="V40" i="7"/>
  <c r="V41" i="7"/>
  <c r="V42" i="7"/>
  <c r="V18" i="7"/>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19" i="7"/>
  <c r="Q19" i="7" s="1"/>
  <c r="P20" i="7"/>
  <c r="Q20" i="7" s="1"/>
  <c r="P21" i="7"/>
  <c r="Q21" i="7" s="1"/>
  <c r="P22" i="7"/>
  <c r="Q22" i="7" s="1"/>
  <c r="P23" i="7"/>
  <c r="Q23" i="7" s="1"/>
  <c r="P24" i="7"/>
  <c r="R24" i="7" s="1"/>
  <c r="P25" i="7"/>
  <c r="Q25" i="7" s="1"/>
  <c r="P26" i="7"/>
  <c r="Q26" i="7" s="1"/>
  <c r="P27" i="7"/>
  <c r="Q27" i="7" s="1"/>
  <c r="P28" i="7"/>
  <c r="Q28" i="7" s="1"/>
  <c r="P29" i="7"/>
  <c r="Q29" i="7" s="1"/>
  <c r="P30" i="7"/>
  <c r="Q30" i="7" s="1"/>
  <c r="P31" i="7"/>
  <c r="Q31" i="7" s="1"/>
  <c r="P32" i="7"/>
  <c r="R32" i="7" s="1"/>
  <c r="P33" i="7"/>
  <c r="R33" i="7" s="1"/>
  <c r="P34" i="7"/>
  <c r="Q34" i="7" s="1"/>
  <c r="P35" i="7"/>
  <c r="Q35" i="7" s="1"/>
  <c r="P36" i="7"/>
  <c r="R36" i="7" s="1"/>
  <c r="P37" i="7"/>
  <c r="R37" i="7" s="1"/>
  <c r="P38" i="7"/>
  <c r="Q38" i="7" s="1"/>
  <c r="P39" i="7"/>
  <c r="Q39" i="7" s="1"/>
  <c r="P40" i="7"/>
  <c r="R40" i="7" s="1"/>
  <c r="P41" i="7"/>
  <c r="Q41" i="7" s="1"/>
  <c r="P42" i="7"/>
  <c r="Q42" i="7" s="1"/>
  <c r="A1" i="6"/>
  <c r="C9" i="6"/>
  <c r="C10" i="6"/>
  <c r="C11" i="6"/>
  <c r="C12"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A1" i="5"/>
  <c r="A1" i="19" s="1"/>
  <c r="Z8" i="5"/>
  <c r="C9" i="5"/>
  <c r="B8" i="12" s="1"/>
  <c r="C10" i="5"/>
  <c r="C10" i="14" s="1"/>
  <c r="C11" i="5"/>
  <c r="B10" i="12" s="1"/>
  <c r="C12" i="5"/>
  <c r="B11" i="12" s="1"/>
  <c r="IV16"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9" i="5"/>
  <c r="N105" i="5"/>
  <c r="C109" i="5"/>
  <c r="C107" i="6" s="1"/>
  <c r="K109" i="5"/>
  <c r="O87" i="7" s="1"/>
  <c r="N22" i="8" s="1"/>
  <c r="C110" i="5"/>
  <c r="C88" i="7" s="1"/>
  <c r="C22" i="8" s="1"/>
  <c r="K110" i="5"/>
  <c r="O88" i="7" s="1"/>
  <c r="N23" i="8" s="1"/>
  <c r="J6" i="4"/>
  <c r="Z7" i="5" s="1"/>
  <c r="M6" i="4"/>
  <c r="A7" i="4"/>
  <c r="A9" i="4"/>
  <c r="A8" i="6" s="1"/>
  <c r="A10" i="4"/>
  <c r="G22" i="4"/>
  <c r="F22" i="4" s="1"/>
  <c r="B2" i="2"/>
  <c r="B3" i="2"/>
  <c r="A1" i="7" s="1"/>
  <c r="A3" i="13" l="1"/>
  <c r="A3" i="5"/>
  <c r="O59" i="5"/>
  <c r="P59" i="5"/>
  <c r="O49" i="5"/>
  <c r="P49" i="5"/>
  <c r="O41" i="5"/>
  <c r="P41" i="5"/>
  <c r="O33" i="5"/>
  <c r="P33" i="5"/>
  <c r="O25" i="5"/>
  <c r="P25" i="5"/>
  <c r="O56" i="5"/>
  <c r="P56" i="5"/>
  <c r="O48" i="5"/>
  <c r="P48" i="5"/>
  <c r="O44" i="5"/>
  <c r="P44" i="5"/>
  <c r="O36" i="5"/>
  <c r="P36" i="5"/>
  <c r="O28" i="5"/>
  <c r="P28" i="5"/>
  <c r="O20" i="5"/>
  <c r="P20" i="5"/>
  <c r="O55" i="5"/>
  <c r="P55" i="5"/>
  <c r="O51" i="5"/>
  <c r="P51" i="5"/>
  <c r="O47" i="5"/>
  <c r="P47" i="5"/>
  <c r="O43" i="5"/>
  <c r="P43" i="5"/>
  <c r="O39" i="5"/>
  <c r="P39" i="5"/>
  <c r="O35" i="5"/>
  <c r="P35" i="5"/>
  <c r="O31" i="5"/>
  <c r="P31" i="5"/>
  <c r="O27" i="5"/>
  <c r="P27" i="5"/>
  <c r="O23" i="5"/>
  <c r="P23" i="5"/>
  <c r="O19" i="5"/>
  <c r="P19" i="5"/>
  <c r="O53" i="5"/>
  <c r="P53" i="5"/>
  <c r="O45" i="5"/>
  <c r="P45" i="5"/>
  <c r="O37" i="5"/>
  <c r="P37" i="5"/>
  <c r="O29" i="5"/>
  <c r="P29" i="5"/>
  <c r="O21" i="5"/>
  <c r="P21" i="5"/>
  <c r="O52" i="5"/>
  <c r="P52" i="5"/>
  <c r="O40" i="5"/>
  <c r="P40" i="5"/>
  <c r="O32" i="5"/>
  <c r="P32" i="5"/>
  <c r="O24" i="5"/>
  <c r="P24" i="5"/>
  <c r="P54" i="5"/>
  <c r="O54" i="5"/>
  <c r="P50" i="5"/>
  <c r="O50" i="5"/>
  <c r="P46" i="5"/>
  <c r="O46" i="5"/>
  <c r="P42" i="5"/>
  <c r="O42" i="5"/>
  <c r="P38" i="5"/>
  <c r="O38" i="5"/>
  <c r="P34" i="5"/>
  <c r="O34" i="5"/>
  <c r="P30" i="5"/>
  <c r="O30" i="5"/>
  <c r="P26" i="5"/>
  <c r="O26" i="5"/>
  <c r="P22" i="5"/>
  <c r="O22" i="5"/>
  <c r="A7" i="5"/>
  <c r="A7" i="9" s="1"/>
  <c r="R30" i="7"/>
  <c r="V82" i="7"/>
  <c r="Q18" i="7"/>
  <c r="P82" i="7"/>
  <c r="J8" i="15" s="1"/>
  <c r="J26" i="15" s="1"/>
  <c r="J104" i="6"/>
  <c r="J7" i="15" s="1"/>
  <c r="I25" i="15" s="1"/>
  <c r="O18" i="5"/>
  <c r="N104" i="5"/>
  <c r="T104" i="5"/>
  <c r="B9" i="12"/>
  <c r="A3" i="10"/>
  <c r="A3" i="12"/>
  <c r="R42" i="7"/>
  <c r="R26" i="7"/>
  <c r="Q36" i="7"/>
  <c r="Q32" i="7"/>
  <c r="R28" i="7"/>
  <c r="R20" i="7"/>
  <c r="Q33" i="7"/>
  <c r="R38" i="7"/>
  <c r="R34" i="7"/>
  <c r="R41" i="7"/>
  <c r="R22" i="7"/>
  <c r="R21" i="7"/>
  <c r="R29" i="7"/>
  <c r="Q37" i="7"/>
  <c r="C12" i="14"/>
  <c r="I108" i="6"/>
  <c r="A8" i="8"/>
  <c r="A8" i="10"/>
  <c r="A3" i="7"/>
  <c r="A3" i="8"/>
  <c r="C12" i="15"/>
  <c r="A3" i="6"/>
  <c r="E16" i="17"/>
  <c r="F16" i="18"/>
  <c r="C11" i="14"/>
  <c r="R18" i="7"/>
  <c r="R31" i="7"/>
  <c r="E16" i="16"/>
  <c r="A8" i="11"/>
  <c r="A8" i="13"/>
  <c r="A3" i="9"/>
  <c r="A3" i="11"/>
  <c r="A1" i="13"/>
  <c r="C15" i="19"/>
  <c r="A1" i="4"/>
  <c r="A3" i="14"/>
  <c r="A64" i="14" s="1"/>
  <c r="A1" i="11"/>
  <c r="A2" i="15"/>
  <c r="C22" i="14"/>
  <c r="C40" i="15" s="1"/>
  <c r="B46" i="19" s="1"/>
  <c r="B32" i="13"/>
  <c r="C9" i="14"/>
  <c r="R19" i="7"/>
  <c r="A2" i="4"/>
  <c r="A1" i="10"/>
  <c r="A1" i="14"/>
  <c r="A62" i="14" s="1"/>
  <c r="R39" i="7"/>
  <c r="A8" i="7"/>
  <c r="I107" i="6"/>
  <c r="A8" i="9"/>
  <c r="A1" i="9"/>
  <c r="A1" i="12"/>
  <c r="AG7" i="19"/>
  <c r="AG8" i="19" s="1"/>
  <c r="C87" i="7"/>
  <c r="C21" i="8" s="1"/>
  <c r="R35" i="7"/>
  <c r="C108" i="6"/>
  <c r="P18" i="5"/>
  <c r="R27" i="7"/>
  <c r="A1" i="8"/>
  <c r="A8" i="5"/>
  <c r="AG9" i="19"/>
  <c r="Q40" i="7"/>
  <c r="R25" i="7"/>
  <c r="Q24" i="7"/>
  <c r="R23" i="7"/>
  <c r="R82" i="7" l="1"/>
  <c r="D17" i="9" s="1"/>
  <c r="P104" i="5"/>
  <c r="D15" i="9" s="1"/>
  <c r="A7" i="11"/>
  <c r="A7" i="10"/>
  <c r="B7" i="14"/>
  <c r="A7" i="8"/>
  <c r="A7" i="13"/>
  <c r="A7" i="6"/>
  <c r="A7" i="7"/>
  <c r="B40" i="19"/>
  <c r="B8" i="14"/>
  <c r="A7" i="12"/>
  <c r="I16" i="15"/>
  <c r="D17" i="11"/>
  <c r="E17" i="13" s="1"/>
  <c r="D19" i="11"/>
  <c r="E19" i="13" s="1"/>
  <c r="J16" i="15"/>
  <c r="P92" i="7"/>
  <c r="N106" i="5"/>
  <c r="J6" i="15"/>
  <c r="D15" i="11"/>
  <c r="E15" i="13" s="1"/>
  <c r="D19" i="9" l="1"/>
  <c r="D23" i="11" s="1"/>
  <c r="D28" i="11" s="1"/>
  <c r="H16" i="15"/>
  <c r="J9" i="15"/>
  <c r="J15" i="15" s="1"/>
  <c r="H24" i="15"/>
  <c r="J31" i="15" l="1"/>
  <c r="J32" i="15" s="1"/>
  <c r="J35" i="15"/>
  <c r="J36" i="15" s="1"/>
  <c r="H15" i="15"/>
  <c r="H31" i="15" s="1"/>
  <c r="H32" i="15" s="1"/>
  <c r="I15" i="15"/>
  <c r="S45" i="7" l="1"/>
  <c r="T45" i="7" s="1"/>
  <c r="U45" i="7" s="1"/>
  <c r="S57" i="7"/>
  <c r="T57" i="7" s="1"/>
  <c r="U57" i="7" s="1"/>
  <c r="S63" i="7"/>
  <c r="T63" i="7" s="1"/>
  <c r="U63" i="7" s="1"/>
  <c r="S75" i="7"/>
  <c r="T75" i="7" s="1"/>
  <c r="U75" i="7" s="1"/>
  <c r="S46" i="7"/>
  <c r="T46" i="7" s="1"/>
  <c r="U46" i="7" s="1"/>
  <c r="S52" i="7"/>
  <c r="T52" i="7" s="1"/>
  <c r="U52" i="7" s="1"/>
  <c r="S58" i="7"/>
  <c r="T58" i="7" s="1"/>
  <c r="U58" i="7" s="1"/>
  <c r="S64" i="7"/>
  <c r="T64" i="7" s="1"/>
  <c r="U64" i="7" s="1"/>
  <c r="S70" i="7"/>
  <c r="T70" i="7" s="1"/>
  <c r="U70" i="7" s="1"/>
  <c r="S76" i="7"/>
  <c r="T76" i="7" s="1"/>
  <c r="U76" i="7" s="1"/>
  <c r="S43" i="7"/>
  <c r="T43" i="7" s="1"/>
  <c r="U43" i="7" s="1"/>
  <c r="S49" i="7"/>
  <c r="T49" i="7" s="1"/>
  <c r="U49" i="7" s="1"/>
  <c r="S55" i="7"/>
  <c r="T55" i="7" s="1"/>
  <c r="U55" i="7" s="1"/>
  <c r="S61" i="7"/>
  <c r="T61" i="7" s="1"/>
  <c r="U61" i="7" s="1"/>
  <c r="S67" i="7"/>
  <c r="T67" i="7" s="1"/>
  <c r="U67" i="7" s="1"/>
  <c r="S73" i="7"/>
  <c r="T73" i="7" s="1"/>
  <c r="U73" i="7" s="1"/>
  <c r="S79" i="7"/>
  <c r="T79" i="7" s="1"/>
  <c r="U79" i="7" s="1"/>
  <c r="S44" i="7"/>
  <c r="T44" i="7" s="1"/>
  <c r="U44" i="7" s="1"/>
  <c r="S50" i="7"/>
  <c r="T50" i="7" s="1"/>
  <c r="U50" i="7" s="1"/>
  <c r="S56" i="7"/>
  <c r="T56" i="7" s="1"/>
  <c r="U56" i="7" s="1"/>
  <c r="S62" i="7"/>
  <c r="T62" i="7" s="1"/>
  <c r="U62" i="7" s="1"/>
  <c r="S68" i="7"/>
  <c r="T68" i="7" s="1"/>
  <c r="U68" i="7" s="1"/>
  <c r="S74" i="7"/>
  <c r="T74" i="7" s="1"/>
  <c r="U74" i="7" s="1"/>
  <c r="S80" i="7"/>
  <c r="T80" i="7" s="1"/>
  <c r="U80" i="7" s="1"/>
  <c r="S51" i="7"/>
  <c r="T51" i="7" s="1"/>
  <c r="U51" i="7" s="1"/>
  <c r="S69" i="7"/>
  <c r="T69" i="7" s="1"/>
  <c r="U69" i="7" s="1"/>
  <c r="S53" i="7"/>
  <c r="T53" i="7" s="1"/>
  <c r="U53" i="7" s="1"/>
  <c r="S71" i="7"/>
  <c r="T71" i="7" s="1"/>
  <c r="U71" i="7" s="1"/>
  <c r="S54" i="7"/>
  <c r="T54" i="7" s="1"/>
  <c r="U54" i="7" s="1"/>
  <c r="S72" i="7"/>
  <c r="T72" i="7" s="1"/>
  <c r="U72" i="7" s="1"/>
  <c r="S59" i="7"/>
  <c r="T59" i="7" s="1"/>
  <c r="U59" i="7" s="1"/>
  <c r="S77" i="7"/>
  <c r="T77" i="7" s="1"/>
  <c r="U77" i="7" s="1"/>
  <c r="S60" i="7"/>
  <c r="T60" i="7" s="1"/>
  <c r="U60" i="7" s="1"/>
  <c r="S78" i="7"/>
  <c r="T78" i="7" s="1"/>
  <c r="U78" i="7" s="1"/>
  <c r="S47" i="7"/>
  <c r="T47" i="7" s="1"/>
  <c r="U47" i="7" s="1"/>
  <c r="S65" i="7"/>
  <c r="T65" i="7" s="1"/>
  <c r="U65" i="7" s="1"/>
  <c r="S48" i="7"/>
  <c r="T48" i="7" s="1"/>
  <c r="U48" i="7" s="1"/>
  <c r="S66" i="7"/>
  <c r="T66" i="7" s="1"/>
  <c r="U66" i="7" s="1"/>
  <c r="S81" i="7"/>
  <c r="T81" i="7" s="1"/>
  <c r="U81" i="7" s="1"/>
  <c r="S32" i="7"/>
  <c r="T32" i="7" s="1"/>
  <c r="U32" i="7" s="1"/>
  <c r="S39" i="7"/>
  <c r="T39" i="7" s="1"/>
  <c r="U39" i="7" s="1"/>
  <c r="F19" i="13"/>
  <c r="D19" i="13" s="1"/>
  <c r="S20" i="7"/>
  <c r="T20" i="7" s="1"/>
  <c r="U20" i="7" s="1"/>
  <c r="S19" i="7"/>
  <c r="T19" i="7" s="1"/>
  <c r="U19" i="7" s="1"/>
  <c r="S37" i="7"/>
  <c r="T37" i="7" s="1"/>
  <c r="U37" i="7" s="1"/>
  <c r="S22" i="7"/>
  <c r="T22" i="7" s="1"/>
  <c r="U22" i="7" s="1"/>
  <c r="S27" i="7"/>
  <c r="T27" i="7" s="1"/>
  <c r="U27" i="7" s="1"/>
  <c r="S40" i="7"/>
  <c r="T40" i="7" s="1"/>
  <c r="U40" i="7" s="1"/>
  <c r="S29" i="7"/>
  <c r="T29" i="7" s="1"/>
  <c r="U29" i="7" s="1"/>
  <c r="S33" i="7"/>
  <c r="T33" i="7" s="1"/>
  <c r="U33" i="7" s="1"/>
  <c r="S23" i="7"/>
  <c r="T23" i="7" s="1"/>
  <c r="U23" i="7" s="1"/>
  <c r="S30" i="7"/>
  <c r="T30" i="7" s="1"/>
  <c r="U30" i="7" s="1"/>
  <c r="S34" i="7"/>
  <c r="T34" i="7" s="1"/>
  <c r="U34" i="7" s="1"/>
  <c r="S38" i="7"/>
  <c r="T38" i="7" s="1"/>
  <c r="U38" i="7" s="1"/>
  <c r="S28" i="7"/>
  <c r="T28" i="7" s="1"/>
  <c r="U28" i="7" s="1"/>
  <c r="S24" i="7"/>
  <c r="T24" i="7" s="1"/>
  <c r="U24" i="7" s="1"/>
  <c r="S31" i="7"/>
  <c r="T31" i="7" s="1"/>
  <c r="U31" i="7" s="1"/>
  <c r="S36" i="7"/>
  <c r="T36" i="7" s="1"/>
  <c r="U36" i="7" s="1"/>
  <c r="S35" i="7"/>
  <c r="T35" i="7" s="1"/>
  <c r="U35" i="7" s="1"/>
  <c r="S18" i="7"/>
  <c r="T18" i="7" s="1"/>
  <c r="U18" i="7" s="1"/>
  <c r="S41" i="7"/>
  <c r="T41" i="7" s="1"/>
  <c r="U41" i="7" s="1"/>
  <c r="S21" i="7"/>
  <c r="T21" i="7" s="1"/>
  <c r="U21" i="7" s="1"/>
  <c r="S42" i="7"/>
  <c r="T42" i="7" s="1"/>
  <c r="U42" i="7" s="1"/>
  <c r="S25" i="7"/>
  <c r="T25" i="7" s="1"/>
  <c r="U25" i="7" s="1"/>
  <c r="S26" i="7"/>
  <c r="T26" i="7" s="1"/>
  <c r="U26" i="7" s="1"/>
  <c r="I35" i="15"/>
  <c r="I36" i="15" s="1"/>
  <c r="F17" i="13" s="1"/>
  <c r="D17" i="13" s="1"/>
  <c r="I31" i="15"/>
  <c r="I32" i="15" s="1"/>
  <c r="H35" i="15"/>
  <c r="H36" i="15" s="1"/>
  <c r="Q57" i="5" l="1"/>
  <c r="R57" i="5" s="1"/>
  <c r="S57" i="5" s="1"/>
  <c r="Q58" i="5"/>
  <c r="R58" i="5" s="1"/>
  <c r="S58" i="5" s="1"/>
  <c r="Q60" i="5"/>
  <c r="R60" i="5" s="1"/>
  <c r="S60" i="5" s="1"/>
  <c r="Q66" i="5"/>
  <c r="R66" i="5" s="1"/>
  <c r="S66" i="5" s="1"/>
  <c r="Q72" i="5"/>
  <c r="R72" i="5" s="1"/>
  <c r="S72" i="5" s="1"/>
  <c r="Q78" i="5"/>
  <c r="R78" i="5" s="1"/>
  <c r="S78" i="5" s="1"/>
  <c r="Q84" i="5"/>
  <c r="R84" i="5" s="1"/>
  <c r="S84" i="5" s="1"/>
  <c r="Q90" i="5"/>
  <c r="R90" i="5" s="1"/>
  <c r="S90" i="5" s="1"/>
  <c r="Q96" i="5"/>
  <c r="R96" i="5" s="1"/>
  <c r="S96" i="5" s="1"/>
  <c r="Q61" i="5"/>
  <c r="R61" i="5" s="1"/>
  <c r="S61" i="5" s="1"/>
  <c r="Q67" i="5"/>
  <c r="R67" i="5" s="1"/>
  <c r="S67" i="5" s="1"/>
  <c r="Q73" i="5"/>
  <c r="R73" i="5" s="1"/>
  <c r="S73" i="5" s="1"/>
  <c r="Q79" i="5"/>
  <c r="R79" i="5" s="1"/>
  <c r="S79" i="5" s="1"/>
  <c r="Q85" i="5"/>
  <c r="R85" i="5" s="1"/>
  <c r="S85" i="5" s="1"/>
  <c r="Q91" i="5"/>
  <c r="R91" i="5" s="1"/>
  <c r="S91" i="5" s="1"/>
  <c r="Q97" i="5"/>
  <c r="R97" i="5" s="1"/>
  <c r="S97" i="5" s="1"/>
  <c r="Q64" i="5"/>
  <c r="R64" i="5" s="1"/>
  <c r="S64" i="5" s="1"/>
  <c r="Q70" i="5"/>
  <c r="R70" i="5" s="1"/>
  <c r="S70" i="5" s="1"/>
  <c r="Q76" i="5"/>
  <c r="R76" i="5" s="1"/>
  <c r="S76" i="5" s="1"/>
  <c r="Q82" i="5"/>
  <c r="R82" i="5" s="1"/>
  <c r="S82" i="5" s="1"/>
  <c r="Q88" i="5"/>
  <c r="R88" i="5" s="1"/>
  <c r="S88" i="5" s="1"/>
  <c r="Q94" i="5"/>
  <c r="R94" i="5" s="1"/>
  <c r="S94" i="5" s="1"/>
  <c r="Q100" i="5"/>
  <c r="R100" i="5" s="1"/>
  <c r="S100" i="5" s="1"/>
  <c r="Q65" i="5"/>
  <c r="R65" i="5" s="1"/>
  <c r="S65" i="5" s="1"/>
  <c r="Q71" i="5"/>
  <c r="R71" i="5" s="1"/>
  <c r="S71" i="5" s="1"/>
  <c r="Q77" i="5"/>
  <c r="R77" i="5" s="1"/>
  <c r="S77" i="5" s="1"/>
  <c r="Q83" i="5"/>
  <c r="R83" i="5" s="1"/>
  <c r="S83" i="5" s="1"/>
  <c r="Q89" i="5"/>
  <c r="R89" i="5" s="1"/>
  <c r="S89" i="5" s="1"/>
  <c r="Q95" i="5"/>
  <c r="R95" i="5" s="1"/>
  <c r="S95" i="5" s="1"/>
  <c r="Q101" i="5"/>
  <c r="R101" i="5" s="1"/>
  <c r="S101" i="5" s="1"/>
  <c r="Q62" i="5"/>
  <c r="R62" i="5" s="1"/>
  <c r="S62" i="5" s="1"/>
  <c r="Q80" i="5"/>
  <c r="R80" i="5" s="1"/>
  <c r="S80" i="5" s="1"/>
  <c r="Q98" i="5"/>
  <c r="R98" i="5" s="1"/>
  <c r="S98" i="5" s="1"/>
  <c r="Q63" i="5"/>
  <c r="R63" i="5" s="1"/>
  <c r="S63" i="5" s="1"/>
  <c r="Q81" i="5"/>
  <c r="R81" i="5" s="1"/>
  <c r="S81" i="5" s="1"/>
  <c r="Q99" i="5"/>
  <c r="R99" i="5" s="1"/>
  <c r="S99" i="5" s="1"/>
  <c r="Q68" i="5"/>
  <c r="R68" i="5" s="1"/>
  <c r="S68" i="5" s="1"/>
  <c r="Q86" i="5"/>
  <c r="R86" i="5" s="1"/>
  <c r="S86" i="5" s="1"/>
  <c r="Q102" i="5"/>
  <c r="R102" i="5" s="1"/>
  <c r="S102" i="5" s="1"/>
  <c r="Q69" i="5"/>
  <c r="R69" i="5" s="1"/>
  <c r="S69" i="5" s="1"/>
  <c r="Q87" i="5"/>
  <c r="R87" i="5" s="1"/>
  <c r="S87" i="5" s="1"/>
  <c r="Q74" i="5"/>
  <c r="R74" i="5" s="1"/>
  <c r="S74" i="5" s="1"/>
  <c r="Q92" i="5"/>
  <c r="R92" i="5" s="1"/>
  <c r="S92" i="5" s="1"/>
  <c r="Q75" i="5"/>
  <c r="R75" i="5" s="1"/>
  <c r="S75" i="5" s="1"/>
  <c r="Q93" i="5"/>
  <c r="R93" i="5" s="1"/>
  <c r="S93" i="5" s="1"/>
  <c r="Q19" i="5"/>
  <c r="R19" i="5" s="1"/>
  <c r="S19" i="5" s="1"/>
  <c r="Q26" i="5"/>
  <c r="R26" i="5" s="1"/>
  <c r="S26" i="5" s="1"/>
  <c r="Q27" i="5"/>
  <c r="R27" i="5" s="1"/>
  <c r="S27" i="5" s="1"/>
  <c r="Q34" i="5"/>
  <c r="R34" i="5" s="1"/>
  <c r="S34" i="5" s="1"/>
  <c r="Q35" i="5"/>
  <c r="R35" i="5" s="1"/>
  <c r="S35" i="5" s="1"/>
  <c r="Q42" i="5"/>
  <c r="R42" i="5" s="1"/>
  <c r="S42" i="5" s="1"/>
  <c r="Q43" i="5"/>
  <c r="R43" i="5" s="1"/>
  <c r="S43" i="5" s="1"/>
  <c r="Q50" i="5"/>
  <c r="R50" i="5" s="1"/>
  <c r="S50" i="5" s="1"/>
  <c r="Q51" i="5"/>
  <c r="R51" i="5" s="1"/>
  <c r="S51" i="5" s="1"/>
  <c r="Q55" i="5"/>
  <c r="R55" i="5" s="1"/>
  <c r="S55" i="5" s="1"/>
  <c r="Q24" i="5"/>
  <c r="R24" i="5" s="1"/>
  <c r="S24" i="5" s="1"/>
  <c r="Q25" i="5"/>
  <c r="R25" i="5" s="1"/>
  <c r="S25" i="5" s="1"/>
  <c r="Q30" i="5"/>
  <c r="R30" i="5" s="1"/>
  <c r="S30" i="5" s="1"/>
  <c r="Q31" i="5"/>
  <c r="R31" i="5" s="1"/>
  <c r="S31" i="5" s="1"/>
  <c r="Q36" i="5"/>
  <c r="R36" i="5" s="1"/>
  <c r="S36" i="5" s="1"/>
  <c r="Q37" i="5"/>
  <c r="R37" i="5" s="1"/>
  <c r="S37" i="5" s="1"/>
  <c r="Q54" i="5"/>
  <c r="R54" i="5" s="1"/>
  <c r="S54" i="5" s="1"/>
  <c r="Q56" i="5"/>
  <c r="R56" i="5" s="1"/>
  <c r="S56" i="5" s="1"/>
  <c r="Q32" i="5"/>
  <c r="R32" i="5" s="1"/>
  <c r="S32" i="5" s="1"/>
  <c r="Q33" i="5"/>
  <c r="R33" i="5" s="1"/>
  <c r="S33" i="5" s="1"/>
  <c r="Q38" i="5"/>
  <c r="R38" i="5" s="1"/>
  <c r="S38" i="5" s="1"/>
  <c r="Q39" i="5"/>
  <c r="R39" i="5" s="1"/>
  <c r="S39" i="5" s="1"/>
  <c r="Q44" i="5"/>
  <c r="R44" i="5" s="1"/>
  <c r="S44" i="5" s="1"/>
  <c r="Q45" i="5"/>
  <c r="R45" i="5" s="1"/>
  <c r="S45" i="5" s="1"/>
  <c r="Q59" i="5"/>
  <c r="R59" i="5" s="1"/>
  <c r="S59" i="5" s="1"/>
  <c r="Q20" i="5"/>
  <c r="R20" i="5" s="1"/>
  <c r="S20" i="5" s="1"/>
  <c r="Q21" i="5"/>
  <c r="R21" i="5" s="1"/>
  <c r="S21" i="5" s="1"/>
  <c r="Q40" i="5"/>
  <c r="R40" i="5" s="1"/>
  <c r="S40" i="5" s="1"/>
  <c r="Q41" i="5"/>
  <c r="R41" i="5" s="1"/>
  <c r="S41" i="5" s="1"/>
  <c r="Q46" i="5"/>
  <c r="R46" i="5" s="1"/>
  <c r="S46" i="5" s="1"/>
  <c r="Q47" i="5"/>
  <c r="R47" i="5" s="1"/>
  <c r="S47" i="5" s="1"/>
  <c r="Q52" i="5"/>
  <c r="R52" i="5" s="1"/>
  <c r="S52" i="5" s="1"/>
  <c r="Q28" i="5"/>
  <c r="R28" i="5" s="1"/>
  <c r="S28" i="5" s="1"/>
  <c r="Q29" i="5"/>
  <c r="R29" i="5" s="1"/>
  <c r="S29" i="5" s="1"/>
  <c r="Q53" i="5"/>
  <c r="R53" i="5" s="1"/>
  <c r="S53" i="5" s="1"/>
  <c r="Q22" i="5"/>
  <c r="R22" i="5" s="1"/>
  <c r="S22" i="5" s="1"/>
  <c r="Q23" i="5"/>
  <c r="R23" i="5" s="1"/>
  <c r="S23" i="5" s="1"/>
  <c r="Q48" i="5"/>
  <c r="R48" i="5" s="1"/>
  <c r="S48" i="5" s="1"/>
  <c r="Q49" i="5"/>
  <c r="R49" i="5" s="1"/>
  <c r="S49" i="5" s="1"/>
  <c r="U82" i="7"/>
  <c r="D17" i="10" s="1"/>
  <c r="F15" i="13"/>
  <c r="D15" i="13" s="1"/>
  <c r="Q18" i="5"/>
  <c r="R18" i="5" s="1"/>
  <c r="S18" i="5" l="1"/>
  <c r="S104" i="5" s="1"/>
  <c r="D15" i="10" s="1"/>
  <c r="D19" i="10" s="1"/>
  <c r="D23" i="13" s="1"/>
  <c r="D28" i="13" s="1"/>
  <c r="H18" i="19" s="1"/>
  <c r="R104"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<sst xmlns="http://schemas.openxmlformats.org/spreadsheetml/2006/main" count="1674" uniqueCount="579">
  <si>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</si>
  <si>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</si>
  <si>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</si>
  <si>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</si>
  <si>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</si>
  <si>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</si>
  <si>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</si>
  <si>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</si>
  <si>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</si>
  <si>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</si>
  <si>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</si>
  <si>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</si>
  <si>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</si>
  <si>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</si>
  <si>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</si>
  <si>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</si>
  <si>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</si>
  <si>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</si>
  <si>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</si>
  <si>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</si>
  <si>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</si>
  <si>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</si>
  <si>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</si>
  <si>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</si>
  <si>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</si>
  <si>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</si>
  <si>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</si>
  <si>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</si>
  <si>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</si>
  <si>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</si>
  <si>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</si>
  <si>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</si>
  <si>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</si>
  <si>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</si>
  <si>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</si>
  <si>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</si>
  <si>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</si>
  <si>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</si>
  <si>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</si>
  <si>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</si>
  <si>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</si>
  <si>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</si>
  <si>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</si>
  <si>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</si>
  <si>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</si>
  <si>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</si>
  <si>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</si>
  <si>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</si>
  <si>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</si>
  <si>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</si>
  <si>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</si>
  <si>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</si>
  <si>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</si>
  <si>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</si>
  <si>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</si>
  <si>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</si>
  <si>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</si>
  <si>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</si>
  <si>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</si>
  <si>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</si>
  <si>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</si>
  <si>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</si>
  <si>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</si>
  <si>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</si>
  <si>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</si>
  <si>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</si>
  <si>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</si>
  <si>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</si>
  <si>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</si>
  <si>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</si>
  <si>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</si>
  <si>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</si>
  <si>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</si>
  <si>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</si>
  <si>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</si>
  <si>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</si>
  <si>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</si>
  <si>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</si>
  <si>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</si>
  <si>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</si>
  <si>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</si>
  <si>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</si>
  <si>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</si>
  <si>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</si>
  <si>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</si>
  <si>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</si>
  <si>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</si>
  <si>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</si>
  <si>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</si>
  <si>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</si>
  <si>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</si>
  <si>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</si>
  <si>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</si>
  <si>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</si>
  <si>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</si>
  <si>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</si>
  <si>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</si>
  <si>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</si>
  <si>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</si>
  <si>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</si>
  <si>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</si>
  <si>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</si>
  <si>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</si>
  <si>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</si>
  <si>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</si>
  <si>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</si>
  <si>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</si>
  <si>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</si>
  <si>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</si>
  <si>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</si>
  <si>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</si>
  <si>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</si>
  <si>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</si>
  <si>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</si>
  <si>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</si>
  <si>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</si>
  <si>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</si>
  <si>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</si>
  <si>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</si>
  <si>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</si>
  <si>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</si>
  <si>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</si>
  <si>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</si>
  <si>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</si>
  <si>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</si>
  <si>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</si>
  <si>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</si>
  <si>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</si>
  <si>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</si>
  <si>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</si>
  <si>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</si>
  <si>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</si>
  <si>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</si>
  <si>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</si>
  <si>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</si>
  <si>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</si>
  <si>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</si>
  <si>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</si>
  <si>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</si>
  <si>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</si>
  <si>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</si>
  <si>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</si>
  <si>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</si>
  <si>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</si>
  <si>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</si>
  <si>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</si>
  <si>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</si>
  <si>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</si>
  <si>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</si>
  <si>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</si>
  <si>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</si>
  <si>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</si>
  <si>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</si>
  <si>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</si>
  <si>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</si>
  <si>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</si>
  <si>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</si>
  <si>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</si>
  <si>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</si>
  <si>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</si>
  <si>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</si>
  <si>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</si>
  <si>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</si>
  <si>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</si>
  <si>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</si>
  <si>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</si>
  <si>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</si>
  <si>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</si>
  <si>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</si>
  <si>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</si>
  <si>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</si>
  <si>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</si>
  <si>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</si>
  <si>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</si>
  <si>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</si>
  <si>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</si>
  <si>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</si>
  <si>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</si>
  <si>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</si>
  <si>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</si>
  <si>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</si>
  <si>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</si>
  <si>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</si>
  <si>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</si>
  <si>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</si>
  <si>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</si>
  <si>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</si>
  <si>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</si>
  <si>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</si>
  <si>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</si>
  <si>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</si>
  <si>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</si>
  <si>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</si>
  <si>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</si>
  <si>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</si>
  <si>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</si>
  <si>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</si>
  <si>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</si>
  <si>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</si>
  <si>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</si>
  <si>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</si>
  <si>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</si>
  <si>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</si>
  <si>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</si>
  <si>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</si>
  <si>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</si>
  <si>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</si>
  <si>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</si>
  <si>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</si>
  <si>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</si>
  <si>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</si>
  <si>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</si>
  <si>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</si>
  <si>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</si>
  <si>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</si>
  <si>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</si>
  <si>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</si>
  <si>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</si>
  <si>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</si>
  <si>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</si>
  <si>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</si>
  <si>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</si>
  <si>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</si>
  <si>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</si>
  <si>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</si>
  <si>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</si>
  <si>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</si>
  <si>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</si>
  <si>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</si>
  <si>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</si>
  <si>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</si>
  <si>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</si>
  <si>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</si>
  <si>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</si>
  <si>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</si>
  <si>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</si>
  <si>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</si>
  <si>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</si>
  <si>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</si>
  <si>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</si>
  <si>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</si>
  <si>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</si>
  <si>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</si>
  <si>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</si>
  <si>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</si>
  <si>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</si>
  <si>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</si>
  <si>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</si>
  <si>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</si>
  <si>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</si>
  <si>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</si>
  <si>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</si>
  <si>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</si>
  <si>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</si>
  <si>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</si>
  <si>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</si>
  <si>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</si>
  <si>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</si>
  <si>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</si>
  <si>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</si>
  <si>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</si>
  <si>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</si>
  <si>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</si>
  <si>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</si>
  <si>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</si>
  <si>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</si>
  <si>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</si>
  <si>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</si>
  <si>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</si>
  <si>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</si>
  <si>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</si>
  <si>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</si>
  <si>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</si>
  <si>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</si>
  <si>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</si>
  <si>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</si>
  <si>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</si>
  <si>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</si>
  <si>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</si>
  <si>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</si>
  <si>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</si>
  <si>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</si>
  <si>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</si>
  <si>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</si>
  <si>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</si>
  <si>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</si>
  <si>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</si>
  <si>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</si>
  <si>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</si>
  <si>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</si>
  <si>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</si>
  <si>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</si>
  <si>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</si>
  <si>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</si>
  <si>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</si>
  <si>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</si>
  <si>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</si>
  <si>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</si>
  <si>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</si>
  <si>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</si>
  <si>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</si>
  <si>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</si>
  <si>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</si>
  <si>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</si>
  <si>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</si>
  <si>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</si>
  <si>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</si>
  <si>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</si>
  <si>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</si>
  <si>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</si>
  <si>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</si>
  <si>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</si>
  <si>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</si>
  <si>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</si>
  <si>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</si>
  <si>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</si>
  <si>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</si>
  <si>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</si>
  <si>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</si>
  <si>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</si>
  <si>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</si>
  <si>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</si>
  <si>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</si>
  <si>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</si>
  <si>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</si>
  <si>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</si>
  <si>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</si>
  <si>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</si>
  <si>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</si>
  <si>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</si>
  <si>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</si>
  <si>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</si>
  <si>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</si>
  <si>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</si>
  <si>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</si>
  <si>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</si>
  <si>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</si>
  <si>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</si>
  <si>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</si>
  <si>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</si>
  <si>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</si>
  <si>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</si>
  <si>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</si>
  <si>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</si>
  <si>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</si>
  <si>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</si>
  <si>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</si>
  <si>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</si>
  <si>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</si>
  <si>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</si>
  <si>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</si>
  <si>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</si>
  <si>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</si>
  <si>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</si>
  <si>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</si>
  <si>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</si>
  <si>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</si>
  <si>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</si>
  <si>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</si>
  <si>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</si>
  <si>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</si>
  <si>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</si>
  <si>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</si>
  <si>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</si>
  <si>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</si>
  <si>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</si>
  <si>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</si>
  <si>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</si>
  <si>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</si>
  <si>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</si>
  <si>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</si>
  <si>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</si>
  <si>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</si>
  <si>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</si>
  <si>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</si>
  <si>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</si>
  <si>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</si>
  <si>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</si>
  <si>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</si>
  <si>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</si>
  <si>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</si>
  <si>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</si>
  <si>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</si>
  <si>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</si>
  <si>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</si>
  <si>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</si>
  <si>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</si>
  <si>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</si>
  <si>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</si>
  <si>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</si>
  <si>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</si>
  <si>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</si>
  <si>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</si>
  <si>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</si>
  <si>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</si>
  <si>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</si>
  <si>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</si>
  <si>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</si>
  <si>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</si>
  <si>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</si>
  <si>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</si>
  <si>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</si>
  <si>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</si>
  <si>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</si>
  <si>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</si>
  <si>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</si>
  <si>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</si>
  <si>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</si>
  <si>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</si>
  <si>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</si>
  <si>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</si>
  <si>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</si>
  <si>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</si>
  <si>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</si>
  <si>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</si>
  <si>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</si>
  <si>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</si>
  <si>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</si>
  <si>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</si>
  <si>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</si>
  <si>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</si>
  <si>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</si>
  <si>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</si>
  <si>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</si>
  <si>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</si>
  <si>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</si>
  <si>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</si>
  <si>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</si>
  <si>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</si>
  <si>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</si>
  <si>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</si>
  <si>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</si>
  <si>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</si>
  <si>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</si>
  <si>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</si>
  <si>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</si>
  <si>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</si>
  <si>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</si>
  <si>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</si>
  <si>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</si>
  <si>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</si>
  <si>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</si>
  <si>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</si>
  <si>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</si>
  <si>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</si>
  <si>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</si>
  <si>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</si>
  <si>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</si>
  <si>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</si>
  <si>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</si>
  <si>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</si>
  <si>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</si>
  <si>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</si>
  <si>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</si>
  <si>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</si>
  <si>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</si>
  <si>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</si>
  <si>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</si>
  <si>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</si>
  <si>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</si>
  <si>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</si>
  <si>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</si>
  <si>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</si>
  <si>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</si>
  <si>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TOTAL of SCHEDULE-2</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</si>
  <si>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</si>
  <si>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</si>
  <si>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</si>
  <si>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</si>
  <si>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</si>
  <si>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</si>
  <si>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</si>
  <si>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</si>
  <si>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</si>
  <si>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</si>
  <si>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</si>
  <si>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SET</t>
  </si>
  <si>
    <t>ORIGINAL</t>
  </si>
  <si>
    <t>Substation Package SS-01</t>
  </si>
  <si>
    <t>Gurugram (Haryana) - 122001</t>
  </si>
  <si>
    <t>DEF</t>
  </si>
  <si>
    <t>24 FIBRE (DWSM) OPGW FIBRE OPTIC CABLE</t>
  </si>
  <si>
    <t>Vibration Damper for 24 fibre OPGW</t>
  </si>
  <si>
    <t>Joint Box for 24 fibre OPGW</t>
  </si>
  <si>
    <t>Supply of Hexagonal Bolts &amp; Nuts fortowers including Step Bolts,SpringWashers etc.</t>
  </si>
  <si>
    <t>Supply of Obstruction Lights (as perIS5613)-1 Medium Intensity + 2LowIntensity</t>
  </si>
  <si>
    <t>Composite long rod Insulators for 400kV Transmission Line-120 KN(Length-3335 mm, Creepage-13020 mm)</t>
  </si>
  <si>
    <t>Composite long rod Insulators for 400kV Transmission Line-160 KN(Length-3910 mm, Creepage-13020 mm)</t>
  </si>
  <si>
    <t>Excavation: Dry Fissured Rock</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</si>
  <si>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</si>
  <si>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Supply of Counterpoise type earthing (120 mlength)</t>
  </si>
  <si>
    <t>abc</t>
  </si>
  <si>
    <t>Transmission Line package TW02 for Diversion / modification of various POWERGRID’s 400kV Transmission Lines due to upcoming Green Field Airport at Kota under Consultancy Services to Kota Development Authority, Kota</t>
  </si>
  <si>
    <t>TW-02</t>
  </si>
  <si>
    <t>Fabrication, galvanising &amp; supply ofvarious types of towers &amp; tower parts,tower/leg extensions (complete)excluding step bolt, stubs and bolts &amp;nuts but including hangers, D-Shackles,pack washers etc.-HT Steel for NormalTowers</t>
  </si>
  <si>
    <t>Fabrication, galvanising &amp; supply ofvarious types of towers &amp; tower parts,tower/leg extensions (complete)excluding step bolt, stubs andbolts &amp;nuts but including hangers, D-Shackles,pack washers etc.-MS Steel for NormalTowers</t>
  </si>
  <si>
    <t>Fabrication, galvanising &amp; supply ofstubs with cleats for various types of towers and tower extensions (complete) with pack washers excluding supply of bolts &amp; nuts-HT Steel for Normal Towers</t>
  </si>
  <si>
    <t>Fabrication, galvanising &amp; supply of stubs with cleats for various types of towers and tower extensions (complete) with pack washers excluding supply of bolts &amp; nuts-MS Steel for Normal Towers</t>
  </si>
  <si>
    <t>Supply of Bolts &amp; Nuts for Stubs including Spring Washers etc.</t>
  </si>
  <si>
    <t>Danger Plate for 400 kV</t>
  </si>
  <si>
    <t>Number Plate for 400 kV</t>
  </si>
  <si>
    <t>Phase Plate(Set of Three)</t>
  </si>
  <si>
    <t>Circuit Plate(Set of Two)</t>
  </si>
  <si>
    <t>Supply of Anti Climbling devices of barbed wire type</t>
  </si>
  <si>
    <t>Bird Guard(Set of Three)</t>
  </si>
  <si>
    <t>Mid span compression joint for Conductor-ACSR Moose</t>
  </si>
  <si>
    <t>Repair Sleeves for ACSR Moose Conductor</t>
  </si>
  <si>
    <t>Mid span compression joint -7/3.66mm earthwire</t>
  </si>
  <si>
    <t>FLEXIBLE CU BOND-7/3.66 MM E/W</t>
  </si>
  <si>
    <t>FLEXIBLE AL BOND-7/4.5 MM E/W</t>
  </si>
  <si>
    <t>Vibration damper-7/3.66mm earthwire</t>
  </si>
  <si>
    <t>Suspension clamp-7/3.66mm Earthwire</t>
  </si>
  <si>
    <t>Tension clamp-7/3.66mm earthwire</t>
  </si>
  <si>
    <t>Hardware Fittings for 400 kV AC with Twin ACSR Moose Conductor-Single"I" Suspension String</t>
  </si>
  <si>
    <t>Hardware Fittings for 400 kV AC with Twin ACSR Moose Conductor-Single"I" Suspension String(Pilot)</t>
  </si>
  <si>
    <t>Hardware Fittings for 400 kV AC with Twin ACSR Moose Conductor-Double Tension String</t>
  </si>
  <si>
    <t>Vibration damper-ACSR Moose</t>
  </si>
  <si>
    <t>Bundle Spacer for conductor-Twin ACSR Moose</t>
  </si>
  <si>
    <t>Rigid Spacer for jumper- Twin ACSR Moose</t>
  </si>
  <si>
    <t>Supply of ACSR Moose Conductor</t>
  </si>
  <si>
    <t>7/3.66mm GS Earthwire</t>
  </si>
  <si>
    <t>Supply of Span Markers (Globules) for aviation requirement</t>
  </si>
  <si>
    <t>Suspension clamp assembly for 24 fibre OPGW</t>
  </si>
  <si>
    <t>TENSION FITTINGS ASSEMBLY FOR 24F OPGW INCLUDING ALL ACCESSORIES FORJOINT BOX (SPLICING) LOCATION</t>
  </si>
  <si>
    <t>TENSION ASSEMBLY - DOUBLE TENSION PASS THROUGH ASSEMBLY FOR 24 FIBEROPGW</t>
  </si>
  <si>
    <t>TENSION FITTINGS ASSEMBLY ON SUSPENSION TOWER FOR 24F OPGW INCLUDINGALL ACCESSORIES AT JOINT BOX (SPLICING) LOCATION</t>
  </si>
  <si>
    <t>Down Lead clamp Assembly for 24 fibre OPGW</t>
  </si>
  <si>
    <t>MT</t>
  </si>
  <si>
    <t>EA</t>
  </si>
  <si>
    <t>Nos.</t>
  </si>
  <si>
    <t>Kms</t>
  </si>
  <si>
    <t>Nos</t>
  </si>
  <si>
    <t>No.</t>
  </si>
  <si>
    <t>set</t>
  </si>
  <si>
    <t>KM</t>
  </si>
  <si>
    <t>Detailed survey including profiling and tower spotting using modern survey techniques</t>
  </si>
  <si>
    <t>Check Survey</t>
  </si>
  <si>
    <t>Excavation: WBC Soil</t>
  </si>
  <si>
    <t>Excavation:Wet Soil</t>
  </si>
  <si>
    <t>Hard Rock : Excavation</t>
  </si>
  <si>
    <t>Concreting (including all associated works related to foundation not covered in excavation and reinforcement steel works: concreting(1:1.5:3)</t>
  </si>
  <si>
    <t>Concreting (including all associated works related to foundation not covered in excavation and reinforcement steel works: concreting(1:3:6)</t>
  </si>
  <si>
    <t>Supply and placement of reinforcement steel</t>
  </si>
  <si>
    <t>Installation of Stub including bolts and nuts : For Normal Towers using template</t>
  </si>
  <si>
    <t>Erection of various type of towers, tower parts and tower extension(complete) with bolts &amp; nuts, including tack welding and supply and application of zinc rich primer and two coats of enamel paint: Normal towers</t>
  </si>
  <si>
    <t>Installation of earthing of towers: Counterpoise Type</t>
  </si>
  <si>
    <t>Installation of Shieldwire earthing including PG clamps, downlead clamps but excluding earthwire bits for Counterpoise type earthing</t>
  </si>
  <si>
    <t>Installation of tower accessories:Danger Plate</t>
  </si>
  <si>
    <t>Installation of tower accessories:Number Plate</t>
  </si>
  <si>
    <t xml:space="preserve">Installation of tower accessories:Anti-Climbing Device </t>
  </si>
  <si>
    <t>Installation of tower accessories:Phase Plate (Set of three)</t>
  </si>
  <si>
    <t>Installation of tower accessories:Circuit Plate(Set of Two)</t>
  </si>
  <si>
    <t>Installation of tower accessories:Bird Guards(Set of three)</t>
  </si>
  <si>
    <t>400 kV AC single circuit with twin bundle conductor/ Installation of Insulator strings complete with arcing horns &amp; necessary hardware, Installing &amp; stringing of conductor including fixing of conductor accessories, Installing &amp; stringing of earthwire including fixing of conductor accessories for the line</t>
  </si>
  <si>
    <t>Destringing of existing 400 kV D/C  line  and transportation of material to store</t>
  </si>
  <si>
    <t>Destringing of existing 400 kV S/C  line  and transportation of material to store</t>
  </si>
  <si>
    <t xml:space="preserve">Dismantling of existing 15 Nos.  Towers including stub upto 01 metre below ground level &amp; transporation to store
</t>
  </si>
  <si>
    <t>Providing Aviation Painting for Towers (Structure marking as per IS 5613 part3/sec-1):-Painting of tower (For towers above 45 meters)</t>
  </si>
  <si>
    <t>Installation  of Span Markers  (Globules)  for aviation requirements:-Obstruction Lights (to be provided as per IS 5613)</t>
  </si>
  <si>
    <t>Installation  of obstraction Lights for aviation requirement 1 medium + 2 Low intensity aviation warning lights</t>
  </si>
  <si>
    <t>Installation of 24Fibre (DWSM) OPGW Cable alongwith associated Hardware fittings &amp; vibration dampers in Off-line condition</t>
  </si>
  <si>
    <t>Cum</t>
  </si>
  <si>
    <t>Set</t>
  </si>
  <si>
    <t xml:space="preserve">400 KV RAPP (C ) -KOTA </t>
  </si>
  <si>
    <t>Supply of Shieldwire earthing including PG clamps, downlead clamps but excluding earthwire bits for Counter poise type earthing:-Counterpoise type (120 m length)</t>
  </si>
  <si>
    <t>B.</t>
  </si>
  <si>
    <t>A</t>
  </si>
  <si>
    <t xml:space="preserve">400 KV Kota- Merta &amp; Kota-Beawar </t>
  </si>
  <si>
    <t>Detailed Soil Investigation:All kind of soil except hard rock &amp; fissured rock</t>
  </si>
  <si>
    <t>Detailed Soil Investigation:Hard rock</t>
  </si>
  <si>
    <t>Loc</t>
  </si>
  <si>
    <t>FLEXIBLE CU BOND-7/4.5MM E/W</t>
  </si>
  <si>
    <t>FLEXIBLE AL BOND-7/3.66MM E/W</t>
  </si>
  <si>
    <t>Spec No: NR1/NT/W-TW/DOM/I00/25/03940 (Rfx-5002004353)</t>
  </si>
  <si>
    <t>Detailed Soil Investigation:Fissured rock</t>
  </si>
  <si>
    <t>Installation of earthing of towers: Pipe Type</t>
  </si>
  <si>
    <t>Installation of Shieldwire earthing including PG clamps, downlead clamps but excluding earthwire bits for Pipe type earthing</t>
  </si>
  <si>
    <t>400 kV AC double circuit with twin bundle conductor/ Installation of Insulator strings complete with arcing horns &amp; necessary hardware, Installing &amp; stringing of conductor including fixing of conductor accessories, Installing &amp; stringing of earthwire including fixing of conductor accessories for the line</t>
  </si>
  <si>
    <t xml:space="preserve">Dismantling of existing 49 Nos.  Towers including stub upto 01 metre below ground level &amp; transporation to store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</si>
</sst>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0.00_)"/>
  </numFmts>
  <fonts count="86">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sz val="12"/>
      <name val="Calibri"/>
      <family val="2"/>
      <scheme val="minor"/>
    </font>
    <font>
      <sz val="12"/>
      <color theme="1"/>
      <name val="Times New Roman"/>
      <family val="1"/>
    </font>
    <font>
      <sz val="12"/>
      <color theme="1"/>
      <name val="Calibri"/>
      <family val="2"/>
      <scheme val="minor"/>
    </font>
    <font>
      <sz val="11"/>
      <color indexed="8"/>
      <name val="Calibri"/>
      <family val="2"/>
    </font>
    <font>
      <sz val="10"/>
      <name val="Courier New"/>
      <family val="3"/>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33">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166" fontId="70" fillId="0" borderId="0" applyFont="0" applyFill="0" applyBorder="0" applyAlignment="0" applyProtection="0"/>
    <xf numFmtId="0" fontId="6" fillId="0" borderId="0"/>
    <xf numFmtId="0" fontId="70" fillId="0" borderId="0"/>
    <xf numFmtId="0" fontId="84" fillId="0" borderId="0"/>
    <xf numFmtId="43" fontId="70" fillId="0" borderId="0" applyFont="0" applyFill="0" applyBorder="0" applyAlignment="0" applyProtection="0"/>
    <xf numFmtId="180" fontId="85" fillId="0" borderId="0"/>
    <xf numFmtId="0" fontId="6" fillId="0" borderId="0"/>
  </cellStyleXfs>
  <cellXfs count="105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1" fillId="0" borderId="0" xfId="0" applyFont="1" applyAlignment="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37" fontId="37" fillId="0" borderId="0" xfId="113" applyNumberFormat="1" applyFont="1" applyFill="1" applyBorder="1" applyAlignment="1" applyProtection="1">
      <alignment vertical="top"/>
      <protection hidden="1"/>
    </xf>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73" fillId="3" borderId="14" xfId="109" applyFont="1" applyFill="1" applyBorder="1" applyAlignment="1" applyProtection="1">
      <alignment vertical="top" wrapText="1"/>
      <protection locked="0"/>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49" fontId="7" fillId="9" borderId="9" xfId="114" applyNumberFormat="1" applyFont="1" applyFill="1" applyBorder="1" applyAlignment="1">
      <alignment horizontal="lef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 fillId="0" borderId="9" xfId="114" applyFont="1" applyBorder="1" applyAlignment="1" applyProtection="1">
      <alignment horizontal="left" vertical="center" wrapText="1"/>
      <protection hidden="1"/>
    </xf>
    <xf numFmtId="43" fontId="73" fillId="3" borderId="18" xfId="8" applyFont="1" applyFill="1" applyBorder="1" applyAlignment="1" applyProtection="1">
      <alignment horizontal="center" vertical="top" wrapText="1"/>
      <protection locked="0"/>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4" fillId="0" borderId="0" xfId="114" applyFont="1" applyAlignment="1" applyProtection="1">
      <alignment horizontal="left" vertical="top"/>
      <protection hidden="1"/>
    </xf>
    <xf numFmtId="0" fontId="2" fillId="0" borderId="0" xfId="0" applyFont="1" applyAlignment="1">
      <alignment horizontal="left" vertical="top" wrapText="1"/>
    </xf>
    <xf numFmtId="0" fontId="1" fillId="0" borderId="5" xfId="0" applyFont="1" applyBorder="1" applyAlignment="1">
      <alignment vertical="top"/>
    </xf>
    <xf numFmtId="0" fontId="1" fillId="0" borderId="5" xfId="0" applyFont="1" applyBorder="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 fillId="0" borderId="5" xfId="0" applyFont="1" applyBorder="1" applyAlignment="1">
      <alignment horizontal="righ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wrapText="1"/>
    </xf>
    <xf numFmtId="0" fontId="2" fillId="0" borderId="0" xfId="111" applyNumberFormat="1" applyFont="1" applyFill="1" applyBorder="1" applyAlignment="1" applyProtection="1">
      <alignment horizontal="center" vertical="top" wrapText="1"/>
    </xf>
    <xf numFmtId="0" fontId="2" fillId="0" borderId="0" xfId="111" applyNumberFormat="1" applyFont="1" applyFill="1" applyBorder="1" applyAlignment="1" applyProtection="1">
      <alignment horizontal="left" vertical="top" wrapText="1"/>
    </xf>
    <xf numFmtId="0" fontId="2" fillId="0" borderId="0" xfId="111" applyNumberFormat="1" applyFont="1" applyFill="1" applyBorder="1" applyAlignment="1" applyProtection="1">
      <alignment vertical="top" wrapText="1"/>
    </xf>
    <xf numFmtId="0" fontId="2" fillId="0" borderId="0" xfId="0" applyFont="1" applyAlignment="1">
      <alignment horizontal="center" vertical="top"/>
    </xf>
    <xf numFmtId="0" fontId="1" fillId="0" borderId="0" xfId="115" applyFont="1" applyAlignment="1">
      <alignment horizontal="left" vertical="top"/>
    </xf>
    <xf numFmtId="0" fontId="1" fillId="0" borderId="0" xfId="115" applyFont="1" applyAlignment="1">
      <alignment vertical="top"/>
    </xf>
    <xf numFmtId="0" fontId="2" fillId="0" borderId="0" xfId="0" applyFont="1" applyAlignment="1">
      <alignment horizontal="left" vertical="top"/>
    </xf>
    <xf numFmtId="0" fontId="2" fillId="0" borderId="0" xfId="115" applyFont="1" applyAlignment="1">
      <alignment horizontal="left" vertical="top"/>
    </xf>
    <xf numFmtId="0" fontId="1" fillId="0" borderId="0" xfId="0" applyFont="1" applyAlignment="1">
      <alignment vertical="top" wrapText="1"/>
    </xf>
    <xf numFmtId="0" fontId="1" fillId="0" borderId="0" xfId="115" applyFont="1" applyAlignment="1">
      <alignment horizontal="center" vertical="top"/>
    </xf>
    <xf numFmtId="0" fontId="2" fillId="0" borderId="0" xfId="115" applyFont="1" applyAlignment="1">
      <alignment vertical="top" wrapText="1"/>
    </xf>
    <xf numFmtId="0" fontId="2" fillId="0" borderId="0" xfId="115" applyFont="1" applyAlignment="1">
      <alignment horizontal="center" vertical="top"/>
    </xf>
    <xf numFmtId="0" fontId="3" fillId="0" borderId="0" xfId="0" applyFont="1" applyAlignment="1">
      <alignment vertical="top" wrapText="1"/>
    </xf>
    <xf numFmtId="0" fontId="2" fillId="0" borderId="0" xfId="115" applyFont="1" applyAlignment="1" applyProtection="1">
      <alignment vertical="top" wrapText="1"/>
      <protection hidden="1"/>
    </xf>
    <xf numFmtId="0" fontId="1" fillId="0" borderId="0" xfId="115" applyFont="1" applyAlignment="1" applyProtection="1">
      <alignment horizontal="left" vertical="top" wrapText="1"/>
      <protection hidden="1"/>
    </xf>
    <xf numFmtId="0" fontId="1" fillId="0" borderId="0" xfId="115" applyFont="1" applyAlignment="1" applyProtection="1">
      <alignment horizontal="center" vertical="top" wrapText="1"/>
      <protection hidden="1"/>
    </xf>
    <xf numFmtId="0" fontId="1" fillId="0" borderId="6" xfId="111" applyNumberFormat="1" applyFont="1" applyFill="1" applyBorder="1" applyAlignment="1" applyProtection="1">
      <alignment vertical="top" wrapText="1"/>
    </xf>
    <xf numFmtId="0" fontId="1" fillId="0" borderId="10" xfId="111" applyNumberFormat="1" applyFont="1" applyFill="1" applyBorder="1" applyAlignment="1" applyProtection="1">
      <alignment vertical="top" wrapText="1"/>
    </xf>
    <xf numFmtId="0" fontId="1" fillId="0" borderId="7" xfId="111" applyNumberFormat="1" applyFont="1" applyFill="1" applyBorder="1" applyAlignment="1" applyProtection="1">
      <alignment horizontal="center" vertical="top" wrapText="1"/>
    </xf>
    <xf numFmtId="0" fontId="1" fillId="0" borderId="8" xfId="111" applyNumberFormat="1" applyFont="1" applyFill="1" applyBorder="1" applyAlignment="1" applyProtection="1">
      <alignment horizontal="center" vertical="top" wrapText="1"/>
    </xf>
    <xf numFmtId="0" fontId="58" fillId="0" borderId="9" xfId="0" applyFont="1" applyBorder="1" applyAlignment="1">
      <alignment horizontal="center" vertical="top" wrapText="1"/>
    </xf>
    <xf numFmtId="0" fontId="62" fillId="0" borderId="0" xfId="0" applyFont="1" applyAlignment="1">
      <alignment vertical="top" wrapText="1"/>
    </xf>
    <xf numFmtId="0" fontId="61" fillId="0" borderId="0" xfId="0" applyFont="1" applyAlignment="1">
      <alignment vertical="top" wrapText="1"/>
    </xf>
    <xf numFmtId="0" fontId="1" fillId="15" borderId="9" xfId="0" applyFont="1" applyFill="1" applyBorder="1" applyAlignment="1">
      <alignment horizontal="center" vertical="top" wrapText="1"/>
    </xf>
    <xf numFmtId="0" fontId="1" fillId="15" borderId="24" xfId="0" applyFont="1" applyFill="1" applyBorder="1" applyAlignment="1">
      <alignment vertical="top"/>
    </xf>
    <xf numFmtId="0" fontId="1" fillId="15" borderId="3" xfId="0" applyFont="1" applyFill="1" applyBorder="1" applyAlignment="1">
      <alignment vertical="top"/>
    </xf>
    <xf numFmtId="0" fontId="1" fillId="15" borderId="25" xfId="0" applyFont="1" applyFill="1" applyBorder="1" applyAlignment="1">
      <alignment vertical="top"/>
    </xf>
    <xf numFmtId="0" fontId="1" fillId="15" borderId="9" xfId="0" applyFont="1" applyFill="1" applyBorder="1" applyAlignment="1">
      <alignment vertical="top" wrapText="1"/>
    </xf>
    <xf numFmtId="0" fontId="5" fillId="15" borderId="0" xfId="0" applyFont="1" applyFill="1" applyAlignment="1">
      <alignment vertical="top" wrapText="1"/>
    </xf>
    <xf numFmtId="0" fontId="2" fillId="15" borderId="0" xfId="0" applyFont="1" applyFill="1" applyAlignment="1">
      <alignment vertical="top" wrapText="1"/>
    </xf>
    <xf numFmtId="0" fontId="2" fillId="0" borderId="9" xfId="111" applyNumberFormat="1" applyFont="1" applyFill="1" applyBorder="1" applyAlignment="1" applyProtection="1">
      <alignment horizontal="center" vertical="top" wrapText="1"/>
    </xf>
    <xf numFmtId="0" fontId="2" fillId="10" borderId="9" xfId="111" applyNumberFormat="1" applyFont="1" applyFill="1" applyBorder="1" applyAlignment="1" applyProtection="1">
      <alignment horizontal="center" vertical="top" wrapText="1"/>
      <protection locked="0"/>
    </xf>
    <xf numFmtId="0" fontId="73" fillId="10" borderId="9" xfId="0" applyFont="1" applyFill="1" applyBorder="1" applyAlignment="1">
      <alignment vertical="top" wrapText="1"/>
    </xf>
    <xf numFmtId="4" fontId="76" fillId="10" borderId="9" xfId="8" applyNumberFormat="1" applyFont="1" applyFill="1" applyBorder="1" applyAlignment="1" applyProtection="1">
      <alignment horizontal="right" vertical="top" wrapText="1"/>
    </xf>
    <xf numFmtId="0" fontId="73" fillId="0" borderId="0" xfId="0" applyFont="1" applyAlignment="1">
      <alignment vertical="top" wrapText="1"/>
    </xf>
    <xf numFmtId="0" fontId="2" fillId="0" borderId="0" xfId="111" applyNumberFormat="1" applyFont="1" applyFill="1" applyBorder="1" applyAlignment="1" applyProtection="1">
      <alignment horizontal="center" vertical="top" wrapText="1"/>
      <protection locked="0"/>
    </xf>
    <xf numFmtId="0" fontId="73" fillId="0" borderId="0" xfId="0" applyFont="1" applyAlignment="1">
      <alignment horizontal="center" vertical="top"/>
    </xf>
    <xf numFmtId="0" fontId="73" fillId="0" borderId="0" xfId="0" applyFont="1" applyAlignment="1">
      <alignment horizontal="left" vertical="top"/>
    </xf>
    <xf numFmtId="0" fontId="73" fillId="0" borderId="0" xfId="0" applyFont="1" applyAlignment="1">
      <alignment horizontal="right" vertical="top"/>
    </xf>
    <xf numFmtId="0" fontId="1" fillId="0" borderId="0" xfId="0" applyFont="1" applyAlignment="1">
      <alignment horizontal="justify" vertical="top" wrapText="1"/>
    </xf>
    <xf numFmtId="175" fontId="1" fillId="0" borderId="0" xfId="0" applyNumberFormat="1" applyFont="1" applyAlignment="1">
      <alignment horizontal="justify" vertical="top" wrapText="1"/>
    </xf>
    <xf numFmtId="0" fontId="1" fillId="0" borderId="0" xfId="0" applyFont="1" applyAlignment="1">
      <alignment horizontal="right" vertical="top" wrapText="1"/>
    </xf>
    <xf numFmtId="0" fontId="1" fillId="0" borderId="0" xfId="0" applyFont="1" applyAlignment="1">
      <alignment horizontal="left" vertical="top" wrapText="1"/>
    </xf>
    <xf numFmtId="0" fontId="73" fillId="0" borderId="0" xfId="0" applyFont="1" applyAlignment="1">
      <alignment horizontal="center" vertical="top" wrapText="1"/>
    </xf>
    <xf numFmtId="0" fontId="5" fillId="0" borderId="0" xfId="0" applyFont="1" applyAlignment="1">
      <alignment horizontal="justify" vertical="top" wrapText="1"/>
    </xf>
    <xf numFmtId="0" fontId="1" fillId="0" borderId="5" xfId="0" applyFont="1" applyBorder="1" applyAlignment="1">
      <alignment horizontal="left" vertical="top"/>
    </xf>
    <xf numFmtId="0" fontId="1" fillId="0" borderId="5" xfId="0" applyFont="1" applyBorder="1" applyAlignment="1">
      <alignment horizontal="center" vertical="top"/>
    </xf>
    <xf numFmtId="0" fontId="2" fillId="0" borderId="5" xfId="0" applyFont="1" applyBorder="1" applyAlignment="1">
      <alignment horizontal="center" vertical="top" wrapText="1"/>
    </xf>
    <xf numFmtId="0" fontId="3" fillId="0" borderId="0" xfId="0" applyFont="1" applyAlignment="1">
      <alignment horizontal="center" vertical="top"/>
    </xf>
    <xf numFmtId="0" fontId="2" fillId="0" borderId="0" xfId="115" applyFont="1" applyAlignment="1">
      <alignment horizontal="center" vertical="top" wrapText="1"/>
    </xf>
    <xf numFmtId="0" fontId="73" fillId="0" borderId="9" xfId="0" applyFont="1" applyBorder="1" applyAlignment="1">
      <alignment horizontal="center" vertical="top"/>
    </xf>
    <xf numFmtId="0" fontId="71" fillId="0" borderId="0" xfId="0" applyFont="1" applyAlignment="1">
      <alignment horizontal="center" vertical="top"/>
    </xf>
    <xf numFmtId="0" fontId="76" fillId="0" borderId="0" xfId="0" applyFont="1" applyAlignment="1">
      <alignment horizontal="center" vertical="top"/>
    </xf>
    <xf numFmtId="0" fontId="1" fillId="0" borderId="9"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9" xfId="0" applyFont="1" applyBorder="1" applyAlignment="1">
      <alignment horizontal="center" vertical="top"/>
    </xf>
    <xf numFmtId="0" fontId="58" fillId="0" borderId="9" xfId="0" applyFont="1" applyBorder="1" applyAlignment="1">
      <alignment horizontal="center" vertical="top"/>
    </xf>
    <xf numFmtId="0" fontId="58" fillId="0" borderId="24" xfId="0" applyFont="1" applyBorder="1" applyAlignment="1">
      <alignment horizontal="center" vertical="top"/>
    </xf>
    <xf numFmtId="0" fontId="58" fillId="0" borderId="25" xfId="0" applyFont="1" applyBorder="1" applyAlignment="1">
      <alignment horizontal="center" vertical="top"/>
    </xf>
    <xf numFmtId="0" fontId="78" fillId="0" borderId="0" xfId="0" applyFont="1" applyAlignment="1">
      <alignment horizontal="center" vertical="top"/>
    </xf>
    <xf numFmtId="0" fontId="33" fillId="15" borderId="9" xfId="0" applyFont="1" applyFill="1" applyBorder="1" applyAlignment="1">
      <alignment horizontal="center" vertical="top"/>
    </xf>
    <xf numFmtId="0" fontId="33" fillId="15" borderId="24" xfId="0" applyFont="1" applyFill="1" applyBorder="1" applyAlignment="1">
      <alignment vertical="top"/>
    </xf>
    <xf numFmtId="0" fontId="33" fillId="15" borderId="3" xfId="0" applyFont="1" applyFill="1" applyBorder="1" applyAlignment="1">
      <alignment vertical="top"/>
    </xf>
    <xf numFmtId="0" fontId="33" fillId="15" borderId="25" xfId="0" applyFont="1" applyFill="1" applyBorder="1" applyAlignment="1">
      <alignment vertical="top"/>
    </xf>
    <xf numFmtId="0" fontId="33" fillId="15" borderId="9" xfId="0" applyFont="1" applyFill="1" applyBorder="1" applyAlignment="1">
      <alignment vertical="top"/>
    </xf>
    <xf numFmtId="0" fontId="2" fillId="0" borderId="18" xfId="0" applyFont="1" applyBorder="1" applyAlignment="1">
      <alignment horizontal="center" vertical="top"/>
    </xf>
    <xf numFmtId="0" fontId="73" fillId="0" borderId="9" xfId="0" applyFont="1" applyBorder="1" applyAlignment="1" applyProtection="1">
      <alignment horizontal="right" vertical="top"/>
      <protection locked="0"/>
    </xf>
    <xf numFmtId="2" fontId="73" fillId="0" borderId="9" xfId="0" applyNumberFormat="1" applyFont="1" applyBorder="1" applyAlignment="1" applyProtection="1">
      <alignment horizontal="right" vertical="top"/>
      <protection locked="0"/>
    </xf>
    <xf numFmtId="164" fontId="73" fillId="0" borderId="0" xfId="0" applyNumberFormat="1" applyFont="1" applyAlignment="1">
      <alignment horizontal="center" vertical="top"/>
    </xf>
    <xf numFmtId="0" fontId="2" fillId="0" borderId="9" xfId="0" applyFont="1" applyBorder="1" applyAlignment="1">
      <alignment horizontal="center" vertical="top"/>
    </xf>
    <xf numFmtId="4" fontId="1" fillId="12" borderId="9" xfId="8" applyNumberFormat="1" applyFont="1" applyFill="1" applyBorder="1" applyAlignment="1" applyProtection="1">
      <alignment horizontal="right" vertical="top"/>
    </xf>
    <xf numFmtId="43" fontId="73" fillId="0" borderId="9" xfId="8" applyFont="1" applyBorder="1" applyAlignment="1">
      <alignment horizontal="right" vertical="top"/>
    </xf>
    <xf numFmtId="43" fontId="76" fillId="0" borderId="9" xfId="8" applyFont="1" applyBorder="1" applyAlignment="1">
      <alignment horizontal="right" vertical="top"/>
    </xf>
    <xf numFmtId="43" fontId="73" fillId="0" borderId="9" xfId="8" applyFont="1" applyBorder="1" applyAlignment="1" applyProtection="1">
      <alignment horizontal="right" vertical="top"/>
      <protection locked="0"/>
    </xf>
    <xf numFmtId="4" fontId="76" fillId="0" borderId="9" xfId="8" applyNumberFormat="1" applyFont="1" applyBorder="1" applyAlignment="1" applyProtection="1">
      <alignment horizontal="right" vertical="top"/>
      <protection locked="0"/>
    </xf>
    <xf numFmtId="43" fontId="76" fillId="0" borderId="9" xfId="8" applyFont="1" applyBorder="1" applyAlignment="1" applyProtection="1">
      <alignment horizontal="right" vertical="top"/>
      <protection locked="0"/>
    </xf>
    <xf numFmtId="0" fontId="73" fillId="0" borderId="0" xfId="0" applyFont="1" applyAlignment="1" applyProtection="1">
      <alignment horizontal="center" vertical="top"/>
      <protection locked="0"/>
    </xf>
    <xf numFmtId="0" fontId="73" fillId="0" borderId="0" xfId="0" applyFont="1" applyAlignment="1">
      <alignment vertical="top"/>
    </xf>
    <xf numFmtId="165" fontId="1" fillId="0" borderId="5" xfId="0" applyNumberFormat="1" applyFont="1" applyBorder="1" applyAlignment="1">
      <alignment horizontal="left" vertical="top"/>
    </xf>
    <xf numFmtId="165" fontId="1" fillId="0" borderId="5" xfId="0" applyNumberFormat="1" applyFont="1" applyBorder="1" applyAlignment="1">
      <alignment horizontal="left" vertical="top" wrapText="1"/>
    </xf>
    <xf numFmtId="0" fontId="1" fillId="0" borderId="5" xfId="0" applyFont="1" applyBorder="1" applyAlignment="1">
      <alignment horizontal="justify" vertical="top" wrapText="1"/>
    </xf>
    <xf numFmtId="0" fontId="1" fillId="0" borderId="5" xfId="0" applyFont="1" applyBorder="1" applyAlignment="1">
      <alignment horizontal="right" vertical="top"/>
    </xf>
    <xf numFmtId="165" fontId="2" fillId="0" borderId="0" xfId="0" applyNumberFormat="1" applyFont="1" applyAlignment="1">
      <alignment horizontal="left" vertical="top"/>
    </xf>
    <xf numFmtId="165" fontId="2" fillId="0" borderId="0" xfId="0" applyNumberFormat="1" applyFont="1" applyAlignment="1">
      <alignment horizontal="left" vertical="top" wrapText="1"/>
    </xf>
    <xf numFmtId="0" fontId="2" fillId="0" borderId="0" xfId="0" applyFont="1" applyAlignment="1">
      <alignment horizontal="justify" vertical="top" wrapText="1"/>
    </xf>
    <xf numFmtId="165" fontId="2" fillId="0" borderId="0" xfId="111" applyNumberFormat="1" applyFont="1" applyFill="1" applyBorder="1" applyAlignment="1" applyProtection="1">
      <alignment vertical="top" wrapText="1"/>
    </xf>
    <xf numFmtId="0" fontId="2" fillId="0" borderId="0" xfId="111" applyNumberFormat="1" applyFont="1" applyFill="1" applyBorder="1" applyProtection="1">
      <alignment vertical="top"/>
    </xf>
    <xf numFmtId="0" fontId="2" fillId="0" borderId="0" xfId="111" applyNumberFormat="1" applyFont="1" applyFill="1" applyBorder="1" applyAlignment="1" applyProtection="1">
      <alignment horizontal="center" vertical="top"/>
    </xf>
    <xf numFmtId="165" fontId="1" fillId="0" borderId="0" xfId="115" applyNumberFormat="1" applyFont="1" applyAlignment="1" applyProtection="1">
      <alignment vertical="top" wrapText="1"/>
      <protection hidden="1"/>
    </xf>
    <xf numFmtId="0" fontId="2" fillId="0" borderId="0" xfId="0" applyFont="1" applyAlignment="1" applyProtection="1">
      <alignment horizontal="left" vertical="top"/>
      <protection hidden="1"/>
    </xf>
    <xf numFmtId="0" fontId="2" fillId="0" borderId="0" xfId="115" applyFont="1" applyAlignment="1" applyProtection="1">
      <alignment horizontal="center" vertical="top"/>
      <protection hidden="1"/>
    </xf>
    <xf numFmtId="0" fontId="1" fillId="0" borderId="0" xfId="111" applyNumberFormat="1" applyFont="1" applyFill="1" applyBorder="1" applyAlignment="1" applyProtection="1">
      <alignment vertical="top" wrapText="1"/>
    </xf>
    <xf numFmtId="0" fontId="2" fillId="0" borderId="0" xfId="115" applyFont="1" applyAlignment="1" applyProtection="1">
      <alignment horizontal="left" vertical="top"/>
      <protection hidden="1"/>
    </xf>
    <xf numFmtId="0" fontId="2" fillId="0" borderId="0" xfId="115" applyFont="1" applyAlignment="1">
      <alignment horizontal="left" vertical="top" wrapText="1"/>
    </xf>
    <xf numFmtId="165" fontId="2" fillId="0" borderId="0" xfId="115" applyNumberFormat="1" applyFont="1" applyAlignment="1" applyProtection="1">
      <alignment vertical="top"/>
      <protection hidden="1"/>
    </xf>
    <xf numFmtId="165" fontId="2" fillId="0" borderId="0" xfId="115" applyNumberFormat="1" applyFont="1" applyAlignment="1" applyProtection="1">
      <alignment vertical="top" wrapText="1"/>
      <protection hidden="1"/>
    </xf>
    <xf numFmtId="165" fontId="1" fillId="0" borderId="5" xfId="115" applyNumberFormat="1" applyFont="1" applyBorder="1" applyAlignment="1" applyProtection="1">
      <alignment vertical="top"/>
      <protection hidden="1"/>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5" fillId="10" borderId="0" xfId="0" applyFont="1" applyFill="1" applyAlignment="1">
      <alignment vertical="top"/>
    </xf>
    <xf numFmtId="0" fontId="59" fillId="8" borderId="9" xfId="0" applyFont="1" applyFill="1" applyBorder="1" applyAlignment="1" applyProtection="1">
      <alignment horizontal="center" vertical="top" wrapText="1"/>
      <protection locked="0"/>
    </xf>
    <xf numFmtId="0" fontId="59" fillId="8" borderId="9" xfId="0" applyFont="1" applyFill="1" applyBorder="1" applyAlignment="1" applyProtection="1">
      <alignment horizontal="center" vertical="top"/>
      <protection locked="0"/>
    </xf>
    <xf numFmtId="0" fontId="2" fillId="10" borderId="0" xfId="0" applyFont="1" applyFill="1" applyAlignment="1">
      <alignment vertical="top"/>
    </xf>
    <xf numFmtId="0" fontId="1" fillId="15" borderId="9" xfId="0" applyFont="1" applyFill="1" applyBorder="1" applyAlignment="1">
      <alignment horizontal="center" vertical="top"/>
    </xf>
    <xf numFmtId="0" fontId="1" fillId="15" borderId="9" xfId="0" applyFont="1" applyFill="1" applyBorder="1" applyAlignment="1">
      <alignment vertical="top"/>
    </xf>
    <xf numFmtId="0" fontId="2" fillId="0" borderId="9" xfId="0" applyFont="1" applyBorder="1" applyAlignment="1" applyProtection="1">
      <alignment horizontal="center" vertical="top"/>
      <protection locked="0"/>
    </xf>
    <xf numFmtId="178" fontId="2" fillId="0" borderId="9" xfId="0" applyNumberFormat="1" applyFont="1" applyBorder="1" applyAlignment="1" applyProtection="1">
      <alignment vertical="top"/>
      <protection locked="0"/>
    </xf>
    <xf numFmtId="0" fontId="2" fillId="0" borderId="9" xfId="0" applyFont="1" applyBorder="1" applyAlignment="1" applyProtection="1">
      <alignment vertical="top"/>
      <protection locked="0"/>
    </xf>
    <xf numFmtId="164" fontId="5" fillId="0" borderId="0" xfId="0" applyNumberFormat="1" applyFont="1" applyAlignment="1" applyProtection="1">
      <alignment vertical="top"/>
      <protection locked="0"/>
    </xf>
    <xf numFmtId="0" fontId="5" fillId="0" borderId="0" xfId="0" applyFont="1" applyAlignment="1" applyProtection="1">
      <alignment vertical="top"/>
      <protection locked="0"/>
    </xf>
    <xf numFmtId="165" fontId="33" fillId="10" borderId="18" xfId="111" applyNumberFormat="1" applyFont="1" applyFill="1" applyBorder="1" applyAlignment="1" applyProtection="1">
      <alignment vertical="top" wrapText="1"/>
      <protection locked="0"/>
    </xf>
    <xf numFmtId="2" fontId="33" fillId="10" borderId="18" xfId="0" applyNumberFormat="1" applyFont="1" applyFill="1" applyBorder="1" applyAlignment="1">
      <alignment horizontal="right" vertical="top" wrapText="1"/>
    </xf>
    <xf numFmtId="2" fontId="33" fillId="10" borderId="18" xfId="0" applyNumberFormat="1" applyFont="1" applyFill="1" applyBorder="1" applyAlignment="1">
      <alignment horizontal="center" vertical="top" wrapText="1"/>
    </xf>
    <xf numFmtId="39" fontId="33" fillId="10" borderId="18" xfId="8" applyNumberFormat="1" applyFont="1" applyFill="1" applyBorder="1" applyAlignment="1" applyProtection="1">
      <alignment horizontal="right" vertical="top" wrapText="1"/>
    </xf>
    <xf numFmtId="43" fontId="1" fillId="0" borderId="0" xfId="8"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horizontal="center" vertical="top"/>
      <protection locked="0"/>
    </xf>
    <xf numFmtId="165" fontId="2" fillId="0" borderId="0" xfId="111" applyNumberFormat="1" applyFont="1" applyFill="1" applyBorder="1" applyProtection="1">
      <alignment vertical="top"/>
    </xf>
    <xf numFmtId="0" fontId="73" fillId="0" borderId="16" xfId="0" applyFont="1" applyBorder="1" applyAlignment="1">
      <alignment vertical="top"/>
    </xf>
    <xf numFmtId="0" fontId="74" fillId="0" borderId="16" xfId="0" applyFont="1" applyBorder="1" applyAlignment="1">
      <alignment vertical="top"/>
    </xf>
    <xf numFmtId="0" fontId="74" fillId="0" borderId="0" xfId="0" applyFont="1" applyAlignment="1">
      <alignment vertical="top"/>
    </xf>
    <xf numFmtId="0" fontId="74" fillId="0" borderId="0" xfId="0" applyFont="1" applyAlignment="1">
      <alignment horizontal="center" vertical="top"/>
    </xf>
    <xf numFmtId="0" fontId="75" fillId="0" borderId="0" xfId="0" applyFont="1" applyAlignment="1">
      <alignment horizontal="center" vertical="top"/>
    </xf>
    <xf numFmtId="0" fontId="75" fillId="0" borderId="0" xfId="0" applyFont="1" applyAlignment="1">
      <alignment vertical="top"/>
    </xf>
    <xf numFmtId="0" fontId="75" fillId="0" borderId="0" xfId="0" applyFont="1" applyAlignment="1">
      <alignment horizontal="left" vertical="top"/>
    </xf>
    <xf numFmtId="0" fontId="4" fillId="0" borderId="0" xfId="0" applyFont="1" applyAlignment="1">
      <alignment horizontal="center" vertical="top"/>
    </xf>
    <xf numFmtId="164" fontId="2" fillId="0" borderId="0" xfId="111" applyNumberFormat="1" applyFont="1" applyFill="1" applyBorder="1" applyProtection="1">
      <alignment vertical="top"/>
    </xf>
    <xf numFmtId="0" fontId="7" fillId="0" borderId="5" xfId="73" applyFont="1" applyBorder="1" applyAlignment="1" applyProtection="1">
      <alignment horizontal="left" vertical="top"/>
      <protection hidden="1"/>
    </xf>
    <xf numFmtId="0" fontId="7" fillId="0" borderId="5" xfId="73" applyFont="1" applyBorder="1" applyAlignment="1" applyProtection="1">
      <alignment horizontal="justify" vertical="top"/>
      <protection hidden="1"/>
    </xf>
    <xf numFmtId="0" fontId="7" fillId="0" borderId="5" xfId="73" applyFont="1" applyBorder="1" applyAlignment="1" applyProtection="1">
      <alignment vertical="top"/>
      <protection hidden="1"/>
    </xf>
    <xf numFmtId="0" fontId="7" fillId="0" borderId="5" xfId="73" applyFont="1" applyBorder="1" applyAlignment="1" applyProtection="1">
      <alignment horizontal="right" vertical="top"/>
      <protection hidden="1"/>
    </xf>
    <xf numFmtId="0" fontId="4" fillId="0" borderId="0" xfId="73" applyAlignment="1" applyProtection="1">
      <alignment horizontal="left" vertical="top"/>
      <protection hidden="1"/>
    </xf>
    <xf numFmtId="0" fontId="4" fillId="0" borderId="0" xfId="73" applyAlignment="1" applyProtection="1">
      <alignment horizontal="justify" vertical="top"/>
      <protection hidden="1"/>
    </xf>
    <xf numFmtId="0" fontId="4" fillId="0" borderId="0" xfId="117" applyFont="1" applyAlignment="1" applyProtection="1">
      <alignment horizontal="left" vertical="top"/>
      <protection hidden="1"/>
    </xf>
    <xf numFmtId="0" fontId="7" fillId="0" borderId="39" xfId="114" applyFont="1" applyBorder="1" applyAlignment="1" applyProtection="1">
      <alignment horizontal="right" vertical="top" wrapText="1"/>
      <protection hidden="1"/>
    </xf>
    <xf numFmtId="176" fontId="7" fillId="0" borderId="40" xfId="114" applyNumberFormat="1" applyFont="1" applyBorder="1" applyAlignment="1" applyProtection="1">
      <alignment horizontal="center" vertical="top"/>
      <protection hidden="1"/>
    </xf>
    <xf numFmtId="4" fontId="7" fillId="0" borderId="41" xfId="114" applyNumberFormat="1" applyFont="1" applyBorder="1" applyAlignment="1" applyProtection="1">
      <alignment vertical="top"/>
      <protection hidden="1"/>
    </xf>
    <xf numFmtId="0" fontId="4" fillId="0" borderId="42" xfId="114" applyFont="1" applyBorder="1" applyAlignment="1" applyProtection="1">
      <alignment horizontal="center" vertical="top"/>
      <protection hidden="1"/>
    </xf>
    <xf numFmtId="0" fontId="4" fillId="0" borderId="43" xfId="114" applyFont="1" applyBorder="1" applyAlignment="1" applyProtection="1">
      <alignment vertical="top"/>
      <protection hidden="1"/>
    </xf>
    <xf numFmtId="4" fontId="7" fillId="0" borderId="41" xfId="114" applyNumberFormat="1" applyFont="1" applyBorder="1" applyAlignment="1" applyProtection="1">
      <alignment horizontal="right" vertical="top"/>
      <protection hidden="1"/>
    </xf>
    <xf numFmtId="4" fontId="59" fillId="0" borderId="41" xfId="114" applyNumberFormat="1" applyFont="1" applyBorder="1" applyAlignment="1" applyProtection="1">
      <alignment vertical="top" wrapText="1"/>
      <protection hidden="1"/>
    </xf>
    <xf numFmtId="4" fontId="59" fillId="0" borderId="44" xfId="114" applyNumberFormat="1" applyFont="1" applyBorder="1" applyAlignment="1" applyProtection="1">
      <alignment horizontal="right" vertical="top" wrapText="1"/>
      <protection hidden="1"/>
    </xf>
    <xf numFmtId="0" fontId="4" fillId="0" borderId="0" xfId="114" applyFont="1" applyAlignment="1" applyProtection="1">
      <alignment horizontal="center" vertical="top"/>
      <protection hidden="1"/>
    </xf>
    <xf numFmtId="0" fontId="7" fillId="0" borderId="0" xfId="114" applyFont="1" applyAlignment="1" applyProtection="1">
      <alignment horizontal="left" vertical="top" wrapText="1"/>
      <protection hidden="1"/>
    </xf>
    <xf numFmtId="0" fontId="7" fillId="0" borderId="0" xfId="114" applyFont="1" applyAlignment="1" applyProtection="1">
      <alignment horizontal="right" vertical="top" wrapText="1"/>
      <protection hidden="1"/>
    </xf>
    <xf numFmtId="0" fontId="7" fillId="0" borderId="0" xfId="73" applyFont="1" applyAlignment="1" applyProtection="1">
      <alignment horizontal="right" vertical="top"/>
      <protection hidden="1"/>
    </xf>
    <xf numFmtId="0" fontId="7" fillId="0" borderId="0" xfId="73" applyFont="1" applyAlignment="1" applyProtection="1">
      <alignment horizontal="justify" vertical="top"/>
      <protection hidden="1"/>
    </xf>
    <xf numFmtId="10" fontId="7" fillId="0" borderId="9" xfId="114" applyNumberFormat="1" applyFont="1" applyBorder="1" applyAlignment="1" applyProtection="1">
      <alignment horizontal="left" vertical="top" wrapText="1"/>
      <protection hidden="1"/>
    </xf>
    <xf numFmtId="49" fontId="7" fillId="9" borderId="9" xfId="114" applyNumberFormat="1" applyFont="1" applyFill="1" applyBorder="1" applyAlignment="1">
      <alignment horizontal="right" vertical="top" wrapText="1"/>
    </xf>
    <xf numFmtId="0" fontId="4" fillId="0" borderId="0" xfId="73" applyAlignment="1" applyProtection="1">
      <alignment horizontal="right" vertical="top"/>
      <protection hidden="1"/>
    </xf>
    <xf numFmtId="49" fontId="7" fillId="0" borderId="9" xfId="114" applyNumberFormat="1" applyFont="1" applyBorder="1" applyAlignment="1" applyProtection="1">
      <alignment horizontal="left" vertical="top" wrapText="1"/>
      <protection hidden="1"/>
    </xf>
    <xf numFmtId="0" fontId="4" fillId="0" borderId="0" xfId="73" applyAlignment="1" applyProtection="1">
      <alignment horizontal="center" vertical="top"/>
      <protection hidden="1"/>
    </xf>
    <xf numFmtId="0" fontId="4" fillId="0" borderId="0" xfId="114" applyFont="1" applyAlignment="1" applyProtection="1">
      <alignment horizontal="right" vertical="top"/>
      <protection hidden="1"/>
    </xf>
    <xf numFmtId="0" fontId="2" fillId="0" borderId="0" xfId="114" applyFont="1" applyAlignment="1" applyProtection="1">
      <alignment horizontal="right" vertical="top"/>
      <protection hidden="1"/>
    </xf>
    <xf numFmtId="0" fontId="1" fillId="0" borderId="0" xfId="73" applyFont="1" applyAlignment="1" applyProtection="1">
      <alignment horizontal="left" vertical="top" wrapText="1"/>
      <protection hidden="1"/>
    </xf>
    <xf numFmtId="0" fontId="2" fillId="0" borderId="0" xfId="0" applyFont="1" applyAlignment="1">
      <alignment horizontal="left" vertical="center" wrapText="1"/>
    </xf>
    <xf numFmtId="0" fontId="33" fillId="15" borderId="17" xfId="0" applyFont="1" applyFill="1" applyBorder="1" applyAlignment="1">
      <alignment vertical="top"/>
    </xf>
    <xf numFmtId="0" fontId="73" fillId="0" borderId="0" xfId="0" applyFont="1" applyAlignment="1">
      <alignment wrapText="1"/>
    </xf>
    <xf numFmtId="0" fontId="2" fillId="0" borderId="9" xfId="0" applyFont="1" applyBorder="1" applyAlignment="1">
      <alignment horizontal="center" vertical="center"/>
    </xf>
    <xf numFmtId="0" fontId="73" fillId="0" borderId="9" xfId="0" applyFont="1" applyBorder="1" applyAlignment="1">
      <alignment wrapText="1"/>
    </xf>
    <xf numFmtId="0" fontId="73" fillId="0" borderId="0" xfId="0" applyFont="1" applyAlignment="1">
      <alignment horizontal="left" vertical="center" wrapText="1"/>
    </xf>
    <xf numFmtId="0" fontId="73" fillId="0" borderId="9" xfId="0" applyFont="1" applyBorder="1" applyAlignment="1">
      <alignment horizontal="left" vertical="center" wrapText="1"/>
    </xf>
    <xf numFmtId="0" fontId="2" fillId="0" borderId="9" xfId="0" applyFont="1" applyBorder="1" applyAlignment="1">
      <alignment horizontal="justify" vertical="justify" wrapText="1"/>
    </xf>
    <xf numFmtId="0" fontId="2" fillId="0" borderId="9" xfId="0" applyFont="1" applyBorder="1" applyAlignment="1">
      <alignment horizontal="center" vertical="center" wrapText="1"/>
    </xf>
    <xf numFmtId="0" fontId="2" fillId="0" borderId="9" xfId="0" applyFont="1" applyBorder="1"/>
    <xf numFmtId="0" fontId="73" fillId="0" borderId="9" xfId="0" applyFont="1" applyBorder="1" applyAlignment="1">
      <alignment horizontal="justify" vertical="justify" wrapText="1"/>
    </xf>
    <xf numFmtId="0" fontId="73" fillId="0" borderId="17" xfId="0" applyFont="1" applyBorder="1" applyAlignment="1">
      <alignment horizontal="justify" vertical="justify" wrapText="1"/>
    </xf>
    <xf numFmtId="0" fontId="73" fillId="0" borderId="9" xfId="0" applyFont="1" applyBorder="1" applyAlignment="1">
      <alignment horizontal="justify" vertical="justify"/>
    </xf>
    <xf numFmtId="0" fontId="1" fillId="0" borderId="9" xfId="0" applyFont="1" applyBorder="1" applyAlignment="1">
      <alignment horizontal="center"/>
    </xf>
    <xf numFmtId="0" fontId="2" fillId="9" borderId="9" xfId="0" applyFont="1" applyFill="1" applyBorder="1" applyAlignment="1">
      <alignment horizontal="center" vertical="center"/>
    </xf>
    <xf numFmtId="0" fontId="1" fillId="0" borderId="18" xfId="0" applyFont="1" applyBorder="1" applyAlignment="1">
      <alignment horizontal="center" vertical="top"/>
    </xf>
    <xf numFmtId="0" fontId="2" fillId="9" borderId="9" xfId="0" applyFont="1" applyFill="1" applyBorder="1" applyAlignment="1">
      <alignment horizontal="center" vertical="center" wrapText="1"/>
    </xf>
    <xf numFmtId="0" fontId="2" fillId="0" borderId="0" xfId="0" applyFont="1" applyAlignment="1">
      <alignment wrapText="1"/>
    </xf>
    <xf numFmtId="0" fontId="2" fillId="0" borderId="9" xfId="0" applyFont="1" applyBorder="1" applyAlignment="1">
      <alignment wrapText="1"/>
    </xf>
    <xf numFmtId="0" fontId="2" fillId="0" borderId="9" xfId="0" applyFont="1" applyBorder="1" applyAlignment="1">
      <alignment horizontal="left" vertical="center" wrapText="1"/>
    </xf>
    <xf numFmtId="0" fontId="2" fillId="0" borderId="9" xfId="0" applyFont="1" applyBorder="1" applyAlignment="1">
      <alignment horizontal="center"/>
    </xf>
    <xf numFmtId="0" fontId="2" fillId="0" borderId="17" xfId="0" applyFont="1" applyBorder="1" applyAlignment="1">
      <alignment horizontal="justify" vertical="justify" wrapText="1"/>
    </xf>
    <xf numFmtId="0" fontId="2" fillId="0" borderId="9" xfId="0" applyFont="1" applyBorder="1" applyAlignment="1">
      <alignment horizontal="justify" vertical="justify"/>
    </xf>
    <xf numFmtId="0" fontId="2" fillId="0" borderId="9" xfId="0" applyFont="1" applyBorder="1" applyAlignment="1">
      <alignment vertical="center" wrapText="1"/>
    </xf>
    <xf numFmtId="1" fontId="1" fillId="0" borderId="9" xfId="111" applyNumberFormat="1" applyFont="1" applyFill="1" applyBorder="1" applyAlignment="1" applyProtection="1">
      <alignment horizontal="center" vertical="top" wrapText="1"/>
    </xf>
    <xf numFmtId="0" fontId="2" fillId="0" borderId="18" xfId="0" applyFont="1" applyBorder="1" applyAlignment="1">
      <alignment vertical="center" wrapText="1"/>
    </xf>
    <xf numFmtId="0" fontId="2" fillId="0" borderId="9" xfId="0" applyFont="1" applyBorder="1" applyAlignment="1">
      <alignment horizontal="justify" vertical="center" wrapText="1"/>
    </xf>
    <xf numFmtId="0" fontId="2" fillId="9" borderId="9" xfId="0" applyFont="1" applyFill="1" applyBorder="1" applyAlignment="1">
      <alignment horizontal="justify" vertical="top" wrapText="1"/>
    </xf>
    <xf numFmtId="0" fontId="2" fillId="0" borderId="17" xfId="0" applyFont="1" applyBorder="1" applyAlignment="1">
      <alignment horizontal="justify" vertical="center" wrapText="1"/>
    </xf>
    <xf numFmtId="0" fontId="53" fillId="0" borderId="9" xfId="0" applyFont="1" applyBorder="1" applyAlignment="1">
      <alignment vertical="top"/>
    </xf>
    <xf numFmtId="0" fontId="81" fillId="0" borderId="7" xfId="0" applyFont="1" applyBorder="1" applyAlignment="1">
      <alignment vertical="center"/>
    </xf>
    <xf numFmtId="0" fontId="81" fillId="0" borderId="9" xfId="0" applyFont="1" applyBorder="1" applyAlignment="1">
      <alignment horizontal="right"/>
    </xf>
    <xf numFmtId="0" fontId="81" fillId="0" borderId="18" xfId="0" applyFont="1" applyBorder="1"/>
    <xf numFmtId="0" fontId="81" fillId="0" borderId="17" xfId="0" applyFont="1" applyBorder="1"/>
    <xf numFmtId="0" fontId="53" fillId="0" borderId="18" xfId="0" applyFont="1" applyBorder="1" applyAlignment="1">
      <alignment vertical="center"/>
    </xf>
    <xf numFmtId="0" fontId="1" fillId="0" borderId="9" xfId="0" applyFont="1" applyBorder="1" applyAlignment="1">
      <alignment horizontal="center" vertical="center"/>
    </xf>
    <xf numFmtId="0" fontId="53" fillId="0" borderId="9" xfId="0" applyFont="1" applyBorder="1" applyAlignment="1">
      <alignment vertical="center"/>
    </xf>
    <xf numFmtId="0" fontId="81" fillId="0" borderId="9" xfId="0" applyFont="1" applyBorder="1" applyAlignment="1">
      <alignment vertical="center"/>
    </xf>
    <xf numFmtId="0" fontId="82" fillId="0" borderId="7" xfId="0" applyFont="1" applyBorder="1" applyAlignment="1">
      <alignment vertical="center"/>
    </xf>
    <xf numFmtId="0" fontId="82" fillId="0" borderId="9" xfId="0" applyFont="1" applyBorder="1" applyAlignment="1">
      <alignment vertical="center"/>
    </xf>
    <xf numFmtId="0" fontId="82" fillId="0" borderId="9" xfId="0" applyFont="1" applyBorder="1"/>
    <xf numFmtId="0" fontId="53" fillId="0" borderId="18" xfId="0" applyFont="1" applyBorder="1"/>
    <xf numFmtId="0" fontId="53" fillId="0" borderId="17" xfId="0" applyFont="1" applyBorder="1"/>
    <xf numFmtId="0" fontId="53" fillId="0" borderId="9" xfId="0" applyFont="1" applyBorder="1"/>
    <xf numFmtId="0" fontId="81" fillId="0" borderId="9" xfId="0" applyFont="1" applyBorder="1"/>
    <xf numFmtId="0" fontId="83" fillId="0" borderId="9" xfId="0" applyFont="1" applyBorder="1" applyAlignment="1">
      <alignment horizontal="right"/>
    </xf>
    <xf numFmtId="0" fontId="53" fillId="0" borderId="17" xfId="0" applyFont="1" applyBorder="1" applyAlignment="1">
      <alignment vertical="center"/>
    </xf>
    <xf numFmtId="0" fontId="1" fillId="9" borderId="9" xfId="0" applyFont="1" applyFill="1" applyBorder="1" applyAlignment="1">
      <alignment horizontal="center" vertical="center"/>
    </xf>
    <xf numFmtId="0" fontId="1" fillId="9" borderId="9" xfId="0" applyFont="1" applyFill="1" applyBorder="1" applyAlignment="1">
      <alignment horizontal="center" vertical="top"/>
    </xf>
    <xf numFmtId="0" fontId="73" fillId="0" borderId="18" xfId="0" applyFont="1" applyBorder="1" applyAlignment="1">
      <alignment vertical="center"/>
    </xf>
    <xf numFmtId="0" fontId="2" fillId="9" borderId="9" xfId="0" applyFont="1" applyFill="1" applyBorder="1" applyAlignment="1">
      <alignment horizontal="justify" vertical="center"/>
    </xf>
    <xf numFmtId="0" fontId="2" fillId="0" borderId="9" xfId="0" applyFont="1" applyBorder="1" applyAlignment="1">
      <alignment horizontal="justify" vertical="center"/>
    </xf>
    <xf numFmtId="0" fontId="2" fillId="9" borderId="9" xfId="0" applyFont="1" applyFill="1" applyBorder="1" applyAlignment="1">
      <alignment horizontal="justify" vertical="center" wrapText="1"/>
    </xf>
    <xf numFmtId="0" fontId="2" fillId="9" borderId="9" xfId="0" applyFont="1" applyFill="1" applyBorder="1" applyAlignment="1">
      <alignment horizontal="justify" vertical="top"/>
    </xf>
    <xf numFmtId="0" fontId="1" fillId="9" borderId="17" xfId="0" applyFont="1" applyFill="1" applyBorder="1" applyAlignment="1">
      <alignment horizontal="center" vertical="center"/>
    </xf>
    <xf numFmtId="0" fontId="73" fillId="0" borderId="17" xfId="0" applyFont="1" applyBorder="1" applyAlignment="1">
      <alignment vertical="center"/>
    </xf>
    <xf numFmtId="0" fontId="2" fillId="0" borderId="9" xfId="0" applyFont="1" applyBorder="1" applyAlignment="1">
      <alignment vertical="top"/>
    </xf>
    <xf numFmtId="0" fontId="2" fillId="0" borderId="17" xfId="0" applyFont="1" applyBorder="1" applyAlignment="1">
      <alignment horizontal="center" vertical="center" wrapText="1"/>
    </xf>
    <xf numFmtId="0" fontId="73" fillId="3" borderId="24" xfId="109" applyFont="1" applyFill="1" applyBorder="1" applyAlignment="1">
      <alignment vertical="top" wrapText="1"/>
    </xf>
    <xf numFmtId="10" fontId="2" fillId="0" borderId="18" xfId="111" applyNumberFormat="1" applyFont="1" applyFill="1" applyBorder="1" applyAlignment="1" applyProtection="1">
      <alignment horizontal="center" vertical="top" wrapText="1"/>
      <protection hidden="1"/>
    </xf>
    <xf numFmtId="0" fontId="2" fillId="0" borderId="17" xfId="0" applyFont="1" applyBorder="1"/>
    <xf numFmtId="0" fontId="2" fillId="0" borderId="17" xfId="0" applyFont="1" applyBorder="1" applyAlignment="1">
      <alignment horizontal="center"/>
    </xf>
    <xf numFmtId="43" fontId="73" fillId="3" borderId="18" xfId="8" applyFont="1" applyFill="1" applyBorder="1" applyAlignment="1" applyProtection="1">
      <alignment horizontal="center" vertical="top" wrapText="1"/>
    </xf>
    <xf numFmtId="43" fontId="73" fillId="3" borderId="18" xfId="8" applyFont="1" applyFill="1" applyBorder="1" applyAlignment="1" applyProtection="1">
      <alignment horizontal="right" vertical="top" wrapText="1"/>
    </xf>
    <xf numFmtId="0" fontId="73" fillId="3" borderId="9" xfId="109" applyFont="1" applyFill="1" applyBorder="1" applyAlignment="1">
      <alignment horizontal="center" vertical="top" wrapText="1"/>
    </xf>
    <xf numFmtId="10" fontId="2" fillId="0" borderId="9" xfId="111" applyNumberFormat="1" applyFont="1" applyFill="1" applyBorder="1" applyAlignment="1" applyProtection="1">
      <alignment horizontal="center" vertical="top" wrapText="1"/>
      <protection hidden="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justify" vertical="center" wrapText="1"/>
      <protection hidden="1"/>
    </xf>
    <xf numFmtId="0" fontId="22" fillId="13" borderId="59" xfId="114" applyFont="1" applyFill="1" applyBorder="1" applyAlignment="1" applyProtection="1">
      <alignment horizontal="justify" vertical="center" wrapText="1"/>
      <protection hidden="1"/>
    </xf>
    <xf numFmtId="0" fontId="22" fillId="13" borderId="31" xfId="114" applyFont="1" applyFill="1" applyBorder="1" applyAlignment="1" applyProtection="1">
      <alignment horizontal="justify"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top"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0" borderId="0" xfId="0" applyFont="1" applyAlignment="1">
      <alignment horizontal="left" vertical="top"/>
    </xf>
    <xf numFmtId="0" fontId="76" fillId="12" borderId="9" xfId="0" applyFont="1" applyFill="1" applyBorder="1" applyAlignment="1">
      <alignment horizontal="left" vertical="top"/>
    </xf>
    <xf numFmtId="0" fontId="76" fillId="9" borderId="0" xfId="109" applyFont="1" applyFill="1" applyAlignment="1">
      <alignment horizontal="left" vertical="top" wrapText="1"/>
    </xf>
    <xf numFmtId="0" fontId="1" fillId="0" borderId="16" xfId="0" applyFont="1" applyBorder="1" applyAlignment="1">
      <alignment horizontal="left" vertical="top" wrapText="1"/>
    </xf>
    <xf numFmtId="0" fontId="76" fillId="0" borderId="0" xfId="0" applyFont="1" applyAlignment="1">
      <alignment horizontal="left" vertical="top"/>
    </xf>
    <xf numFmtId="1" fontId="76" fillId="9" borderId="0" xfId="109" applyNumberFormat="1" applyFont="1" applyFill="1" applyAlignment="1">
      <alignment horizontal="left" vertical="top" wrapText="1"/>
    </xf>
    <xf numFmtId="0" fontId="2" fillId="0" borderId="24" xfId="0" applyFont="1" applyBorder="1" applyAlignment="1">
      <alignment horizontal="center" vertical="top"/>
    </xf>
    <xf numFmtId="0" fontId="2" fillId="0" borderId="3" xfId="0" applyFont="1" applyBorder="1" applyAlignment="1">
      <alignment horizontal="center" vertical="top"/>
    </xf>
    <xf numFmtId="0" fontId="2" fillId="0" borderId="25" xfId="0" applyFont="1" applyBorder="1" applyAlignment="1">
      <alignment horizontal="center" vertical="top"/>
    </xf>
    <xf numFmtId="0" fontId="33" fillId="15" borderId="24" xfId="0" applyFont="1" applyFill="1" applyBorder="1" applyAlignment="1">
      <alignment horizontal="left" vertical="top"/>
    </xf>
    <xf numFmtId="0" fontId="33" fillId="15" borderId="3" xfId="0" applyFont="1" applyFill="1" applyBorder="1" applyAlignment="1">
      <alignment horizontal="left" vertical="top"/>
    </xf>
    <xf numFmtId="0" fontId="33" fillId="15" borderId="25" xfId="0" applyFont="1" applyFill="1" applyBorder="1" applyAlignment="1">
      <alignment horizontal="left" vertical="top"/>
    </xf>
    <xf numFmtId="0" fontId="33" fillId="13" borderId="0" xfId="0" applyFont="1" applyFill="1" applyAlignment="1">
      <alignment horizontal="justify" vertical="top" wrapText="1"/>
    </xf>
    <xf numFmtId="0" fontId="3" fillId="6" borderId="0" xfId="0" applyFont="1" applyFill="1" applyAlignment="1">
      <alignment horizontal="center" vertical="top"/>
    </xf>
    <xf numFmtId="0" fontId="23" fillId="0" borderId="0" xfId="0" applyFont="1" applyAlignment="1">
      <alignment horizontal="left" vertical="top"/>
    </xf>
    <xf numFmtId="0" fontId="23" fillId="0" borderId="0" xfId="0" applyFont="1" applyAlignment="1">
      <alignment horizontal="left" vertical="top" wrapText="1"/>
    </xf>
    <xf numFmtId="0" fontId="58" fillId="0" borderId="5" xfId="0" applyFont="1" applyBorder="1" applyAlignment="1">
      <alignment horizontal="right" vertical="top"/>
    </xf>
    <xf numFmtId="0" fontId="2" fillId="0" borderId="0" xfId="115" applyFont="1" applyAlignment="1">
      <alignment horizontal="left" vertical="top"/>
    </xf>
    <xf numFmtId="0" fontId="1" fillId="0" borderId="0" xfId="115" applyFont="1" applyAlignment="1">
      <alignment horizontal="left" vertical="top"/>
    </xf>
    <xf numFmtId="0" fontId="1" fillId="0" borderId="0" xfId="0" applyFont="1" applyAlignment="1">
      <alignment horizontal="left" vertical="top" wrapText="1"/>
    </xf>
    <xf numFmtId="0" fontId="1" fillId="0" borderId="0" xfId="115" applyFont="1" applyAlignment="1" applyProtection="1">
      <alignment vertical="top" wrapText="1"/>
      <protection hidden="1"/>
    </xf>
    <xf numFmtId="0" fontId="76" fillId="10" borderId="24" xfId="0" applyFont="1" applyFill="1" applyBorder="1" applyAlignment="1">
      <alignment horizontal="center" vertical="top" wrapText="1"/>
    </xf>
    <xf numFmtId="0" fontId="76" fillId="10" borderId="3" xfId="0" applyFont="1" applyFill="1" applyBorder="1" applyAlignment="1">
      <alignment horizontal="center" vertical="top" wrapText="1"/>
    </xf>
    <xf numFmtId="0" fontId="76" fillId="10" borderId="25" xfId="0" applyFont="1" applyFill="1" applyBorder="1" applyAlignment="1">
      <alignment horizontal="center" vertical="top" wrapText="1"/>
    </xf>
    <xf numFmtId="0" fontId="73" fillId="0" borderId="0" xfId="0" applyFont="1" applyAlignment="1">
      <alignment horizontal="right" vertical="top"/>
    </xf>
    <xf numFmtId="0" fontId="5" fillId="0" borderId="0" xfId="0" applyFont="1" applyAlignment="1">
      <alignment horizontal="center" vertical="top" wrapText="1"/>
    </xf>
    <xf numFmtId="0" fontId="3" fillId="6" borderId="0" xfId="0" applyFont="1" applyFill="1" applyAlignment="1">
      <alignment horizontal="center" vertical="top" wrapText="1"/>
    </xf>
    <xf numFmtId="0" fontId="2" fillId="0" borderId="0" xfId="0" applyFont="1" applyAlignment="1">
      <alignment horizontal="left" vertical="top" wrapText="1"/>
    </xf>
    <xf numFmtId="0" fontId="58" fillId="0" borderId="51" xfId="0" applyFont="1" applyBorder="1" applyAlignment="1">
      <alignment horizontal="right" vertical="top"/>
    </xf>
    <xf numFmtId="0" fontId="2" fillId="0" borderId="24" xfId="111" applyNumberFormat="1" applyFont="1" applyFill="1" applyBorder="1" applyAlignment="1" applyProtection="1">
      <alignment horizontal="center" vertical="top" wrapText="1"/>
    </xf>
    <xf numFmtId="0" fontId="2" fillId="0" borderId="3" xfId="111" applyNumberFormat="1" applyFont="1" applyFill="1" applyBorder="1" applyAlignment="1" applyProtection="1">
      <alignment horizontal="center" vertical="top" wrapText="1"/>
    </xf>
    <xf numFmtId="0" fontId="2" fillId="0" borderId="25" xfId="111" applyNumberFormat="1" applyFont="1" applyFill="1" applyBorder="1" applyAlignment="1" applyProtection="1">
      <alignment horizontal="center" vertical="top" wrapText="1"/>
    </xf>
    <xf numFmtId="2" fontId="33" fillId="10" borderId="24" xfId="0" applyNumberFormat="1" applyFont="1" applyFill="1" applyBorder="1" applyAlignment="1">
      <alignment horizontal="center" vertical="top" wrapText="1"/>
    </xf>
    <xf numFmtId="2" fontId="33" fillId="10" borderId="3" xfId="0" applyNumberFormat="1" applyFont="1" applyFill="1" applyBorder="1" applyAlignment="1">
      <alignment horizontal="center" vertical="top" wrapText="1"/>
    </xf>
    <xf numFmtId="2" fontId="33" fillId="10" borderId="25" xfId="0" applyNumberFormat="1" applyFont="1" applyFill="1" applyBorder="1" applyAlignment="1">
      <alignment horizontal="center" vertical="top"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165" fontId="1" fillId="0" borderId="0" xfId="0" applyNumberFormat="1" applyFont="1" applyAlignment="1">
      <alignment horizontal="left" vertical="top"/>
    </xf>
    <xf numFmtId="0" fontId="75" fillId="0" borderId="0" xfId="0" applyFont="1" applyAlignment="1">
      <alignment horizontal="left" vertical="top"/>
    </xf>
    <xf numFmtId="0" fontId="75" fillId="9" borderId="0" xfId="109" applyFont="1" applyFill="1" applyAlignment="1">
      <alignment horizontal="left" vertical="top" wrapText="1"/>
    </xf>
    <xf numFmtId="1" fontId="75" fillId="9" borderId="0" xfId="109" applyNumberFormat="1" applyFont="1" applyFill="1" applyAlignment="1">
      <alignment horizontal="left" vertical="top" wrapText="1"/>
    </xf>
    <xf numFmtId="0" fontId="75" fillId="9" borderId="0" xfId="109" applyFont="1" applyFill="1" applyAlignment="1">
      <alignment horizontal="left" vertical="top"/>
    </xf>
    <xf numFmtId="0" fontId="33" fillId="13" borderId="0" xfId="0" applyFont="1" applyFill="1" applyAlignment="1" applyProtection="1">
      <alignment horizontal="justify" vertical="center" wrapText="1"/>
      <protection hidden="1"/>
    </xf>
    <xf numFmtId="0" fontId="23" fillId="0" borderId="0" xfId="0" applyFont="1" applyAlignment="1">
      <alignment horizontal="left" vertical="center"/>
    </xf>
    <xf numFmtId="0" fontId="1" fillId="0" borderId="0" xfId="115" applyFont="1" applyAlignment="1">
      <alignment horizontal="left" vertical="center"/>
    </xf>
    <xf numFmtId="0" fontId="23" fillId="0" borderId="0" xfId="0" applyFont="1" applyAlignment="1">
      <alignment horizontal="left" vertical="center" wrapText="1"/>
    </xf>
    <xf numFmtId="0" fontId="2" fillId="0" borderId="0" xfId="115" applyFont="1" applyAlignment="1">
      <alignment horizontal="left" vertical="center"/>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3" borderId="0" xfId="114" applyFont="1" applyFill="1" applyAlignment="1" applyProtection="1">
      <alignment horizontal="justify" vertical="top"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59" fillId="13" borderId="0" xfId="114" applyFont="1" applyFill="1" applyAlignment="1" applyProtection="1">
      <alignment horizontal="justify"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66" xfId="114" applyFont="1" applyBorder="1" applyAlignment="1" applyProtection="1">
      <alignment horizontal="justify" vertical="top" wrapText="1"/>
      <protection hidden="1"/>
    </xf>
    <xf numFmtId="0" fontId="4" fillId="0" borderId="21" xfId="114" applyFont="1" applyBorder="1" applyAlignment="1" applyProtection="1">
      <alignment horizontal="justify" vertical="top" wrapText="1"/>
      <protection hidden="1"/>
    </xf>
    <xf numFmtId="0" fontId="8" fillId="6" borderId="0" xfId="114" applyFont="1" applyFill="1" applyAlignment="1" applyProtection="1">
      <alignment horizontal="center" vertical="top"/>
      <protection hidden="1"/>
    </xf>
    <xf numFmtId="0" fontId="7" fillId="0" borderId="67" xfId="114" applyFont="1" applyBorder="1" applyAlignment="1" applyProtection="1">
      <alignment horizontal="center" vertical="top" wrapText="1"/>
      <protection hidden="1"/>
    </xf>
    <xf numFmtId="0" fontId="7" fillId="0" borderId="10" xfId="114" applyFont="1" applyBorder="1" applyAlignment="1" applyProtection="1">
      <alignment horizontal="center" vertical="top" wrapText="1"/>
      <protection hidden="1"/>
    </xf>
    <xf numFmtId="0" fontId="7" fillId="4" borderId="65" xfId="114" applyFont="1" applyFill="1" applyBorder="1" applyAlignment="1" applyProtection="1">
      <alignment horizontal="left" vertical="top" wrapText="1"/>
      <protection hidden="1"/>
    </xf>
    <xf numFmtId="0" fontId="66" fillId="0" borderId="40" xfId="114" applyFont="1" applyBorder="1" applyAlignment="1" applyProtection="1">
      <alignment horizontal="center" vertical="top"/>
      <protection hidden="1"/>
    </xf>
    <xf numFmtId="0" fontId="66" fillId="0" borderId="64" xfId="114" applyFont="1" applyBorder="1" applyAlignment="1" applyProtection="1">
      <alignment horizontal="center" vertical="top"/>
      <protection hidden="1"/>
    </xf>
    <xf numFmtId="0" fontId="59" fillId="0" borderId="9" xfId="114" applyFont="1" applyBorder="1" applyAlignment="1" applyProtection="1">
      <alignment horizontal="left" vertical="top" wrapText="1"/>
      <protection hidden="1"/>
    </xf>
    <xf numFmtId="0" fontId="59" fillId="0" borderId="28" xfId="114" applyFont="1" applyBorder="1" applyAlignment="1" applyProtection="1">
      <alignment horizontal="left" vertical="top" wrapText="1"/>
      <protection hidden="1"/>
    </xf>
    <xf numFmtId="0" fontId="59" fillId="13"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3" borderId="0" xfId="106" applyFont="1" applyFill="1" applyAlignment="1">
      <alignment horizontal="justify" vertical="top"/>
    </xf>
    <xf numFmtId="49" fontId="4" fillId="0" borderId="0" xfId="106" applyNumberFormat="1" applyFont="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33">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 2" xfId="126" xr:uid="{250882E9-C5C5-479D-AAAE-E0149842877B}"/>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3 3" xfId="130" xr:uid="{265A969B-199E-41B4-84B8-EC8CED7A2C4B}"/>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10" xfId="127" xr:uid="{698F35FF-5B9B-4F01-BDCD-83F962D2B0DB}"/>
    <cellStyle name="Normal 2 2 2" xfId="129" xr:uid="{A674B6CB-D6A6-42EF-94F2-1D629C6B75DA}"/>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4 2" xfId="131" xr:uid="{A11E4795-B7E1-488D-A645-7ACD76C40851}"/>
    <cellStyle name="Normal 5" xfId="101" xr:uid="{00000000-0005-0000-0000-000065000000}"/>
    <cellStyle name="Normal 5 2" xfId="132" xr:uid="{4AD4CD13-D00C-4C93-8F66-3FE074D4E61E}"/>
    <cellStyle name="Normal 6" xfId="102" xr:uid="{00000000-0005-0000-0000-000066000000}"/>
    <cellStyle name="Normal 6 2" xfId="128" xr:uid="{57274B16-EE9D-45B7-98F4-64E308C2989A}"/>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0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571500" cy="185986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74075" y="285750"/>
          <a:ext cx="0" cy="115252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022" y="47625"/>
          <a:ext cx="0" cy="607529"/>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5321" y="19050"/>
          <a:ext cx="1104900" cy="692394"/>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72.bin"/><Relationship Id="rId3" Type="http://schemas.openxmlformats.org/officeDocument/2006/relationships/printerSettings" Target="../printerSettings/printerSettings267.bin"/><Relationship Id="rId7" Type="http://schemas.openxmlformats.org/officeDocument/2006/relationships/printerSettings" Target="../printerSettings/printerSettings271.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6" Type="http://schemas.openxmlformats.org/officeDocument/2006/relationships/printerSettings" Target="../printerSettings/printerSettings270.bin"/><Relationship Id="rId5" Type="http://schemas.openxmlformats.org/officeDocument/2006/relationships/printerSettings" Target="../printerSettings/printerSettings269.bin"/><Relationship Id="rId10" Type="http://schemas.openxmlformats.org/officeDocument/2006/relationships/printerSettings" Target="../printerSettings/printerSettings274.bin"/><Relationship Id="rId4" Type="http://schemas.openxmlformats.org/officeDocument/2006/relationships/printerSettings" Target="../printerSettings/printerSettings268.bin"/><Relationship Id="rId9" Type="http://schemas.openxmlformats.org/officeDocument/2006/relationships/printerSettings" Target="../printerSettings/printerSettings27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drawing" Target="../drawings/drawing4.xml"/><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75" zoomScaleNormal="100" zoomScaleSheetLayoutView="175" workbookViewId="0">
      <selection activeCell="C8" sqref="C8"/>
    </sheetView>
  </sheetViews>
  <sheetFormatPr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66">
      <c r="A1" s="16" t="s">
        <v>40</v>
      </c>
      <c r="B1" s="737" t="s">
        <v>492</v>
      </c>
      <c r="C1" s="17"/>
      <c r="D1" s="17"/>
      <c r="E1" s="17"/>
      <c r="F1" s="17"/>
      <c r="G1" s="17"/>
      <c r="H1" s="17"/>
    </row>
    <row r="2" spans="1:9">
      <c r="B2" s="19"/>
      <c r="I2" s="18" t="s">
        <v>257</v>
      </c>
    </row>
    <row r="3" spans="1:9">
      <c r="A3" s="18" t="s">
        <v>41</v>
      </c>
      <c r="B3" s="352" t="s">
        <v>493</v>
      </c>
      <c r="I3" s="18" t="s">
        <v>258</v>
      </c>
    </row>
    <row r="5" spans="1:9">
      <c r="A5" s="18" t="s">
        <v>42</v>
      </c>
      <c r="B5" s="361" t="s">
        <v>573</v>
      </c>
      <c r="C5" s="17"/>
      <c r="D5" s="17"/>
      <c r="E5" s="17"/>
      <c r="F5" s="17"/>
      <c r="G5" s="17"/>
      <c r="H5" s="17"/>
    </row>
  </sheetData>
  <sheetProtection algorithmName="SHA-512" hashValue="Zs+nFFuiEi/+8PDYoOS676f00igEda7kvbExu2F/wkQgwaM191HzuZROLHurQeoaJJkvIR19i/88a8oWWf0EmA==" saltValue="roiegHFKCqFDz4gepcK+EA==" spinCount="100000" sheet="1" selectLockedCells="1" selectUnlockedCells="1"/>
  <customSheetViews>
    <customSheetView guid="{ADF3F130-0A37-42E7-A525-50C5A6B01A26}" scale="175" showPageBreaks="1" hiddenColumns="1" state="hidden" view="pageBreakPreview">
      <selection activeCell="B10" sqref="B10"/>
      <pageMargins left="0.75" right="0.75" top="1" bottom="1" header="0.5" footer="0.5"/>
      <pageSetup scale="86" orientation="portrait" r:id="rId1"/>
      <headerFooter alignWithMargins="0"/>
    </customSheetView>
    <customSheetView guid="{889C3D82-0A24-4765-A688-A80A782F5056}" hiddenColumns="1" state="hidden">
      <selection activeCell="B14" sqref="B14"/>
      <pageMargins left="0.75" right="0.75" top="1" bottom="1" header="0.5" footer="0.5"/>
      <pageSetup orientation="portrait" r:id="rId2"/>
      <headerFooter alignWithMargins="0"/>
    </customSheetView>
    <customSheetView guid="{89CB4E6A-722E-4E39-885D-E2A6D0D08321}" hiddenColumns="1" state="hidden">
      <selection activeCell="B10" sqref="B10"/>
      <pageMargins left="0.75" right="0.75" top="1" bottom="1" header="0.5" footer="0.5"/>
      <pageSetup orientation="portrait" r:id="rId3"/>
      <headerFooter alignWithMargins="0"/>
    </customSheetView>
    <customSheetView guid="{915C64AD-BD67-44F0-9117-5B9D998BA799}" hiddenColumns="1" state="hidden">
      <selection activeCell="B17" sqref="B17"/>
      <pageMargins left="0.75" right="0.75" top="1" bottom="1" header="0.5" footer="0.5"/>
      <pageSetup orientation="portrait" r:id="rId4"/>
      <headerFooter alignWithMargins="0"/>
    </customSheetView>
    <customSheetView guid="{18EA11B4-BD82-47BF-99FA-7AB19BF74D0B}" hiddenColumns="1" state="hidden">
      <selection activeCell="B17" sqref="B17"/>
      <pageMargins left="0.75" right="0.75" top="1" bottom="1" header="0.5" footer="0.5"/>
      <pageSetup orientation="portrait" r:id="rId5"/>
      <headerFooter alignWithMargins="0"/>
    </customSheetView>
    <customSheetView guid="{CCA37BAE-906F-43D5-9FD9-B13563E4B9D7}" hiddenColumns="1" state="hidden">
      <selection activeCell="B12" sqref="B12"/>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63D51328-7CBC-4A1E-B96D-BAE91416501B}" hiddenColumns="1" state="hidden">
      <selection activeCell="B9" sqref="B9:B10"/>
      <pageMargins left="0.75" right="0.75" top="1" bottom="1" header="0.5" footer="0.5"/>
      <pageSetup orientation="portrait" r:id="rId8"/>
      <headerFooter alignWithMargins="0"/>
    </customSheetView>
    <customSheetView guid="{3C00DDA0-7DDE-4169-A739-550DAF5DCF8D}" hiddenColumns="1" state="hidden">
      <selection activeCell="B11" sqref="B11"/>
      <pageMargins left="0.75" right="0.75" top="1" bottom="1" header="0.5" footer="0.5"/>
      <pageSetup orientation="portrait" r:id="rId9"/>
      <headerFooter alignWithMargins="0"/>
    </customSheetView>
    <customSheetView guid="{357C9841-BEC3-434B-AC63-C04FB4321BA3}" hiddenColumns="1" state="hidden">
      <selection activeCell="B17" sqref="B17"/>
      <pageMargins left="0.75" right="0.75" top="1" bottom="1" header="0.5" footer="0.5"/>
      <pageSetup orientation="portrait" r:id="rId10"/>
      <headerFooter alignWithMargins="0"/>
    </customSheetView>
    <customSheetView guid="{B96E710B-6DD7-4DE1-95AB-C9EE060CD030}" hiddenColumns="1" state="hidden">
      <selection activeCell="B9" sqref="B9:B10"/>
      <pageMargins left="0.75" right="0.75" top="1" bottom="1" header="0.5" footer="0.5"/>
      <pageSetup orientation="portrait" r:id="rId11"/>
      <headerFooter alignWithMargins="0"/>
    </customSheetView>
    <customSheetView guid="{A58DB4DF-40C7-4BEB-B85E-6BD6F54941CF}" hiddenColumns="1" state="hidden">
      <selection activeCell="B17" sqref="B17"/>
      <pageMargins left="0.75" right="0.75" top="1" bottom="1" header="0.5" footer="0.5"/>
      <pageSetup orientation="portrait" r:id="rId12"/>
      <headerFooter alignWithMargins="0"/>
    </customSheetView>
    <customSheetView guid="{1211E1B9-FC37-4364-9CF0-0FFC01866726}" scale="175" showPageBreaks="1" hiddenColumns="1" state="hidden" view="pageBreakPreview">
      <selection activeCell="B10" sqref="B10"/>
      <pageMargins left="0.75" right="0.75" top="1" bottom="1" header="0.5" footer="0.5"/>
      <pageSetup scale="86" orientation="portrait" r:id="rId13"/>
      <headerFooter alignWithMargins="0"/>
    </customSheetView>
  </customSheetViews>
  <pageMargins left="0.75" right="0.75" top="1" bottom="1" header="0.5" footer="0.5"/>
  <pageSetup scale="86"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customWidth="1"/>
    <col min="7" max="7" width="34.140625" style="65" customWidth="1"/>
    <col min="8" max="8" width="11.42578125" style="65" customWidth="1"/>
    <col min="9" max="9" width="14" style="337" customWidth="1"/>
    <col min="10" max="10" width="14.42578125" style="337" customWidth="1"/>
    <col min="11" max="11" width="17.140625" style="337" customWidth="1"/>
    <col min="12" max="13" width="11.42578125" style="337" customWidth="1"/>
    <col min="14" max="14" width="21.28515625" style="337" customWidth="1"/>
    <col min="15" max="15" width="18.28515625" style="65" customWidth="1"/>
    <col min="16" max="17" width="11.42578125" style="65" customWidth="1"/>
    <col min="18" max="18" width="11.42578125" style="91" customWidth="1"/>
    <col min="19" max="24" width="11.42578125" style="65" customWidth="1"/>
    <col min="25" max="16384" width="11.42578125" style="91"/>
  </cols>
  <sheetData>
    <row r="1" spans="1:15" ht="18" customHeight="1">
      <c r="A1" s="61" t="str">
        <f>Cover!B3</f>
        <v>Spec No: NR1/NT/W-TW/DOM/I00/25/03940 (Rfx-5002004353)</v>
      </c>
      <c r="B1" s="62"/>
      <c r="C1" s="63"/>
      <c r="D1" s="63"/>
      <c r="E1" s="64" t="s">
        <v>126</v>
      </c>
    </row>
    <row r="2" spans="1:15" ht="8.1" customHeight="1">
      <c r="A2" s="66"/>
      <c r="B2" s="67"/>
      <c r="C2" s="68"/>
      <c r="D2" s="68"/>
      <c r="E2" s="69"/>
      <c r="F2" s="70"/>
    </row>
    <row r="3" spans="1:15" ht="111" customHeight="1">
      <c r="A3" s="930" t="str">
        <f>Cover!$B$2</f>
        <v>Transmission Line package TW02 for Diversion / modification of various POWERGRID’s 400kV Transmission Lines due to upcoming Green Field Airport at Kota under Consultancy Services to Kota Development Authority, Kota</v>
      </c>
      <c r="B3" s="930"/>
      <c r="C3" s="930"/>
      <c r="D3" s="930"/>
      <c r="E3" s="930"/>
    </row>
    <row r="4" spans="1:15" ht="21.95" customHeight="1">
      <c r="A4" s="918" t="s">
        <v>127</v>
      </c>
      <c r="B4" s="918"/>
      <c r="C4" s="918"/>
      <c r="D4" s="918"/>
      <c r="E4" s="918"/>
    </row>
    <row r="5" spans="1:15" ht="12" customHeight="1">
      <c r="A5" s="71"/>
      <c r="B5" s="72"/>
      <c r="C5" s="72"/>
      <c r="D5" s="72"/>
      <c r="E5" s="72"/>
    </row>
    <row r="6" spans="1:15" ht="20.25" customHeight="1">
      <c r="A6" s="896" t="s">
        <v>338</v>
      </c>
      <c r="B6" s="896"/>
      <c r="C6" s="2"/>
      <c r="D6" s="72"/>
      <c r="E6" s="72"/>
    </row>
    <row r="7" spans="1:15" ht="18" customHeight="1">
      <c r="A7" s="897" t="str">
        <f>'Sch-1'!A7</f>
        <v>abc</v>
      </c>
      <c r="B7" s="897"/>
      <c r="C7" s="897"/>
      <c r="D7" s="73" t="s">
        <v>1</v>
      </c>
    </row>
    <row r="8" spans="1:15" ht="18" customHeight="1">
      <c r="A8" s="898" t="str">
        <f>"Bidder’s Name and Address  (" &amp; MID('Names of Bidder'!A9,9, 20) &amp; ") :"</f>
        <v>Bidder’s Name and Address  (Sole Bidder) :</v>
      </c>
      <c r="B8" s="898"/>
      <c r="C8" s="898"/>
      <c r="D8" s="74" t="str">
        <f>'Sch-1'!K8</f>
        <v>Contract Services</v>
      </c>
    </row>
    <row r="9" spans="1:15" ht="18" customHeight="1">
      <c r="A9" s="368" t="s">
        <v>12</v>
      </c>
      <c r="B9" s="368" t="str">
        <f>IF('Names of Bidder'!C9=0, "", 'Names of Bidder'!C9)</f>
        <v>abc</v>
      </c>
      <c r="C9" s="91"/>
      <c r="D9" s="74" t="str">
        <f>'Sch-1'!K9</f>
        <v>Power Grid Corporation of India Ltd.,</v>
      </c>
    </row>
    <row r="10" spans="1:15" ht="18" customHeight="1">
      <c r="A10" s="368" t="s">
        <v>11</v>
      </c>
      <c r="B10" s="220" t="str">
        <f>IF('Names of Bidder'!C10=0, "", 'Names of Bidder'!C10)</f>
        <v>abc</v>
      </c>
      <c r="C10" s="91"/>
      <c r="D10" s="74" t="str">
        <f>'Sch-1'!K10</f>
        <v>"Saudamini", Plot No.-2</v>
      </c>
    </row>
    <row r="11" spans="1:15" ht="18" customHeight="1">
      <c r="A11" s="354"/>
      <c r="B11" s="220" t="str">
        <f>IF('Names of Bidder'!C11=0, "", 'Names of Bidder'!C11)</f>
        <v>abc</v>
      </c>
      <c r="C11" s="91"/>
      <c r="D11" s="74" t="str">
        <f>'Sch-1'!K11</f>
        <v xml:space="preserve">Sector-29, </v>
      </c>
    </row>
    <row r="12" spans="1:15" ht="18" customHeight="1">
      <c r="A12" s="354"/>
      <c r="B12" s="220" t="str">
        <f>IF('Names of Bidder'!C12=0, "", 'Names of Bidder'!C12)</f>
        <v>abc</v>
      </c>
      <c r="C12" s="91"/>
      <c r="D12" s="74" t="str">
        <f>'Sch-1'!K12</f>
        <v>Gurugram (Haryana) - 122001</v>
      </c>
    </row>
    <row r="13" spans="1:15" ht="8.1" customHeight="1" thickBot="1"/>
    <row r="14" spans="1:15" ht="21.95" customHeight="1">
      <c r="A14" s="497" t="s">
        <v>128</v>
      </c>
      <c r="B14" s="919" t="s">
        <v>129</v>
      </c>
      <c r="C14" s="919"/>
      <c r="D14" s="920" t="s">
        <v>130</v>
      </c>
      <c r="E14" s="921"/>
      <c r="I14" s="928"/>
      <c r="J14" s="928"/>
      <c r="K14" s="928"/>
      <c r="M14" s="925"/>
      <c r="N14" s="925"/>
      <c r="O14" s="925"/>
    </row>
    <row r="15" spans="1:15" ht="24.75" customHeight="1">
      <c r="A15" s="498" t="s">
        <v>133</v>
      </c>
      <c r="B15" s="922" t="s">
        <v>314</v>
      </c>
      <c r="C15" s="922"/>
      <c r="D15" s="933">
        <f>'Sch-1'!S104</f>
        <v>0</v>
      </c>
      <c r="E15" s="934"/>
      <c r="I15" s="338"/>
      <c r="K15" s="338"/>
      <c r="M15" s="338"/>
      <c r="O15" s="76"/>
    </row>
    <row r="16" spans="1:15" ht="81" customHeight="1">
      <c r="A16" s="499"/>
      <c r="B16" s="914" t="s">
        <v>315</v>
      </c>
      <c r="C16" s="914"/>
      <c r="D16" s="935"/>
      <c r="E16" s="936"/>
      <c r="G16" s="77"/>
    </row>
    <row r="17" spans="1:15" ht="24.75" customHeight="1">
      <c r="A17" s="498" t="s">
        <v>135</v>
      </c>
      <c r="B17" s="922" t="s">
        <v>316</v>
      </c>
      <c r="C17" s="922"/>
      <c r="D17" s="923">
        <f>'Sch-3'!U82</f>
        <v>0</v>
      </c>
      <c r="E17" s="924"/>
      <c r="I17" s="338"/>
      <c r="K17" s="339"/>
      <c r="M17" s="338"/>
      <c r="O17" s="79"/>
    </row>
    <row r="18" spans="1:15" ht="81.75" customHeight="1">
      <c r="A18" s="499"/>
      <c r="B18" s="914" t="s">
        <v>317</v>
      </c>
      <c r="C18" s="914"/>
      <c r="D18" s="931"/>
      <c r="E18" s="932"/>
      <c r="G18" s="80"/>
      <c r="I18" s="340"/>
      <c r="M18" s="340"/>
    </row>
    <row r="19" spans="1:15" ht="33" customHeight="1" thickBot="1">
      <c r="A19" s="500"/>
      <c r="B19" s="501" t="s">
        <v>320</v>
      </c>
      <c r="C19" s="502"/>
      <c r="D19" s="912">
        <f>D15+D17</f>
        <v>0</v>
      </c>
      <c r="E19" s="913"/>
    </row>
    <row r="20" spans="1:15" ht="30" customHeight="1">
      <c r="A20" s="81"/>
      <c r="B20" s="81"/>
      <c r="C20" s="82"/>
      <c r="D20" s="81"/>
      <c r="E20" s="81"/>
    </row>
    <row r="21" spans="1:15" ht="30" customHeight="1">
      <c r="A21" s="83" t="s">
        <v>141</v>
      </c>
      <c r="B21" s="505" t="str">
        <f>'Sch-5'!B21</f>
        <v xml:space="preserve">  </v>
      </c>
      <c r="C21" s="82" t="s">
        <v>142</v>
      </c>
      <c r="D21" s="929" t="str">
        <f>'Sch-5'!D21</f>
        <v/>
      </c>
      <c r="E21" s="929"/>
      <c r="F21" s="84"/>
    </row>
    <row r="22" spans="1:15" ht="30" customHeight="1">
      <c r="A22" s="83" t="s">
        <v>143</v>
      </c>
      <c r="B22" s="506" t="str">
        <f>'Sch-5'!B22</f>
        <v/>
      </c>
      <c r="C22" s="82" t="s">
        <v>144</v>
      </c>
      <c r="D22" s="929" t="str">
        <f>'Sch-5'!D22</f>
        <v/>
      </c>
      <c r="E22" s="929"/>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password="EE0B" sheet="1" objects="1" scenarios="1" formatColumns="0" formatRows="0" selectLockedCells="1"/>
  <dataConsolidate/>
  <customSheetViews>
    <customSheetView guid="{ADF3F130-0A37-42E7-A525-50C5A6B01A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1211E1B9-FC37-4364-9CF0-0FFC018667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5" zoomScale="130" zoomScaleSheetLayoutView="130" workbookViewId="0">
      <selection activeCell="F6" sqref="F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NR1/NT/W-TW/DOM/I00/25/03940 (Rfx-5002004353)</v>
      </c>
      <c r="B1" s="93"/>
      <c r="C1" s="94"/>
      <c r="D1" s="95" t="s">
        <v>145</v>
      </c>
    </row>
    <row r="2" spans="1:6" ht="18" customHeight="1">
      <c r="A2" s="96"/>
      <c r="B2" s="97"/>
      <c r="C2" s="98"/>
      <c r="D2" s="98"/>
    </row>
    <row r="3" spans="1:6" ht="129" customHeight="1">
      <c r="A3" s="946" t="str">
        <f>Cover!$B$2</f>
        <v>Transmission Line package TW02 for Diversion / modification of various POWERGRID’s 400kV Transmission Lines due to upcoming Green Field Airport at Kota under Consultancy Services to Kota Development Authority, Kota</v>
      </c>
      <c r="B3" s="946"/>
      <c r="C3" s="946"/>
      <c r="D3" s="946"/>
      <c r="E3" s="99"/>
      <c r="F3" s="99"/>
    </row>
    <row r="4" spans="1:6" ht="21.95" customHeight="1">
      <c r="A4" s="918" t="s">
        <v>146</v>
      </c>
      <c r="B4" s="918"/>
      <c r="C4" s="918"/>
      <c r="D4" s="918"/>
    </row>
    <row r="5" spans="1:6" ht="18" customHeight="1">
      <c r="A5" s="100"/>
    </row>
    <row r="6" spans="1:6" ht="18" customHeight="1">
      <c r="A6" s="896" t="s">
        <v>338</v>
      </c>
      <c r="B6" s="896"/>
      <c r="C6" s="2"/>
    </row>
    <row r="7" spans="1:6" ht="18" customHeight="1">
      <c r="A7" s="897" t="str">
        <f>'Sch-1'!A7</f>
        <v>abc</v>
      </c>
      <c r="B7" s="897"/>
      <c r="C7" s="897"/>
      <c r="D7" s="73" t="s">
        <v>1</v>
      </c>
    </row>
    <row r="8" spans="1:6" ht="21.75" customHeight="1">
      <c r="A8" s="898" t="str">
        <f>"Bidder’s Name and Address  (" &amp; MID('Names of Bidder'!A9,9, 20) &amp; ") :"</f>
        <v>Bidder’s Name and Address  (Sole Bidder) :</v>
      </c>
      <c r="B8" s="898"/>
      <c r="C8" s="898"/>
      <c r="D8" s="74" t="str">
        <f>'Sch-1'!K8</f>
        <v>Contract Services</v>
      </c>
    </row>
    <row r="9" spans="1:6" ht="18" customHeight="1">
      <c r="A9" s="368" t="s">
        <v>12</v>
      </c>
      <c r="B9" s="368" t="str">
        <f>IF('Names of Bidder'!C9=0, "", 'Names of Bidder'!C9)</f>
        <v>abc</v>
      </c>
      <c r="C9" s="91"/>
      <c r="D9" s="74" t="str">
        <f>'Sch-1'!K9</f>
        <v>Power Grid Corporation of India Ltd.,</v>
      </c>
    </row>
    <row r="10" spans="1:6" ht="18" customHeight="1">
      <c r="A10" s="368" t="s">
        <v>11</v>
      </c>
      <c r="B10" s="220" t="str">
        <f>IF('Names of Bidder'!C10=0, "", 'Names of Bidder'!C10)</f>
        <v>abc</v>
      </c>
      <c r="C10" s="91"/>
      <c r="D10" s="74" t="str">
        <f>'Sch-1'!K10</f>
        <v>"Saudamini", Plot No.-2</v>
      </c>
    </row>
    <row r="11" spans="1:6" ht="18" customHeight="1">
      <c r="A11" s="354"/>
      <c r="B11" s="220" t="str">
        <f>IF('Names of Bidder'!C11=0, "", 'Names of Bidder'!C11)</f>
        <v>abc</v>
      </c>
      <c r="C11" s="91"/>
      <c r="D11" s="74" t="str">
        <f>'Sch-1'!K11</f>
        <v xml:space="preserve">Sector-29, </v>
      </c>
    </row>
    <row r="12" spans="1:6" ht="18" customHeight="1">
      <c r="A12" s="354"/>
      <c r="B12" s="220" t="str">
        <f>IF('Names of Bidder'!C12=0, "", 'Names of Bidder'!C12)</f>
        <v>abc</v>
      </c>
      <c r="C12" s="91"/>
      <c r="D12" s="74" t="str">
        <f>'Sch-1'!K12</f>
        <v>Gurugram (Haryana) - 122001</v>
      </c>
    </row>
    <row r="13" spans="1:6" ht="18" customHeight="1" thickBot="1">
      <c r="A13" s="486"/>
      <c r="B13" s="486"/>
      <c r="C13" s="486"/>
      <c r="D13" s="73"/>
    </row>
    <row r="14" spans="1:6" ht="21.95" customHeight="1">
      <c r="A14" s="487" t="s">
        <v>128</v>
      </c>
      <c r="B14" s="944" t="s">
        <v>15</v>
      </c>
      <c r="C14" s="945"/>
      <c r="D14" s="488" t="s">
        <v>130</v>
      </c>
    </row>
    <row r="15" spans="1:6" ht="21.95" customHeight="1">
      <c r="A15" s="489" t="s">
        <v>133</v>
      </c>
      <c r="B15" s="941" t="s">
        <v>147</v>
      </c>
      <c r="C15" s="941"/>
      <c r="D15" s="490">
        <f>'Sch-1'!N104</f>
        <v>0</v>
      </c>
    </row>
    <row r="16" spans="1:6" ht="35.1" customHeight="1">
      <c r="A16" s="491"/>
      <c r="B16" s="942" t="s">
        <v>148</v>
      </c>
      <c r="C16" s="943"/>
      <c r="D16" s="492"/>
    </row>
    <row r="17" spans="1:6" ht="21.95" customHeight="1">
      <c r="A17" s="489" t="s">
        <v>135</v>
      </c>
      <c r="B17" s="941" t="s">
        <v>149</v>
      </c>
      <c r="C17" s="941"/>
      <c r="D17" s="490">
        <f>'Sch-2'!J104</f>
        <v>0</v>
      </c>
    </row>
    <row r="18" spans="1:6" ht="35.1" customHeight="1">
      <c r="A18" s="491"/>
      <c r="B18" s="942" t="s">
        <v>304</v>
      </c>
      <c r="C18" s="943"/>
      <c r="D18" s="492"/>
    </row>
    <row r="19" spans="1:6" ht="21.95" customHeight="1">
      <c r="A19" s="489" t="s">
        <v>137</v>
      </c>
      <c r="B19" s="941" t="s">
        <v>151</v>
      </c>
      <c r="C19" s="941"/>
      <c r="D19" s="490">
        <f>'Sch-3'!P82</f>
        <v>0</v>
      </c>
    </row>
    <row r="20" spans="1:6" ht="30" customHeight="1">
      <c r="A20" s="491"/>
      <c r="B20" s="942" t="s">
        <v>152</v>
      </c>
      <c r="C20" s="943"/>
      <c r="D20" s="492"/>
    </row>
    <row r="21" spans="1:6" ht="21.95" customHeight="1">
      <c r="A21" s="489" t="s">
        <v>138</v>
      </c>
      <c r="B21" s="941" t="s">
        <v>153</v>
      </c>
      <c r="C21" s="941"/>
      <c r="D21" s="493" t="s">
        <v>327</v>
      </c>
    </row>
    <row r="22" spans="1:6" ht="30" customHeight="1">
      <c r="A22" s="491"/>
      <c r="B22" s="942" t="s">
        <v>154</v>
      </c>
      <c r="C22" s="943"/>
      <c r="D22" s="492"/>
    </row>
    <row r="23" spans="1:6" ht="30" customHeight="1">
      <c r="A23" s="489">
        <v>5</v>
      </c>
      <c r="B23" s="941" t="s">
        <v>155</v>
      </c>
      <c r="C23" s="941"/>
      <c r="D23" s="490">
        <f>'Sch-5'!D19:E19</f>
        <v>0</v>
      </c>
    </row>
    <row r="24" spans="1:6" ht="23.25" customHeight="1">
      <c r="A24" s="491"/>
      <c r="B24" s="942" t="s">
        <v>156</v>
      </c>
      <c r="C24" s="943"/>
      <c r="D24" s="494"/>
    </row>
    <row r="25" spans="1:6" ht="21.95" customHeight="1">
      <c r="A25" s="489" t="s">
        <v>140</v>
      </c>
      <c r="B25" s="941" t="s">
        <v>157</v>
      </c>
      <c r="C25" s="941"/>
      <c r="D25" s="493" t="s">
        <v>327</v>
      </c>
    </row>
    <row r="26" spans="1:6" ht="35.1" customHeight="1">
      <c r="A26" s="491"/>
      <c r="B26" s="942" t="s">
        <v>158</v>
      </c>
      <c r="C26" s="943"/>
      <c r="D26" s="492"/>
    </row>
    <row r="27" spans="1:6" ht="18.75" customHeight="1">
      <c r="A27" s="937"/>
      <c r="B27" s="939" t="s">
        <v>335</v>
      </c>
      <c r="C27" s="939"/>
      <c r="D27" s="495"/>
    </row>
    <row r="28" spans="1:6" ht="18.75" customHeight="1" thickBot="1">
      <c r="A28" s="938"/>
      <c r="B28" s="940"/>
      <c r="C28" s="940"/>
      <c r="D28" s="496">
        <f>D15+D17+D19+D23</f>
        <v>0</v>
      </c>
    </row>
    <row r="29" spans="1:6" ht="18.75" customHeight="1">
      <c r="A29" s="110"/>
      <c r="B29" s="111"/>
      <c r="C29" s="111"/>
      <c r="D29" s="112"/>
    </row>
    <row r="30" spans="1:6" ht="27.95" customHeight="1">
      <c r="A30" s="110"/>
      <c r="B30" s="113"/>
      <c r="C30" s="113"/>
      <c r="D30" s="112"/>
    </row>
    <row r="31" spans="1:6" ht="27.95" customHeight="1">
      <c r="A31" s="114" t="s">
        <v>160</v>
      </c>
      <c r="B31" s="505" t="str">
        <f>'Sch-5 after discount'!B21</f>
        <v xml:space="preserve">  </v>
      </c>
      <c r="C31" s="113" t="s">
        <v>142</v>
      </c>
      <c r="D31" s="557" t="str">
        <f>'Sch-5 after discount'!D21</f>
        <v/>
      </c>
      <c r="F31" s="115"/>
    </row>
    <row r="32" spans="1:6" ht="27.95" customHeight="1">
      <c r="A32" s="114" t="s">
        <v>161</v>
      </c>
      <c r="B32" s="506" t="str">
        <f>'Sch-5 after discount'!B22</f>
        <v/>
      </c>
      <c r="C32" s="113" t="s">
        <v>144</v>
      </c>
      <c r="D32" s="557" t="str">
        <f>'Sch-5 after discount'!D22</f>
        <v/>
      </c>
      <c r="F32" s="96"/>
    </row>
    <row r="33" spans="1:6" ht="27.95" customHeight="1">
      <c r="A33" s="116"/>
      <c r="B33" s="97"/>
      <c r="C33" s="113"/>
      <c r="F33" s="96"/>
    </row>
    <row r="34" spans="1:6" ht="30" customHeight="1">
      <c r="A34" s="116"/>
      <c r="B34" s="97"/>
      <c r="C34" s="113"/>
      <c r="D34" s="116"/>
      <c r="F34" s="115"/>
    </row>
    <row r="35" spans="1:6" ht="30" customHeight="1">
      <c r="A35" s="117"/>
      <c r="B35" s="117"/>
      <c r="C35" s="118"/>
      <c r="E35" s="119"/>
    </row>
  </sheetData>
  <sheetProtection algorithmName="SHA-512" hashValue="81GA8DjXoxv7XZf7I18tiwqAs7oHcuUDt/99XV0TKljcjnN3ASfQnIziDAPqqEeKA0yYvjRaq246lL/HKdmwdg==" saltValue="J6NSGNNvB/ceh6BEiKp8gg==" spinCount="100000" sheet="1" objects="1" scenarios="1" formatColumns="0" formatRows="0" selectLockedCells="1"/>
  <customSheetViews>
    <customSheetView guid="{ADF3F130-0A37-42E7-A525-50C5A6B01A26}" scale="130" showPageBreaks="1" printArea="1" view="pageBreakPreview">
      <selection activeCell="F6" sqref="F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cale="130" showPageBreaks="1" printArea="1" view="pageBreakPreview">
      <selection activeCell="F6" sqref="F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NR1/NT/W-TW/DOM/I00/25/03940 (Rfx-5002004353)</v>
      </c>
      <c r="B1" s="93"/>
      <c r="C1" s="94"/>
      <c r="D1" s="95" t="s">
        <v>162</v>
      </c>
    </row>
    <row r="2" spans="1:6" ht="18" customHeight="1">
      <c r="A2" s="96"/>
      <c r="B2" s="97"/>
      <c r="C2" s="98"/>
      <c r="D2" s="98"/>
    </row>
    <row r="3" spans="1:6" ht="73.5" customHeight="1">
      <c r="A3" s="948" t="str">
        <f>Cover!$B$2</f>
        <v>Transmission Line package TW02 for Diversion / modification of various POWERGRID’s 400kV Transmission Lines due to upcoming Green Field Airport at Kota under Consultancy Services to Kota Development Authority, Kota</v>
      </c>
      <c r="B3" s="948"/>
      <c r="C3" s="948"/>
      <c r="D3" s="948"/>
      <c r="E3" s="99"/>
      <c r="F3" s="99"/>
    </row>
    <row r="4" spans="1:6" ht="21.95" customHeight="1">
      <c r="A4" s="918" t="s">
        <v>146</v>
      </c>
      <c r="B4" s="918"/>
      <c r="C4" s="918"/>
      <c r="D4" s="918"/>
    </row>
    <row r="5" spans="1:6" ht="18" customHeight="1">
      <c r="A5" s="100"/>
    </row>
    <row r="6" spans="1:6" ht="18" customHeight="1">
      <c r="A6" s="10" t="e">
        <f>'Sch-1'!#REF!</f>
        <v>#REF!</v>
      </c>
      <c r="D6" s="73" t="s">
        <v>1</v>
      </c>
    </row>
    <row r="7" spans="1:6" ht="36" customHeight="1">
      <c r="A7" s="949" t="str">
        <f>'Sch-1'!A8</f>
        <v>Bidder’s Name and Address  (Sole Bidder) :</v>
      </c>
      <c r="B7" s="949"/>
      <c r="C7" s="949"/>
      <c r="D7" s="74" t="str">
        <f>'Sch-1'!K8</f>
        <v>Contract Services</v>
      </c>
    </row>
    <row r="8" spans="1:6" ht="18" customHeight="1">
      <c r="A8" s="14" t="s">
        <v>31</v>
      </c>
      <c r="B8" s="947" t="str">
        <f>IF('Sch-1'!C9=0, "", 'Sch-1'!C9)</f>
        <v>abc</v>
      </c>
      <c r="C8" s="947"/>
      <c r="D8" s="74" t="str">
        <f>'Sch-1'!K9</f>
        <v>Power Grid Corporation of India Ltd.,</v>
      </c>
    </row>
    <row r="9" spans="1:6" ht="18" customHeight="1">
      <c r="A9" s="14" t="s">
        <v>32</v>
      </c>
      <c r="B9" s="947" t="str">
        <f>IF('Sch-1'!C10=0, "", 'Sch-1'!C10)</f>
        <v>abc</v>
      </c>
      <c r="C9" s="947"/>
      <c r="D9" s="74" t="str">
        <f>'Sch-1'!K10</f>
        <v>"Saudamini", Plot No.-2</v>
      </c>
    </row>
    <row r="10" spans="1:6" ht="18" customHeight="1">
      <c r="A10" s="15"/>
      <c r="B10" s="947" t="str">
        <f>IF('Sch-1'!C11=0, "", 'Sch-1'!C11)</f>
        <v>abc</v>
      </c>
      <c r="C10" s="947"/>
      <c r="D10" s="74" t="str">
        <f>'Sch-1'!K11</f>
        <v xml:space="preserve">Sector-29, </v>
      </c>
    </row>
    <row r="11" spans="1:6" ht="18" customHeight="1">
      <c r="A11" s="15"/>
      <c r="B11" s="947" t="str">
        <f>IF('Sch-1'!C12=0, "", 'Sch-1'!C12)</f>
        <v>abc</v>
      </c>
      <c r="C11" s="947"/>
      <c r="D11" s="74" t="str">
        <f>'Sch-1'!K12</f>
        <v>Gurugram (Haryana) - 122001</v>
      </c>
    </row>
    <row r="12" spans="1:6" ht="18" customHeight="1">
      <c r="A12" s="101"/>
      <c r="B12" s="101"/>
      <c r="C12" s="101"/>
      <c r="D12" s="73"/>
    </row>
    <row r="13" spans="1:6" ht="21.95" customHeight="1">
      <c r="A13" s="102" t="s">
        <v>128</v>
      </c>
      <c r="B13" s="952" t="s">
        <v>15</v>
      </c>
      <c r="C13" s="953"/>
      <c r="D13" s="103" t="s">
        <v>130</v>
      </c>
    </row>
    <row r="14" spans="1:6" ht="21.95" customHeight="1">
      <c r="A14" s="75" t="s">
        <v>133</v>
      </c>
      <c r="B14" s="941" t="s">
        <v>147</v>
      </c>
      <c r="C14" s="941"/>
      <c r="D14" s="104"/>
    </row>
    <row r="15" spans="1:6" ht="35.1" customHeight="1">
      <c r="A15" s="105"/>
      <c r="B15" s="942" t="s">
        <v>148</v>
      </c>
      <c r="C15" s="943"/>
      <c r="D15" s="106"/>
    </row>
    <row r="16" spans="1:6" ht="21.95" customHeight="1">
      <c r="A16" s="75" t="s">
        <v>135</v>
      </c>
      <c r="B16" s="941" t="s">
        <v>149</v>
      </c>
      <c r="C16" s="941"/>
      <c r="D16" s="104"/>
    </row>
    <row r="17" spans="1:6" ht="35.1" customHeight="1">
      <c r="A17" s="105"/>
      <c r="B17" s="942" t="s">
        <v>150</v>
      </c>
      <c r="C17" s="943"/>
      <c r="D17" s="106"/>
    </row>
    <row r="18" spans="1:6" ht="21.95" customHeight="1">
      <c r="A18" s="75" t="s">
        <v>137</v>
      </c>
      <c r="B18" s="941" t="s">
        <v>151</v>
      </c>
      <c r="C18" s="941"/>
      <c r="D18" s="104"/>
    </row>
    <row r="19" spans="1:6" ht="30" customHeight="1">
      <c r="A19" s="105"/>
      <c r="B19" s="942" t="s">
        <v>152</v>
      </c>
      <c r="C19" s="943"/>
      <c r="D19" s="106"/>
    </row>
    <row r="20" spans="1:6" ht="21.95" customHeight="1">
      <c r="A20" s="75" t="s">
        <v>138</v>
      </c>
      <c r="B20" s="941" t="s">
        <v>153</v>
      </c>
      <c r="C20" s="941"/>
      <c r="D20" s="107"/>
    </row>
    <row r="21" spans="1:6" ht="30" customHeight="1">
      <c r="A21" s="105"/>
      <c r="B21" s="942" t="s">
        <v>154</v>
      </c>
      <c r="C21" s="943"/>
      <c r="D21" s="106"/>
    </row>
    <row r="22" spans="1:6" ht="30" customHeight="1">
      <c r="A22" s="75">
        <v>5</v>
      </c>
      <c r="B22" s="941" t="s">
        <v>155</v>
      </c>
      <c r="C22" s="941"/>
      <c r="D22" s="104"/>
    </row>
    <row r="23" spans="1:6" ht="33" customHeight="1">
      <c r="A23" s="105"/>
      <c r="B23" s="942" t="s">
        <v>156</v>
      </c>
      <c r="C23" s="943"/>
      <c r="D23" s="120"/>
    </row>
    <row r="24" spans="1:6" ht="21.95" customHeight="1">
      <c r="A24" s="75" t="s">
        <v>140</v>
      </c>
      <c r="B24" s="941" t="s">
        <v>157</v>
      </c>
      <c r="C24" s="941"/>
      <c r="D24" s="107"/>
    </row>
    <row r="25" spans="1:6" ht="35.1" customHeight="1">
      <c r="A25" s="105"/>
      <c r="B25" s="942" t="s">
        <v>158</v>
      </c>
      <c r="C25" s="943"/>
      <c r="D25" s="106"/>
    </row>
    <row r="26" spans="1:6" ht="24" customHeight="1">
      <c r="A26" s="950"/>
      <c r="B26" s="951" t="s">
        <v>159</v>
      </c>
      <c r="C26" s="951"/>
      <c r="D26" s="108"/>
    </row>
    <row r="27" spans="1:6" ht="25.5" customHeight="1">
      <c r="A27" s="950"/>
      <c r="B27" s="951"/>
      <c r="C27" s="951"/>
      <c r="D27" s="109"/>
    </row>
    <row r="28" spans="1:6" ht="18.75" customHeight="1">
      <c r="A28" s="110"/>
      <c r="B28" s="111"/>
      <c r="C28" s="111"/>
      <c r="D28" s="112"/>
    </row>
    <row r="29" spans="1:6" ht="27.95" customHeight="1">
      <c r="A29" s="110"/>
      <c r="B29" s="111"/>
      <c r="C29" s="113"/>
      <c r="D29" s="112"/>
    </row>
    <row r="30" spans="1:6" ht="27.95" customHeight="1">
      <c r="A30" s="114" t="s">
        <v>160</v>
      </c>
      <c r="B30" s="78"/>
      <c r="C30" s="113" t="s">
        <v>142</v>
      </c>
      <c r="D30" s="78"/>
      <c r="F30" s="115"/>
    </row>
    <row r="31" spans="1:6" ht="27.95" customHeight="1">
      <c r="A31" s="114" t="s">
        <v>161</v>
      </c>
      <c r="B31" s="78"/>
      <c r="C31" s="113" t="s">
        <v>144</v>
      </c>
      <c r="D31" s="78"/>
      <c r="F31" s="96"/>
    </row>
    <row r="32" spans="1:6" ht="27.95" customHeight="1">
      <c r="A32" s="116"/>
      <c r="B32" s="97"/>
      <c r="C32" s="113"/>
      <c r="F32" s="96"/>
    </row>
    <row r="33" spans="1:6" ht="30" customHeight="1">
      <c r="A33" s="116"/>
      <c r="B33" s="97"/>
      <c r="C33" s="113"/>
      <c r="D33" s="116"/>
      <c r="F33" s="115"/>
    </row>
    <row r="34" spans="1:6" ht="30" customHeight="1">
      <c r="A34" s="117"/>
      <c r="B34" s="117"/>
      <c r="C34" s="118"/>
      <c r="E34" s="119"/>
    </row>
  </sheetData>
  <sheetProtection selectLockedCells="1"/>
  <customSheetViews>
    <customSheetView guid="{ADF3F130-0A37-42E7-A525-50C5A6B01A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1" zoomScaleSheetLayoutView="100" workbookViewId="0">
      <selection activeCell="H8" sqref="H8"/>
    </sheetView>
  </sheetViews>
  <sheetFormatPr defaultColWidth="11.42578125" defaultRowHeight="16.5"/>
  <cols>
    <col min="1" max="1" width="12.140625" style="15" customWidth="1"/>
    <col min="2" max="2" width="31.42578125" style="15" customWidth="1"/>
    <col min="3" max="3" width="24" style="15" customWidth="1"/>
    <col min="4" max="4" width="39.28515625" style="15" customWidth="1"/>
    <col min="5" max="5" width="18.42578125" style="91" hidden="1" customWidth="1"/>
    <col min="6" max="6" width="18.7109375" style="91" hidden="1" customWidth="1"/>
    <col min="7" max="16384" width="11.42578125" style="91"/>
  </cols>
  <sheetData>
    <row r="1" spans="1:6" ht="18" customHeight="1">
      <c r="A1" s="710" t="str">
        <f>Cover!B3</f>
        <v>Spec No: NR1/NT/W-TW/DOM/I00/25/03940 (Rfx-5002004353)</v>
      </c>
      <c r="B1" s="711"/>
      <c r="C1" s="712"/>
      <c r="D1" s="713" t="s">
        <v>145</v>
      </c>
    </row>
    <row r="2" spans="1:6" ht="18" customHeight="1">
      <c r="A2" s="714"/>
      <c r="B2" s="715"/>
      <c r="C2" s="44"/>
      <c r="D2" s="44"/>
    </row>
    <row r="3" spans="1:6" ht="123.75" customHeight="1">
      <c r="A3" s="917" t="str">
        <f>Cover!$B$2</f>
        <v>Transmission Line package TW02 for Diversion / modification of various POWERGRID’s 400kV Transmission Lines due to upcoming Green Field Airport at Kota under Consultancy Services to Kota Development Authority, Kota</v>
      </c>
      <c r="B3" s="917"/>
      <c r="C3" s="917"/>
      <c r="D3" s="917"/>
      <c r="E3" s="99"/>
      <c r="F3" s="99"/>
    </row>
    <row r="4" spans="1:6" ht="21.95" customHeight="1">
      <c r="A4" s="956" t="s">
        <v>146</v>
      </c>
      <c r="B4" s="956"/>
      <c r="C4" s="956"/>
      <c r="D4" s="956"/>
    </row>
    <row r="5" spans="1:6" ht="18" customHeight="1">
      <c r="A5" s="486"/>
    </row>
    <row r="6" spans="1:6" ht="18" customHeight="1">
      <c r="A6" s="866" t="s">
        <v>338</v>
      </c>
      <c r="B6" s="866"/>
      <c r="C6" s="583"/>
    </row>
    <row r="7" spans="1:6" ht="18" customHeight="1">
      <c r="A7" s="870" t="str">
        <f>'Sch-1'!A7</f>
        <v>abc</v>
      </c>
      <c r="B7" s="870"/>
      <c r="C7" s="870"/>
      <c r="D7" s="568" t="s">
        <v>1</v>
      </c>
    </row>
    <row r="8" spans="1:6" ht="22.5" customHeight="1">
      <c r="A8" s="867" t="str">
        <f>"Bidder’s Name and Address  (" &amp; MID('Names of Bidder'!A9,9, 20) &amp; ") :"</f>
        <v>Bidder’s Name and Address  (Sole Bidder) :</v>
      </c>
      <c r="B8" s="867"/>
      <c r="C8" s="867"/>
      <c r="D8" s="716" t="str">
        <f>'Sch-1'!K8</f>
        <v>Contract Services</v>
      </c>
    </row>
    <row r="9" spans="1:6" ht="18" customHeight="1">
      <c r="A9" s="584" t="s">
        <v>12</v>
      </c>
      <c r="B9" s="584" t="str">
        <f>IF('Names of Bidder'!C9=0, "", 'Names of Bidder'!C9)</f>
        <v>abc</v>
      </c>
      <c r="C9" s="91"/>
      <c r="D9" s="716" t="str">
        <f>'Sch-1'!K9</f>
        <v>Power Grid Corporation of India Ltd.,</v>
      </c>
    </row>
    <row r="10" spans="1:6" ht="18" customHeight="1">
      <c r="A10" s="584" t="s">
        <v>11</v>
      </c>
      <c r="B10" s="587" t="str">
        <f>IF('Names of Bidder'!C10=0, "", 'Names of Bidder'!C10)</f>
        <v>abc</v>
      </c>
      <c r="C10" s="91"/>
      <c r="D10" s="716" t="str">
        <f>'Sch-1'!K10</f>
        <v>"Saudamini", Plot No.-2</v>
      </c>
    </row>
    <row r="11" spans="1:6" ht="18" customHeight="1">
      <c r="A11" s="591"/>
      <c r="B11" s="587" t="str">
        <f>IF('Names of Bidder'!C11=0, "", 'Names of Bidder'!C11)</f>
        <v>abc</v>
      </c>
      <c r="C11" s="91"/>
      <c r="D11" s="716" t="str">
        <f>'Sch-1'!K11</f>
        <v xml:space="preserve">Sector-29, </v>
      </c>
    </row>
    <row r="12" spans="1:6" ht="18" customHeight="1">
      <c r="A12" s="591"/>
      <c r="B12" s="587" t="str">
        <f>IF('Names of Bidder'!C12=0, "", 'Names of Bidder'!C12)</f>
        <v>abc</v>
      </c>
      <c r="C12" s="91"/>
      <c r="D12" s="716" t="str">
        <f>'Sch-1'!K12</f>
        <v>Gurugram (Haryana) - 122001</v>
      </c>
    </row>
    <row r="13" spans="1:6" ht="18" customHeight="1" thickBot="1">
      <c r="A13" s="486"/>
      <c r="B13" s="486"/>
      <c r="C13" s="486"/>
      <c r="D13" s="568"/>
    </row>
    <row r="14" spans="1:6" ht="21.95" customHeight="1">
      <c r="A14" s="487" t="s">
        <v>128</v>
      </c>
      <c r="B14" s="957" t="s">
        <v>15</v>
      </c>
      <c r="C14" s="958"/>
      <c r="D14" s="717" t="s">
        <v>130</v>
      </c>
      <c r="E14" s="471" t="s">
        <v>349</v>
      </c>
      <c r="F14" s="472" t="s">
        <v>348</v>
      </c>
    </row>
    <row r="15" spans="1:6" ht="21.95" customHeight="1">
      <c r="A15" s="718" t="s">
        <v>133</v>
      </c>
      <c r="B15" s="959" t="s">
        <v>147</v>
      </c>
      <c r="C15" s="959"/>
      <c r="D15" s="719">
        <f>E15*F15</f>
        <v>0</v>
      </c>
      <c r="E15" s="473">
        <f>'Sch-6'!D15</f>
        <v>0</v>
      </c>
      <c r="F15" s="483">
        <f>IF(Discount!H36&lt;0,0,Discount!H36)</f>
        <v>0</v>
      </c>
    </row>
    <row r="16" spans="1:6" ht="35.1" customHeight="1">
      <c r="A16" s="720"/>
      <c r="B16" s="954" t="s">
        <v>148</v>
      </c>
      <c r="C16" s="955"/>
      <c r="D16" s="721"/>
      <c r="E16" s="475"/>
      <c r="F16" s="483"/>
    </row>
    <row r="17" spans="1:6" ht="21.95" customHeight="1">
      <c r="A17" s="718" t="s">
        <v>135</v>
      </c>
      <c r="B17" s="959" t="s">
        <v>149</v>
      </c>
      <c r="C17" s="959"/>
      <c r="D17" s="719">
        <f>E17*F17</f>
        <v>0</v>
      </c>
      <c r="E17" s="473">
        <f>'Sch-6'!D17</f>
        <v>0</v>
      </c>
      <c r="F17" s="483">
        <f>IF(Discount!I36&lt;0,0,Discount!I36)</f>
        <v>0</v>
      </c>
    </row>
    <row r="18" spans="1:6" ht="35.1" customHeight="1">
      <c r="A18" s="720"/>
      <c r="B18" s="954" t="s">
        <v>304</v>
      </c>
      <c r="C18" s="955"/>
      <c r="D18" s="721"/>
      <c r="E18" s="475"/>
      <c r="F18" s="483"/>
    </row>
    <row r="19" spans="1:6" ht="21.95" customHeight="1">
      <c r="A19" s="718" t="s">
        <v>137</v>
      </c>
      <c r="B19" s="959" t="s">
        <v>151</v>
      </c>
      <c r="C19" s="959"/>
      <c r="D19" s="719">
        <f>E19*F19</f>
        <v>0</v>
      </c>
      <c r="E19" s="473">
        <f>'Sch-6'!D19</f>
        <v>0</v>
      </c>
      <c r="F19" s="483">
        <f>IF(Discount!J36&lt;0,0,Discount!J36)</f>
        <v>0</v>
      </c>
    </row>
    <row r="20" spans="1:6" ht="30" customHeight="1">
      <c r="A20" s="720"/>
      <c r="B20" s="954" t="s">
        <v>152</v>
      </c>
      <c r="C20" s="955"/>
      <c r="D20" s="721"/>
      <c r="E20" s="475"/>
      <c r="F20" s="474"/>
    </row>
    <row r="21" spans="1:6" ht="21.95" customHeight="1">
      <c r="A21" s="718" t="s">
        <v>138</v>
      </c>
      <c r="B21" s="959" t="s">
        <v>153</v>
      </c>
      <c r="C21" s="959"/>
      <c r="D21" s="722" t="s">
        <v>327</v>
      </c>
      <c r="E21" s="475"/>
      <c r="F21" s="474"/>
    </row>
    <row r="22" spans="1:6" ht="30" customHeight="1">
      <c r="A22" s="720"/>
      <c r="B22" s="954" t="s">
        <v>154</v>
      </c>
      <c r="C22" s="955"/>
      <c r="D22" s="721"/>
      <c r="E22" s="475"/>
      <c r="F22" s="474"/>
    </row>
    <row r="23" spans="1:6" ht="30" customHeight="1">
      <c r="A23" s="718">
        <v>5</v>
      </c>
      <c r="B23" s="959" t="s">
        <v>155</v>
      </c>
      <c r="C23" s="959"/>
      <c r="D23" s="719">
        <f>IF('Sch-5 after discount'!D19&lt;0,0,'Sch-5 after discount'!D19)</f>
        <v>0</v>
      </c>
      <c r="E23" s="475"/>
      <c r="F23" s="474"/>
    </row>
    <row r="24" spans="1:6" ht="25.5" customHeight="1">
      <c r="A24" s="720"/>
      <c r="B24" s="954" t="s">
        <v>156</v>
      </c>
      <c r="C24" s="955"/>
      <c r="D24" s="494"/>
      <c r="E24" s="475"/>
      <c r="F24" s="474"/>
    </row>
    <row r="25" spans="1:6" ht="21.95" customHeight="1">
      <c r="A25" s="718" t="s">
        <v>140</v>
      </c>
      <c r="B25" s="959" t="s">
        <v>157</v>
      </c>
      <c r="C25" s="959"/>
      <c r="D25" s="722" t="s">
        <v>327</v>
      </c>
      <c r="E25" s="475"/>
      <c r="F25" s="474"/>
    </row>
    <row r="26" spans="1:6" ht="35.1" customHeight="1">
      <c r="A26" s="720"/>
      <c r="B26" s="954" t="s">
        <v>158</v>
      </c>
      <c r="C26" s="955"/>
      <c r="D26" s="721"/>
      <c r="E26" s="475"/>
      <c r="F26" s="474"/>
    </row>
    <row r="27" spans="1:6" ht="18.75" customHeight="1">
      <c r="A27" s="960"/>
      <c r="B27" s="962" t="s">
        <v>335</v>
      </c>
      <c r="C27" s="962"/>
      <c r="D27" s="723"/>
      <c r="E27" s="475"/>
      <c r="F27" s="474"/>
    </row>
    <row r="28" spans="1:6" ht="18.75" customHeight="1" thickBot="1">
      <c r="A28" s="961"/>
      <c r="B28" s="963"/>
      <c r="C28" s="963"/>
      <c r="D28" s="724">
        <f>SUM(D15:D26)</f>
        <v>0</v>
      </c>
      <c r="E28" s="476"/>
      <c r="F28" s="477"/>
    </row>
    <row r="29" spans="1:6" ht="18.75" customHeight="1">
      <c r="A29" s="725"/>
      <c r="B29" s="726"/>
      <c r="C29" s="726"/>
      <c r="D29" s="727"/>
    </row>
    <row r="30" spans="1:6" ht="27.95" customHeight="1">
      <c r="A30" s="725"/>
      <c r="B30" s="728"/>
      <c r="C30" s="728"/>
      <c r="D30" s="727"/>
    </row>
    <row r="31" spans="1:6" ht="27.95" customHeight="1">
      <c r="A31" s="729" t="s">
        <v>160</v>
      </c>
      <c r="B31" s="730" t="str">
        <f>'Sch-6'!B31</f>
        <v xml:space="preserve">  </v>
      </c>
      <c r="C31" s="728" t="s">
        <v>142</v>
      </c>
      <c r="D31" s="731" t="str">
        <f>'Sch-6'!D31</f>
        <v/>
      </c>
      <c r="F31" s="732"/>
    </row>
    <row r="32" spans="1:6" ht="27.95" customHeight="1">
      <c r="A32" s="729" t="s">
        <v>161</v>
      </c>
      <c r="B32" s="733" t="str">
        <f>'Sch-6'!B32</f>
        <v/>
      </c>
      <c r="C32" s="728" t="s">
        <v>144</v>
      </c>
      <c r="D32" s="731" t="str">
        <f>'Sch-6'!D32</f>
        <v/>
      </c>
      <c r="F32" s="714"/>
    </row>
    <row r="33" spans="1:6" ht="27.95" customHeight="1">
      <c r="A33" s="734"/>
      <c r="B33" s="715"/>
      <c r="C33" s="728"/>
      <c r="F33" s="714"/>
    </row>
    <row r="34" spans="1:6" ht="30" customHeight="1">
      <c r="A34" s="734"/>
      <c r="B34" s="715"/>
      <c r="C34" s="728"/>
      <c r="D34" s="734"/>
      <c r="F34" s="732"/>
    </row>
    <row r="35" spans="1:6" ht="30" customHeight="1">
      <c r="A35" s="735"/>
      <c r="B35" s="735"/>
      <c r="C35" s="568"/>
      <c r="E35" s="736"/>
    </row>
  </sheetData>
  <sheetProtection algorithmName="SHA-512" hashValue="2Bk0JJS2yzbQK/CXApF6+0yXGXYzhaex4brXFLVEqZFvpCZzaR8UfEONkoOUeueAfFiL53wrfWoYdJhKVKfrGw==" saltValue="lOmLCsSpQdpQ4XhNfuMj1g==" spinCount="100000" sheet="1" objects="1" scenarios="1" formatColumns="0" formatRows="0" selectLockedCells="1"/>
  <customSheetViews>
    <customSheetView guid="{ADF3F130-0A37-42E7-A525-50C5A6B01A26}" showPageBreaks="1" printArea="1" hiddenColumns="1" view="pageBreakPreview">
      <selection activeCell="H8" sqref="H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1211E1B9-FC37-4364-9CF0-0FFC01866726}" showPageBreaks="1" printArea="1" hiddenColumns="1" view="pageBreakPreview">
      <selection activeCell="H8" sqref="H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topLeftCell="A8" zoomScaleSheetLayoutView="100" workbookViewId="0">
      <selection activeCell="I16" sqref="I16"/>
    </sheetView>
  </sheetViews>
  <sheetFormatPr defaultColWidth="8.7109375" defaultRowHeight="16.5"/>
  <cols>
    <col min="1" max="1" width="6.5703125" style="235" customWidth="1"/>
    <col min="2" max="2" width="11.42578125" style="235" customWidth="1"/>
    <col min="3" max="3" width="15" style="235" customWidth="1"/>
    <col min="4" max="4" width="10.28515625" style="235" customWidth="1"/>
    <col min="5" max="8" width="15.140625" style="235" customWidth="1"/>
    <col min="9" max="9" width="22.85546875" style="351" customWidth="1"/>
    <col min="10" max="10" width="8.7109375" style="225" customWidth="1"/>
    <col min="11" max="11" width="10.28515625" style="225" customWidth="1"/>
    <col min="12" max="12" width="13.5703125" style="225" customWidth="1"/>
    <col min="13" max="13" width="14.28515625" style="225" customWidth="1"/>
    <col min="14" max="26" width="9.140625" style="257" customWidth="1"/>
    <col min="27" max="27" width="0" style="257" hidden="1" customWidth="1"/>
    <col min="28" max="28" width="15.85546875" style="257" hidden="1" customWidth="1"/>
    <col min="29" max="29" width="15.5703125" style="257" hidden="1" customWidth="1"/>
    <col min="30" max="30" width="24.42578125" style="257" hidden="1" customWidth="1"/>
    <col min="31" max="31" width="13.7109375" style="257" hidden="1" customWidth="1"/>
    <col min="32" max="33" width="0" style="257" hidden="1" customWidth="1"/>
    <col min="34" max="100" width="9.140625" style="257" customWidth="1"/>
    <col min="101" max="253" width="9.140625" style="222" customWidth="1"/>
    <col min="254" max="254" width="13" style="222" customWidth="1"/>
    <col min="255" max="255" width="35.85546875" style="222" customWidth="1"/>
    <col min="256" max="16384" width="8.7109375" style="222"/>
  </cols>
  <sheetData>
    <row r="1" spans="1:100" s="257" customFormat="1" ht="18" customHeight="1">
      <c r="A1" s="253" t="str">
        <f>Cover!B3</f>
        <v>Spec No: NR1/NT/W-TW/DOM/I00/25/03940 (Rfx-5002004353)</v>
      </c>
      <c r="B1" s="253"/>
      <c r="C1" s="253"/>
      <c r="D1" s="253"/>
      <c r="E1" s="253"/>
      <c r="F1" s="253"/>
      <c r="G1" s="253"/>
      <c r="H1" s="253"/>
      <c r="I1" s="343"/>
      <c r="J1" s="254"/>
      <c r="K1" s="254"/>
      <c r="L1" s="254"/>
      <c r="M1" s="255" t="s">
        <v>30</v>
      </c>
    </row>
    <row r="2" spans="1:100" s="257" customFormat="1" ht="12.75" customHeight="1">
      <c r="A2" s="258"/>
      <c r="B2" s="258"/>
      <c r="C2" s="258"/>
      <c r="D2" s="258"/>
      <c r="E2" s="258"/>
      <c r="F2" s="258"/>
      <c r="G2" s="258"/>
      <c r="H2" s="258"/>
      <c r="I2" s="344"/>
      <c r="J2" s="259"/>
      <c r="K2" s="259"/>
      <c r="L2" s="259"/>
      <c r="M2" s="259"/>
    </row>
    <row r="3" spans="1:100" s="257" customFormat="1" ht="51.75" customHeight="1">
      <c r="A3" s="964" t="str">
        <f>Cover!$B$2</f>
        <v>Transmission Line package TW02 for Diversion / modification of various POWERGRID’s 400kV Transmission Lines due to upcoming Green Field Airport at Kota under Consultancy Services to Kota Development Authority, Kota</v>
      </c>
      <c r="B3" s="964"/>
      <c r="C3" s="964"/>
      <c r="D3" s="964"/>
      <c r="E3" s="964"/>
      <c r="F3" s="964"/>
      <c r="G3" s="964"/>
      <c r="H3" s="964"/>
      <c r="I3" s="964"/>
      <c r="J3" s="964"/>
      <c r="K3" s="964"/>
      <c r="L3" s="964"/>
      <c r="M3" s="964"/>
      <c r="AA3" s="257" t="s">
        <v>18</v>
      </c>
      <c r="AC3" s="257">
        <f>IF(ISERROR(#REF!/('[6]Sch-6'!D14+'[6]Sch-6'!D16+'[6]Sch-6'!D18)),0,#REF!/( '[6]Sch-6'!D14+'[6]Sch-6'!D16+'[6]Sch-6'!D18))</f>
        <v>0</v>
      </c>
    </row>
    <row r="4" spans="1:100" s="257" customFormat="1" ht="21.95" customHeight="1">
      <c r="A4" s="965" t="s">
        <v>19</v>
      </c>
      <c r="B4" s="965"/>
      <c r="C4" s="965"/>
      <c r="D4" s="965"/>
      <c r="E4" s="965"/>
      <c r="F4" s="965"/>
      <c r="G4" s="965"/>
      <c r="H4" s="965"/>
      <c r="I4" s="965"/>
      <c r="J4" s="965"/>
      <c r="K4" s="965"/>
      <c r="L4" s="965"/>
      <c r="M4" s="965"/>
      <c r="AA4" s="257" t="s">
        <v>20</v>
      </c>
      <c r="AC4" s="257" t="e">
        <f>#REF!</f>
        <v>#REF!</v>
      </c>
    </row>
    <row r="5" spans="1:100" s="257" customFormat="1" ht="27.95" customHeight="1">
      <c r="A5" s="262"/>
      <c r="B5" s="262"/>
      <c r="C5" s="262"/>
      <c r="D5" s="262"/>
      <c r="E5" s="372"/>
      <c r="F5" s="372"/>
      <c r="G5" s="372"/>
      <c r="H5" s="372"/>
      <c r="I5" s="345"/>
      <c r="K5" s="261"/>
      <c r="L5" s="260"/>
      <c r="M5" s="372"/>
    </row>
    <row r="6" spans="1:100" s="257" customFormat="1" ht="27.95" customHeight="1">
      <c r="A6" s="462"/>
      <c r="B6" s="896" t="s">
        <v>338</v>
      </c>
      <c r="C6" s="896"/>
      <c r="D6" s="2"/>
      <c r="E6" s="372"/>
      <c r="F6" s="372"/>
      <c r="G6" s="372"/>
      <c r="H6" s="372"/>
      <c r="I6" s="345"/>
      <c r="K6" s="261"/>
      <c r="L6" s="260"/>
      <c r="M6" s="372"/>
    </row>
    <row r="7" spans="1:100" s="257" customFormat="1" ht="27.95" customHeight="1">
      <c r="A7" s="459"/>
      <c r="B7" s="897" t="str">
        <f>'Sch-1'!A7</f>
        <v>abc</v>
      </c>
      <c r="C7" s="897"/>
      <c r="D7" s="897"/>
      <c r="E7" s="897"/>
      <c r="F7" s="897"/>
      <c r="G7" s="897"/>
      <c r="H7" s="897"/>
      <c r="I7" s="345"/>
      <c r="K7" s="261"/>
      <c r="L7" s="260"/>
      <c r="M7" s="372"/>
    </row>
    <row r="8" spans="1:100" s="412" customFormat="1" ht="16.5" customHeight="1">
      <c r="A8" s="461"/>
      <c r="B8" s="898" t="str">
        <f>'Sch-1'!A8</f>
        <v>Bidder’s Name and Address  (Sole Bidder) :</v>
      </c>
      <c r="C8" s="898"/>
      <c r="D8" s="898"/>
      <c r="E8" s="898"/>
      <c r="F8" s="898"/>
      <c r="G8" s="898"/>
      <c r="H8" s="898"/>
      <c r="I8" s="11"/>
      <c r="J8" s="11"/>
      <c r="K8" s="73" t="s">
        <v>1</v>
      </c>
      <c r="L8" s="9"/>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row>
    <row r="9" spans="1:100" s="412" customFormat="1">
      <c r="A9" s="368"/>
      <c r="B9" s="368" t="s">
        <v>12</v>
      </c>
      <c r="C9" s="897" t="str">
        <f>'Sch-1'!C9</f>
        <v>abc</v>
      </c>
      <c r="D9" s="897"/>
      <c r="E9" s="897"/>
      <c r="F9" s="897"/>
      <c r="G9" s="220"/>
      <c r="H9" s="220"/>
      <c r="I9" s="220"/>
      <c r="J9" s="220"/>
      <c r="K9" s="74" t="s">
        <v>2</v>
      </c>
      <c r="L9" s="9"/>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row>
    <row r="10" spans="1:100" s="412" customFormat="1">
      <c r="A10" s="368"/>
      <c r="B10" s="368" t="s">
        <v>11</v>
      </c>
      <c r="C10" s="899" t="str">
        <f>'Sch-1'!C10</f>
        <v>abc</v>
      </c>
      <c r="D10" s="899"/>
      <c r="E10" s="899"/>
      <c r="F10" s="899"/>
      <c r="G10" s="220"/>
      <c r="H10" s="220"/>
      <c r="I10" s="220"/>
      <c r="J10" s="220"/>
      <c r="K10" s="74" t="s">
        <v>3</v>
      </c>
      <c r="L10" s="9"/>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row>
    <row r="11" spans="1:100" s="412" customFormat="1">
      <c r="A11" s="354"/>
      <c r="B11" s="354"/>
      <c r="C11" s="899" t="str">
        <f>'Sch-1'!C11</f>
        <v>abc</v>
      </c>
      <c r="D11" s="899"/>
      <c r="E11" s="899"/>
      <c r="F11" s="899"/>
      <c r="G11" s="220"/>
      <c r="H11" s="220"/>
      <c r="I11" s="220"/>
      <c r="J11" s="220"/>
      <c r="K11" s="74" t="s">
        <v>4</v>
      </c>
      <c r="L11" s="9"/>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row>
    <row r="12" spans="1:100" s="412" customFormat="1">
      <c r="A12" s="354"/>
      <c r="B12" s="354"/>
      <c r="C12" s="899" t="str">
        <f>'Sch-1'!C12</f>
        <v>abc</v>
      </c>
      <c r="D12" s="899"/>
      <c r="E12" s="899"/>
      <c r="F12" s="899"/>
      <c r="G12" s="220"/>
      <c r="H12" s="220"/>
      <c r="I12" s="220"/>
      <c r="J12" s="220"/>
      <c r="K12" s="74" t="s">
        <v>5</v>
      </c>
      <c r="L12" s="9"/>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row>
    <row r="13" spans="1:100" s="257" customFormat="1" ht="21" customHeight="1">
      <c r="A13" s="262"/>
      <c r="B13" s="262"/>
      <c r="C13" s="262"/>
      <c r="D13" s="262"/>
      <c r="E13" s="262"/>
      <c r="F13" s="262"/>
      <c r="G13" s="262"/>
      <c r="H13" s="262"/>
      <c r="I13" s="346"/>
      <c r="J13" s="372"/>
      <c r="K13" s="74" t="s">
        <v>6</v>
      </c>
      <c r="L13" s="256"/>
      <c r="M13" s="256"/>
    </row>
    <row r="14" spans="1:100" s="257" customFormat="1" ht="27.95" customHeight="1">
      <c r="A14" s="971" t="s">
        <v>473</v>
      </c>
      <c r="B14" s="971"/>
      <c r="C14" s="971"/>
      <c r="D14" s="971"/>
      <c r="E14" s="971"/>
      <c r="F14" s="971"/>
      <c r="G14" s="971"/>
      <c r="H14" s="971"/>
      <c r="I14" s="971"/>
      <c r="J14" s="971"/>
      <c r="K14" s="971"/>
      <c r="L14" s="971"/>
      <c r="M14" s="971"/>
    </row>
    <row r="15" spans="1:100" s="257" customFormat="1" ht="115.5" customHeight="1">
      <c r="A15" s="409" t="s">
        <v>33</v>
      </c>
      <c r="B15" s="341" t="s">
        <v>259</v>
      </c>
      <c r="C15" s="341" t="s">
        <v>260</v>
      </c>
      <c r="D15" s="409" t="s">
        <v>39</v>
      </c>
      <c r="E15" s="413" t="s">
        <v>318</v>
      </c>
      <c r="F15" s="414" t="s">
        <v>319</v>
      </c>
      <c r="G15" s="414" t="s">
        <v>300</v>
      </c>
      <c r="H15" s="414" t="s">
        <v>309</v>
      </c>
      <c r="I15" s="410" t="s">
        <v>34</v>
      </c>
      <c r="J15" s="410" t="s">
        <v>9</v>
      </c>
      <c r="K15" s="410" t="s">
        <v>16</v>
      </c>
      <c r="L15" s="410" t="s">
        <v>35</v>
      </c>
      <c r="M15" s="411" t="s">
        <v>36</v>
      </c>
      <c r="AB15" s="257" t="s">
        <v>37</v>
      </c>
      <c r="AD15" s="257" t="s">
        <v>22</v>
      </c>
      <c r="AE15" s="257" t="s">
        <v>38</v>
      </c>
    </row>
    <row r="16" spans="1:100">
      <c r="A16" s="416"/>
      <c r="B16" s="416"/>
      <c r="C16" s="416"/>
      <c r="D16" s="416"/>
      <c r="E16" s="416"/>
      <c r="F16" s="416"/>
      <c r="G16" s="416"/>
      <c r="H16" s="416"/>
      <c r="I16" s="417"/>
      <c r="J16" s="418"/>
      <c r="K16" s="418"/>
      <c r="L16" s="418"/>
      <c r="M16" s="418"/>
    </row>
    <row r="17" spans="1:100" s="355" customFormat="1" ht="23.25" customHeight="1">
      <c r="A17" s="374"/>
      <c r="B17" s="374"/>
      <c r="C17" s="374"/>
      <c r="D17" s="374"/>
      <c r="F17" s="374"/>
      <c r="G17" s="419" t="s">
        <v>326</v>
      </c>
      <c r="H17" s="374"/>
      <c r="I17" s="374"/>
      <c r="J17" s="374"/>
      <c r="K17" s="374"/>
      <c r="L17" s="374"/>
      <c r="M17" s="374"/>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row>
    <row r="18" spans="1:100" ht="22.5" customHeight="1">
      <c r="A18" s="972"/>
      <c r="B18" s="972"/>
      <c r="C18" s="972"/>
      <c r="D18" s="972"/>
      <c r="E18" s="972"/>
      <c r="F18" s="972"/>
      <c r="G18" s="972"/>
      <c r="H18" s="972"/>
      <c r="I18" s="972"/>
      <c r="J18" s="420"/>
      <c r="K18" s="420"/>
      <c r="L18" s="420"/>
      <c r="M18" s="420"/>
    </row>
    <row r="19" spans="1:100" ht="26.25" customHeight="1">
      <c r="B19" s="325"/>
      <c r="C19" s="326"/>
      <c r="D19" s="326"/>
      <c r="E19" s="326"/>
      <c r="F19" s="326"/>
      <c r="G19" s="326"/>
      <c r="H19" s="326"/>
      <c r="I19" s="326"/>
      <c r="J19" s="326"/>
      <c r="K19" s="326"/>
      <c r="L19" s="327"/>
      <c r="M19" s="415"/>
    </row>
    <row r="20" spans="1:100">
      <c r="B20" s="326"/>
      <c r="C20" s="326"/>
      <c r="D20" s="326"/>
      <c r="E20" s="326"/>
      <c r="F20" s="326"/>
      <c r="G20" s="326"/>
      <c r="H20" s="326"/>
      <c r="I20" s="326"/>
      <c r="J20" s="326"/>
      <c r="K20" s="326"/>
      <c r="L20" s="328"/>
      <c r="M20" s="415"/>
    </row>
    <row r="21" spans="1:100" s="375" customFormat="1">
      <c r="B21" s="375" t="s">
        <v>306</v>
      </c>
      <c r="C21" s="973" t="str">
        <f>'Sch-6 (After Discount)'!B31</f>
        <v xml:space="preserve">  </v>
      </c>
      <c r="D21" s="968"/>
      <c r="H21" s="969" t="s">
        <v>308</v>
      </c>
      <c r="I21" s="969"/>
      <c r="J21" s="966" t="str">
        <f>'Sch-6 (After Discount)'!D31</f>
        <v/>
      </c>
      <c r="K21" s="966"/>
      <c r="L21" s="966"/>
      <c r="M21" s="966"/>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c r="CQ21" s="257"/>
      <c r="CR21" s="257"/>
      <c r="CS21" s="257"/>
      <c r="CT21" s="257"/>
      <c r="CU21" s="257"/>
      <c r="CV21" s="257"/>
    </row>
    <row r="22" spans="1:100" s="375" customFormat="1" ht="16.5" customHeight="1">
      <c r="B22" s="375" t="s">
        <v>307</v>
      </c>
      <c r="C22" s="967" t="str">
        <f>'Sch-6'!B32</f>
        <v/>
      </c>
      <c r="D22" s="968"/>
      <c r="H22" s="969" t="s">
        <v>123</v>
      </c>
      <c r="I22" s="969"/>
      <c r="J22" s="966" t="str">
        <f>'Sch-6 (After Discount)'!D32</f>
        <v/>
      </c>
      <c r="K22" s="966"/>
      <c r="L22" s="966"/>
      <c r="M22" s="966"/>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row>
    <row r="23" spans="1:100">
      <c r="B23" s="974"/>
      <c r="C23" s="974"/>
      <c r="D23" s="974"/>
      <c r="E23" s="974"/>
      <c r="F23" s="974"/>
      <c r="G23" s="974"/>
      <c r="H23" s="974"/>
      <c r="I23" s="974"/>
      <c r="J23" s="974"/>
      <c r="K23" s="974"/>
      <c r="L23" s="974"/>
      <c r="M23" s="415"/>
    </row>
    <row r="24" spans="1:100">
      <c r="B24" s="329"/>
      <c r="C24" s="329"/>
      <c r="D24" s="975"/>
      <c r="E24" s="975"/>
      <c r="F24" s="975"/>
      <c r="G24" s="975"/>
      <c r="H24" s="975"/>
      <c r="I24" s="975"/>
      <c r="J24" s="975"/>
      <c r="K24" s="975"/>
      <c r="L24" s="975"/>
      <c r="M24" s="415"/>
    </row>
    <row r="25" spans="1:100">
      <c r="B25" s="330"/>
      <c r="C25" s="331"/>
      <c r="D25" s="975"/>
      <c r="E25" s="975"/>
      <c r="F25" s="975"/>
      <c r="G25" s="975"/>
      <c r="H25" s="975"/>
      <c r="I25" s="975"/>
      <c r="J25" s="975"/>
      <c r="K25" s="975"/>
      <c r="L25" s="975"/>
      <c r="M25" s="415"/>
    </row>
    <row r="26" spans="1:100">
      <c r="B26" s="330"/>
      <c r="C26" s="332"/>
      <c r="D26" s="975"/>
      <c r="E26" s="975"/>
      <c r="F26" s="975"/>
      <c r="G26" s="975"/>
      <c r="H26" s="975"/>
      <c r="I26" s="975"/>
      <c r="J26" s="975"/>
      <c r="K26" s="975"/>
      <c r="L26" s="975"/>
      <c r="M26" s="415"/>
    </row>
    <row r="27" spans="1:100">
      <c r="B27" s="8"/>
      <c r="C27" s="7"/>
      <c r="D27" s="975"/>
      <c r="E27" s="975"/>
      <c r="F27" s="975"/>
      <c r="G27" s="975"/>
      <c r="H27" s="975"/>
      <c r="I27" s="975"/>
      <c r="J27" s="975"/>
      <c r="K27" s="975"/>
      <c r="L27" s="975"/>
      <c r="M27" s="415"/>
    </row>
    <row r="28" spans="1:100">
      <c r="B28" s="8"/>
      <c r="C28" s="7"/>
      <c r="D28" s="326"/>
      <c r="E28" s="326"/>
      <c r="F28" s="326"/>
      <c r="G28" s="326"/>
      <c r="H28" s="326"/>
      <c r="I28" s="326"/>
      <c r="J28" s="326"/>
      <c r="K28" s="326"/>
      <c r="L28" s="326"/>
      <c r="M28" s="415"/>
    </row>
    <row r="29" spans="1:100">
      <c r="B29" s="333"/>
      <c r="C29" s="976"/>
      <c r="D29" s="976"/>
      <c r="E29" s="976"/>
      <c r="F29" s="976"/>
      <c r="G29" s="976"/>
      <c r="H29" s="976"/>
      <c r="I29" s="976"/>
      <c r="J29" s="976"/>
      <c r="K29" s="976"/>
      <c r="L29" s="334"/>
      <c r="M29" s="415"/>
    </row>
    <row r="59" spans="1:100" s="221" customFormat="1">
      <c r="A59" s="226"/>
      <c r="B59" s="226"/>
      <c r="C59" s="226"/>
      <c r="D59" s="226"/>
      <c r="E59" s="226"/>
      <c r="F59" s="226"/>
      <c r="G59" s="226"/>
      <c r="H59" s="226"/>
      <c r="I59" s="347"/>
      <c r="J59" s="227"/>
      <c r="K59" s="227"/>
      <c r="L59" s="227"/>
      <c r="M59" s="22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row>
    <row r="60" spans="1:100" s="221" customFormat="1">
      <c r="A60" s="226"/>
      <c r="B60" s="226"/>
      <c r="C60" s="226"/>
      <c r="D60" s="226"/>
      <c r="E60" s="226"/>
      <c r="F60" s="226"/>
      <c r="G60" s="226"/>
      <c r="H60" s="226"/>
      <c r="I60" s="347"/>
      <c r="J60" s="227"/>
      <c r="K60" s="227"/>
      <c r="L60" s="227"/>
      <c r="M60" s="22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row>
    <row r="61" spans="1:100" s="221" customFormat="1">
      <c r="A61" s="226"/>
      <c r="B61" s="226"/>
      <c r="C61" s="226"/>
      <c r="D61" s="226"/>
      <c r="E61" s="226"/>
      <c r="F61" s="226"/>
      <c r="G61" s="226"/>
      <c r="H61" s="226"/>
      <c r="I61" s="347"/>
      <c r="J61" s="227"/>
      <c r="K61" s="227"/>
      <c r="L61" s="227"/>
      <c r="M61" s="22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row>
    <row r="62" spans="1:100" ht="16.5" hidden="1" customHeight="1">
      <c r="A62" s="228" t="str">
        <f>A1</f>
        <v>Spec No: NR1/NT/W-TW/DOM/I00/25/03940 (Rfx-5002004353)</v>
      </c>
      <c r="B62" s="228"/>
      <c r="C62" s="228"/>
      <c r="D62" s="228"/>
      <c r="E62" s="228"/>
      <c r="F62" s="228"/>
      <c r="G62" s="228"/>
      <c r="H62" s="228"/>
      <c r="I62" s="348"/>
      <c r="J62" s="229"/>
      <c r="K62" s="229"/>
      <c r="L62" s="229"/>
      <c r="M62" s="229"/>
    </row>
    <row r="63" spans="1:100" ht="16.5" hidden="1" customHeight="1">
      <c r="A63" s="223"/>
      <c r="B63" s="223"/>
      <c r="C63" s="223"/>
      <c r="D63" s="223"/>
      <c r="E63" s="223"/>
      <c r="F63" s="223"/>
      <c r="G63" s="223"/>
      <c r="H63" s="223"/>
      <c r="I63" s="349"/>
      <c r="J63" s="224"/>
      <c r="K63" s="224"/>
      <c r="L63" s="224"/>
      <c r="M63" s="224"/>
    </row>
    <row r="64" spans="1:100" ht="35.25" hidden="1" customHeight="1">
      <c r="A64" s="977" t="str">
        <f>A3</f>
        <v>Transmission Line package TW02 for Diversion / modification of various POWERGRID’s 400kV Transmission Lines due to upcoming Green Field Airport at Kota under Consultancy Services to Kota Development Authority, Kota</v>
      </c>
      <c r="B64" s="977"/>
      <c r="C64" s="977"/>
      <c r="D64" s="977"/>
      <c r="E64" s="977"/>
      <c r="F64" s="977"/>
      <c r="G64" s="977"/>
      <c r="H64" s="977"/>
      <c r="I64" s="977">
        <f>I3</f>
        <v>0</v>
      </c>
      <c r="J64" s="977">
        <f>J3</f>
        <v>0</v>
      </c>
      <c r="K64" s="977"/>
      <c r="L64" s="977"/>
      <c r="M64" s="977"/>
    </row>
    <row r="65" spans="1:13" ht="16.5" hidden="1" customHeight="1">
      <c r="A65" s="970" t="str">
        <f>A4</f>
        <v>(SCHEDULE OF RATES AND PRICES )</v>
      </c>
      <c r="B65" s="970"/>
      <c r="C65" s="970"/>
      <c r="D65" s="970"/>
      <c r="E65" s="970"/>
      <c r="F65" s="970"/>
      <c r="G65" s="970"/>
      <c r="H65" s="970"/>
      <c r="I65" s="970">
        <f>I4</f>
        <v>0</v>
      </c>
      <c r="J65" s="970">
        <f>J4</f>
        <v>0</v>
      </c>
      <c r="K65" s="970"/>
      <c r="L65" s="970"/>
      <c r="M65" s="970"/>
    </row>
    <row r="66" spans="1:13" ht="16.5" hidden="1" customHeight="1">
      <c r="A66" s="230"/>
      <c r="B66" s="230"/>
      <c r="C66" s="230"/>
      <c r="D66" s="230"/>
      <c r="E66" s="230"/>
      <c r="F66" s="230"/>
      <c r="G66" s="230"/>
      <c r="H66" s="230"/>
      <c r="I66" s="371"/>
      <c r="J66" s="373"/>
      <c r="K66" s="373"/>
      <c r="L66" s="373"/>
      <c r="M66" s="373"/>
    </row>
    <row r="67" spans="1:13" ht="16.5" hidden="1" customHeight="1">
      <c r="A67" s="231" t="e">
        <f>#REF!</f>
        <v>#REF!</v>
      </c>
      <c r="B67" s="231"/>
      <c r="C67" s="231"/>
      <c r="D67" s="231"/>
      <c r="E67" s="231"/>
      <c r="F67" s="231"/>
      <c r="G67" s="231"/>
      <c r="H67" s="231"/>
      <c r="I67" s="350"/>
      <c r="J67" s="232"/>
      <c r="K67" s="232"/>
      <c r="L67" s="232"/>
      <c r="M67" s="232"/>
    </row>
    <row r="68" spans="1:13" ht="16.5" hidden="1" customHeight="1">
      <c r="A68" s="979" t="e">
        <f>#REF!</f>
        <v>#REF!</v>
      </c>
      <c r="B68" s="979"/>
      <c r="C68" s="979"/>
      <c r="D68" s="979"/>
      <c r="E68" s="979"/>
      <c r="F68" s="979"/>
      <c r="G68" s="979"/>
      <c r="H68" s="979"/>
      <c r="I68" s="979" t="e">
        <f>#REF!</f>
        <v>#REF!</v>
      </c>
      <c r="J68" s="979" t="e">
        <f>#REF!</f>
        <v>#REF!</v>
      </c>
      <c r="K68" s="369"/>
      <c r="L68" s="369"/>
      <c r="M68" s="369"/>
    </row>
    <row r="69" spans="1:13" ht="16.5" hidden="1" customHeight="1">
      <c r="A69" s="233" t="e">
        <f>#REF!</f>
        <v>#REF!</v>
      </c>
      <c r="B69" s="233"/>
      <c r="C69" s="233"/>
      <c r="D69" s="233"/>
      <c r="E69" s="233"/>
      <c r="F69" s="233"/>
      <c r="G69" s="233"/>
      <c r="H69" s="233"/>
      <c r="I69" s="978" t="e">
        <f>#REF!</f>
        <v>#REF!</v>
      </c>
      <c r="J69" s="978" t="e">
        <f>#REF!</f>
        <v>#REF!</v>
      </c>
      <c r="K69" s="370"/>
      <c r="L69" s="370"/>
      <c r="M69" s="370"/>
    </row>
    <row r="70" spans="1:13" ht="16.5" hidden="1" customHeight="1">
      <c r="A70" s="233" t="e">
        <f>#REF!</f>
        <v>#REF!</v>
      </c>
      <c r="B70" s="233"/>
      <c r="C70" s="233"/>
      <c r="D70" s="233"/>
      <c r="E70" s="233"/>
      <c r="F70" s="233"/>
      <c r="G70" s="233"/>
      <c r="H70" s="233"/>
      <c r="I70" s="978" t="e">
        <f>#REF!</f>
        <v>#REF!</v>
      </c>
      <c r="J70" s="978" t="e">
        <f>#REF!</f>
        <v>#REF!</v>
      </c>
      <c r="K70" s="370"/>
      <c r="L70" s="370"/>
      <c r="M70" s="370"/>
    </row>
    <row r="71" spans="1:13" ht="16.5" hidden="1" customHeight="1">
      <c r="A71" s="234"/>
      <c r="B71" s="234"/>
      <c r="C71" s="234"/>
      <c r="D71" s="234"/>
      <c r="E71" s="234"/>
      <c r="F71" s="234"/>
      <c r="G71" s="234"/>
      <c r="H71" s="234"/>
      <c r="I71" s="978" t="e">
        <f>#REF!</f>
        <v>#REF!</v>
      </c>
      <c r="J71" s="978" t="e">
        <f>#REF!</f>
        <v>#REF!</v>
      </c>
      <c r="K71" s="370"/>
      <c r="L71" s="370"/>
      <c r="M71" s="370"/>
    </row>
    <row r="72" spans="1:13" ht="16.5" hidden="1" customHeight="1">
      <c r="A72" s="234"/>
      <c r="B72" s="234"/>
      <c r="C72" s="234"/>
      <c r="D72" s="234"/>
      <c r="E72" s="234"/>
      <c r="F72" s="234"/>
      <c r="G72" s="234"/>
      <c r="H72" s="234"/>
      <c r="I72" s="978">
        <f>C5</f>
        <v>0</v>
      </c>
      <c r="J72" s="978">
        <f>D5</f>
        <v>0</v>
      </c>
      <c r="K72" s="370"/>
      <c r="L72" s="370"/>
      <c r="M72" s="370"/>
    </row>
    <row r="73" spans="1:13" ht="16.5" hidden="1" customHeight="1"/>
    <row r="74" spans="1:13" ht="33.75" hidden="1" customHeight="1">
      <c r="A74" s="236" t="str">
        <f>A15</f>
        <v>SL. NO.</v>
      </c>
      <c r="B74" s="236"/>
      <c r="C74" s="236"/>
      <c r="D74" s="236"/>
      <c r="E74" s="236"/>
      <c r="F74" s="236"/>
      <c r="G74" s="236"/>
      <c r="H74" s="236"/>
      <c r="I74" s="237" t="str">
        <f>I15</f>
        <v>Description of Test</v>
      </c>
      <c r="J74" s="981" t="e">
        <f>#REF!</f>
        <v>#REF!</v>
      </c>
      <c r="K74" s="981"/>
      <c r="L74" s="981"/>
      <c r="M74" s="981"/>
    </row>
    <row r="75" spans="1:13" ht="16.5" hidden="1" customHeight="1">
      <c r="A75" s="373" t="e">
        <f>#REF!</f>
        <v>#REF!</v>
      </c>
      <c r="B75" s="373"/>
      <c r="C75" s="373"/>
      <c r="D75" s="373"/>
      <c r="E75" s="373"/>
      <c r="F75" s="373"/>
      <c r="G75" s="373"/>
      <c r="H75" s="373"/>
      <c r="I75" s="371" t="e">
        <f>#REF!</f>
        <v>#REF!</v>
      </c>
      <c r="J75" s="982" t="e">
        <f>#REF!</f>
        <v>#REF!</v>
      </c>
      <c r="K75" s="982"/>
      <c r="L75" s="982"/>
      <c r="M75" s="982"/>
    </row>
    <row r="76" spans="1:13" ht="16.5" hidden="1" customHeight="1">
      <c r="A76" s="238" t="e">
        <f>#REF!</f>
        <v>#REF!</v>
      </c>
      <c r="B76" s="238"/>
      <c r="C76" s="238"/>
      <c r="D76" s="238"/>
      <c r="E76" s="238"/>
      <c r="F76" s="238"/>
      <c r="G76" s="238"/>
      <c r="H76" s="238"/>
      <c r="I76" s="239" t="e">
        <f>#REF!</f>
        <v>#REF!</v>
      </c>
      <c r="J76" s="982"/>
      <c r="K76" s="982"/>
      <c r="L76" s="982"/>
      <c r="M76" s="982"/>
    </row>
    <row r="77" spans="1:13" ht="16.5" hidden="1" customHeight="1">
      <c r="A77" s="240" t="e">
        <f>#REF!</f>
        <v>#REF!</v>
      </c>
      <c r="B77" s="240"/>
      <c r="C77" s="240"/>
      <c r="D77" s="240"/>
      <c r="E77" s="240"/>
      <c r="F77" s="240"/>
      <c r="G77" s="240"/>
      <c r="H77" s="240"/>
      <c r="I77" s="241" t="e">
        <f>#REF!</f>
        <v>#REF!</v>
      </c>
      <c r="J77" s="980" t="e">
        <f>#REF!</f>
        <v>#REF!</v>
      </c>
      <c r="K77" s="980"/>
      <c r="L77" s="980"/>
      <c r="M77" s="980"/>
    </row>
    <row r="78" spans="1:13" ht="16.5" hidden="1" customHeight="1">
      <c r="A78" s="240" t="e">
        <f>#REF!</f>
        <v>#REF!</v>
      </c>
      <c r="B78" s="240"/>
      <c r="C78" s="240"/>
      <c r="D78" s="240"/>
      <c r="E78" s="240"/>
      <c r="F78" s="240"/>
      <c r="G78" s="240"/>
      <c r="H78" s="240"/>
      <c r="I78" s="241" t="e">
        <f>#REF!</f>
        <v>#REF!</v>
      </c>
      <c r="J78" s="980" t="e">
        <f>#REF!</f>
        <v>#REF!</v>
      </c>
      <c r="K78" s="980"/>
      <c r="L78" s="980"/>
      <c r="M78" s="980"/>
    </row>
    <row r="79" spans="1:13" ht="20.100000000000001" hidden="1" customHeight="1">
      <c r="A79" s="242"/>
      <c r="B79" s="242"/>
      <c r="C79" s="242"/>
      <c r="D79" s="242"/>
      <c r="E79" s="242"/>
      <c r="F79" s="242"/>
      <c r="G79" s="242"/>
      <c r="H79" s="242"/>
      <c r="I79" s="239" t="e">
        <f>#REF!</f>
        <v>#REF!</v>
      </c>
      <c r="J79" s="980" t="e">
        <f>#REF!</f>
        <v>#REF!</v>
      </c>
      <c r="K79" s="980"/>
      <c r="L79" s="980"/>
      <c r="M79" s="980"/>
    </row>
    <row r="80" spans="1:13" ht="16.5" hidden="1" customHeight="1">
      <c r="A80" s="238" t="e">
        <f>#REF!</f>
        <v>#REF!</v>
      </c>
      <c r="B80" s="238"/>
      <c r="C80" s="238"/>
      <c r="D80" s="238"/>
      <c r="E80" s="238"/>
      <c r="F80" s="238"/>
      <c r="G80" s="238"/>
      <c r="H80" s="238"/>
      <c r="I80" s="239" t="e">
        <f>#REF!</f>
        <v>#REF!</v>
      </c>
      <c r="J80" s="980"/>
      <c r="K80" s="980"/>
      <c r="L80" s="980"/>
      <c r="M80" s="980"/>
    </row>
    <row r="81" spans="1:100" ht="16.5" hidden="1" customHeight="1">
      <c r="A81" s="243" t="e">
        <f>#REF!</f>
        <v>#REF!</v>
      </c>
      <c r="B81" s="243"/>
      <c r="C81" s="243"/>
      <c r="D81" s="243"/>
      <c r="E81" s="243"/>
      <c r="F81" s="243"/>
      <c r="G81" s="243"/>
      <c r="H81" s="243"/>
      <c r="I81" s="239" t="e">
        <f>#REF!</f>
        <v>#REF!</v>
      </c>
      <c r="J81" s="980"/>
      <c r="K81" s="980"/>
      <c r="L81" s="980"/>
      <c r="M81" s="980"/>
    </row>
    <row r="82" spans="1:100" ht="16.5" hidden="1" customHeight="1">
      <c r="A82" s="244" t="e">
        <f>#REF!</f>
        <v>#REF!</v>
      </c>
      <c r="B82" s="244"/>
      <c r="C82" s="244"/>
      <c r="D82" s="244"/>
      <c r="E82" s="244"/>
      <c r="F82" s="244"/>
      <c r="G82" s="244"/>
      <c r="H82" s="244"/>
      <c r="I82" s="239" t="e">
        <f>#REF!</f>
        <v>#REF!</v>
      </c>
      <c r="J82" s="980"/>
      <c r="K82" s="980"/>
      <c r="L82" s="980"/>
      <c r="M82" s="980"/>
    </row>
    <row r="83" spans="1:100" ht="16.5" hidden="1" customHeight="1">
      <c r="A83" s="240" t="e">
        <f>#REF!</f>
        <v>#REF!</v>
      </c>
      <c r="B83" s="240"/>
      <c r="C83" s="240"/>
      <c r="D83" s="240"/>
      <c r="E83" s="240"/>
      <c r="F83" s="240"/>
      <c r="G83" s="240"/>
      <c r="H83" s="240"/>
      <c r="I83" s="241" t="e">
        <f>#REF!</f>
        <v>#REF!</v>
      </c>
      <c r="J83" s="980" t="e">
        <f>#REF!</f>
        <v>#REF!</v>
      </c>
      <c r="K83" s="980"/>
      <c r="L83" s="980"/>
      <c r="M83" s="980"/>
    </row>
    <row r="84" spans="1:100" ht="16.5" hidden="1" customHeight="1">
      <c r="A84" s="240" t="e">
        <f>#REF!</f>
        <v>#REF!</v>
      </c>
      <c r="B84" s="240"/>
      <c r="C84" s="240"/>
      <c r="D84" s="240"/>
      <c r="E84" s="240"/>
      <c r="F84" s="240"/>
      <c r="G84" s="240"/>
      <c r="H84" s="240"/>
      <c r="I84" s="241" t="e">
        <f>#REF!</f>
        <v>#REF!</v>
      </c>
      <c r="J84" s="980" t="e">
        <f>#REF!</f>
        <v>#REF!</v>
      </c>
      <c r="K84" s="980"/>
      <c r="L84" s="980"/>
      <c r="M84" s="980"/>
    </row>
    <row r="85" spans="1:100" ht="16.5" hidden="1" customHeight="1">
      <c r="A85" s="240" t="e">
        <f>#REF!</f>
        <v>#REF!</v>
      </c>
      <c r="B85" s="240"/>
      <c r="C85" s="240"/>
      <c r="D85" s="240"/>
      <c r="E85" s="240"/>
      <c r="F85" s="240"/>
      <c r="G85" s="240"/>
      <c r="H85" s="240"/>
      <c r="I85" s="241" t="e">
        <f>#REF!</f>
        <v>#REF!</v>
      </c>
      <c r="J85" s="980" t="e">
        <f>#REF!</f>
        <v>#REF!</v>
      </c>
      <c r="K85" s="980"/>
      <c r="L85" s="980"/>
      <c r="M85" s="980"/>
    </row>
    <row r="86" spans="1:100" ht="16.5" hidden="1" customHeight="1">
      <c r="A86" s="240" t="e">
        <f>#REF!</f>
        <v>#REF!</v>
      </c>
      <c r="B86" s="240"/>
      <c r="C86" s="240"/>
      <c r="D86" s="240"/>
      <c r="E86" s="240"/>
      <c r="F86" s="240"/>
      <c r="G86" s="240"/>
      <c r="H86" s="240"/>
      <c r="I86" s="241" t="e">
        <f>#REF!</f>
        <v>#REF!</v>
      </c>
      <c r="J86" s="980" t="e">
        <f>#REF!</f>
        <v>#REF!</v>
      </c>
      <c r="K86" s="980"/>
      <c r="L86" s="980"/>
      <c r="M86" s="980"/>
    </row>
    <row r="87" spans="1:100" ht="16.5" hidden="1" customHeight="1">
      <c r="A87" s="240"/>
      <c r="B87" s="240"/>
      <c r="C87" s="240"/>
      <c r="D87" s="240"/>
      <c r="E87" s="240"/>
      <c r="F87" s="240"/>
      <c r="G87" s="240"/>
      <c r="H87" s="240"/>
      <c r="I87" s="239" t="e">
        <f>#REF!</f>
        <v>#REF!</v>
      </c>
      <c r="J87" s="980" t="e">
        <f>#REF!</f>
        <v>#REF!</v>
      </c>
      <c r="K87" s="980"/>
      <c r="L87" s="980"/>
      <c r="M87" s="980"/>
    </row>
    <row r="88" spans="1:100" ht="20.100000000000001" hidden="1" customHeight="1">
      <c r="A88" s="244" t="e">
        <f>#REF!</f>
        <v>#REF!</v>
      </c>
      <c r="B88" s="244"/>
      <c r="C88" s="244"/>
      <c r="D88" s="244"/>
      <c r="E88" s="244"/>
      <c r="F88" s="244"/>
      <c r="G88" s="244"/>
      <c r="H88" s="244"/>
      <c r="I88" s="239" t="e">
        <f>#REF!</f>
        <v>#REF!</v>
      </c>
      <c r="J88" s="980"/>
      <c r="K88" s="980"/>
      <c r="L88" s="980"/>
      <c r="M88" s="980"/>
    </row>
    <row r="89" spans="1:100" ht="16.5" hidden="1" customHeight="1">
      <c r="A89" s="240" t="e">
        <f>#REF!</f>
        <v>#REF!</v>
      </c>
      <c r="B89" s="240"/>
      <c r="C89" s="240"/>
      <c r="D89" s="240"/>
      <c r="E89" s="240"/>
      <c r="F89" s="240"/>
      <c r="G89" s="240"/>
      <c r="H89" s="240"/>
      <c r="I89" s="241" t="e">
        <f>#REF!</f>
        <v>#REF!</v>
      </c>
      <c r="J89" s="980" t="e">
        <f>#REF!</f>
        <v>#REF!</v>
      </c>
      <c r="K89" s="980"/>
      <c r="L89" s="980"/>
      <c r="M89" s="980"/>
    </row>
    <row r="90" spans="1:100" ht="16.5" hidden="1" customHeight="1">
      <c r="A90" s="240" t="e">
        <f>#REF!</f>
        <v>#REF!</v>
      </c>
      <c r="B90" s="240"/>
      <c r="C90" s="240"/>
      <c r="D90" s="240"/>
      <c r="E90" s="240"/>
      <c r="F90" s="240"/>
      <c r="G90" s="240"/>
      <c r="H90" s="240"/>
      <c r="I90" s="241" t="e">
        <f>#REF!</f>
        <v>#REF!</v>
      </c>
      <c r="J90" s="980" t="e">
        <f>#REF!</f>
        <v>#REF!</v>
      </c>
      <c r="K90" s="980"/>
      <c r="L90" s="980"/>
      <c r="M90" s="980"/>
    </row>
    <row r="91" spans="1:100" ht="20.100000000000001" hidden="1" customHeight="1">
      <c r="A91" s="240" t="e">
        <f>#REF!</f>
        <v>#REF!</v>
      </c>
      <c r="B91" s="240"/>
      <c r="C91" s="240"/>
      <c r="D91" s="240"/>
      <c r="E91" s="240"/>
      <c r="F91" s="240"/>
      <c r="G91" s="240"/>
      <c r="H91" s="240"/>
      <c r="I91" s="241" t="e">
        <f>#REF!</f>
        <v>#REF!</v>
      </c>
      <c r="J91" s="980" t="e">
        <f>#REF!</f>
        <v>#REF!</v>
      </c>
      <c r="K91" s="980"/>
      <c r="L91" s="980"/>
      <c r="M91" s="980"/>
    </row>
    <row r="92" spans="1:100" ht="16.5" hidden="1" customHeight="1">
      <c r="A92" s="240" t="e">
        <f>#REF!</f>
        <v>#REF!</v>
      </c>
      <c r="B92" s="240"/>
      <c r="C92" s="240"/>
      <c r="D92" s="240"/>
      <c r="E92" s="240"/>
      <c r="F92" s="240"/>
      <c r="G92" s="240"/>
      <c r="H92" s="240"/>
      <c r="I92" s="241" t="e">
        <f>#REF!</f>
        <v>#REF!</v>
      </c>
      <c r="J92" s="980" t="e">
        <f>#REF!</f>
        <v>#REF!</v>
      </c>
      <c r="K92" s="980"/>
      <c r="L92" s="980"/>
      <c r="M92" s="980"/>
    </row>
    <row r="93" spans="1:100" s="246" customFormat="1" ht="20.100000000000001" hidden="1" customHeight="1">
      <c r="A93" s="245"/>
      <c r="B93" s="245"/>
      <c r="C93" s="245"/>
      <c r="D93" s="245"/>
      <c r="E93" s="245"/>
      <c r="F93" s="245"/>
      <c r="G93" s="245"/>
      <c r="H93" s="245"/>
      <c r="I93" s="239" t="e">
        <f>#REF!</f>
        <v>#REF!</v>
      </c>
      <c r="J93" s="980" t="e">
        <f>#REF!</f>
        <v>#REF!</v>
      </c>
      <c r="K93" s="980"/>
      <c r="L93" s="980"/>
      <c r="M93" s="980"/>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c r="AZ93" s="257"/>
      <c r="BA93" s="257"/>
      <c r="BB93" s="257"/>
      <c r="BC93" s="257"/>
      <c r="BD93" s="257"/>
      <c r="BE93" s="257"/>
      <c r="BF93" s="257"/>
      <c r="BG93" s="257"/>
      <c r="BH93" s="257"/>
      <c r="BI93" s="257"/>
      <c r="BJ93" s="257"/>
      <c r="BK93" s="257"/>
      <c r="BL93" s="257"/>
      <c r="BM93" s="257"/>
      <c r="BN93" s="257"/>
      <c r="BO93" s="257"/>
      <c r="BP93" s="257"/>
      <c r="BQ93" s="257"/>
      <c r="BR93" s="257"/>
      <c r="BS93" s="257"/>
      <c r="BT93" s="257"/>
      <c r="BU93" s="257"/>
      <c r="BV93" s="257"/>
      <c r="BW93" s="257"/>
      <c r="BX93" s="257"/>
      <c r="BY93" s="257"/>
      <c r="BZ93" s="257"/>
      <c r="CA93" s="257"/>
      <c r="CB93" s="257"/>
      <c r="CC93" s="257"/>
      <c r="CD93" s="257"/>
      <c r="CE93" s="257"/>
      <c r="CF93" s="257"/>
      <c r="CG93" s="257"/>
      <c r="CH93" s="257"/>
      <c r="CI93" s="257"/>
      <c r="CJ93" s="257"/>
      <c r="CK93" s="257"/>
      <c r="CL93" s="257"/>
      <c r="CM93" s="257"/>
      <c r="CN93" s="257"/>
      <c r="CO93" s="257"/>
      <c r="CP93" s="257"/>
      <c r="CQ93" s="257"/>
      <c r="CR93" s="257"/>
      <c r="CS93" s="257"/>
      <c r="CT93" s="257"/>
      <c r="CU93" s="257"/>
      <c r="CV93" s="257"/>
    </row>
    <row r="94" spans="1:100" ht="24" hidden="1" customHeight="1">
      <c r="A94" s="244" t="e">
        <f>#REF!</f>
        <v>#REF!</v>
      </c>
      <c r="B94" s="244"/>
      <c r="C94" s="244"/>
      <c r="D94" s="244"/>
      <c r="E94" s="244"/>
      <c r="F94" s="244"/>
      <c r="G94" s="244"/>
      <c r="H94" s="244"/>
      <c r="I94" s="239" t="e">
        <f>#REF!</f>
        <v>#REF!</v>
      </c>
      <c r="J94" s="980"/>
      <c r="K94" s="980"/>
      <c r="L94" s="980"/>
      <c r="M94" s="980"/>
    </row>
    <row r="95" spans="1:100" ht="16.5" hidden="1" customHeight="1">
      <c r="A95" s="240" t="e">
        <f>#REF!</f>
        <v>#REF!</v>
      </c>
      <c r="B95" s="240"/>
      <c r="C95" s="240"/>
      <c r="D95" s="240"/>
      <c r="E95" s="240"/>
      <c r="F95" s="240"/>
      <c r="G95" s="240"/>
      <c r="H95" s="240"/>
      <c r="I95" s="241" t="e">
        <f>#REF!</f>
        <v>#REF!</v>
      </c>
      <c r="J95" s="980" t="e">
        <f>#REF!</f>
        <v>#REF!</v>
      </c>
      <c r="K95" s="980"/>
      <c r="L95" s="980"/>
      <c r="M95" s="980"/>
    </row>
    <row r="96" spans="1:100" ht="16.5" hidden="1" customHeight="1">
      <c r="A96" s="240" t="e">
        <f>#REF!</f>
        <v>#REF!</v>
      </c>
      <c r="B96" s="240"/>
      <c r="C96" s="240"/>
      <c r="D96" s="240"/>
      <c r="E96" s="240"/>
      <c r="F96" s="240"/>
      <c r="G96" s="240"/>
      <c r="H96" s="240"/>
      <c r="I96" s="241" t="e">
        <f>#REF!</f>
        <v>#REF!</v>
      </c>
      <c r="J96" s="980" t="e">
        <f>#REF!</f>
        <v>#REF!</v>
      </c>
      <c r="K96" s="980"/>
      <c r="L96" s="980"/>
      <c r="M96" s="980"/>
    </row>
    <row r="97" spans="1:100" ht="33" hidden="1" customHeight="1">
      <c r="A97" s="240" t="e">
        <f>#REF!</f>
        <v>#REF!</v>
      </c>
      <c r="B97" s="240"/>
      <c r="C97" s="240"/>
      <c r="D97" s="240"/>
      <c r="E97" s="240"/>
      <c r="F97" s="240"/>
      <c r="G97" s="240"/>
      <c r="H97" s="240"/>
      <c r="I97" s="241" t="e">
        <f>#REF!</f>
        <v>#REF!</v>
      </c>
      <c r="J97" s="980" t="e">
        <f>#REF!</f>
        <v>#REF!</v>
      </c>
      <c r="K97" s="980"/>
      <c r="L97" s="980"/>
      <c r="M97" s="980"/>
    </row>
    <row r="98" spans="1:100" s="246" customFormat="1" ht="20.100000000000001" hidden="1" customHeight="1">
      <c r="A98" s="240"/>
      <c r="B98" s="240"/>
      <c r="C98" s="240"/>
      <c r="D98" s="240"/>
      <c r="E98" s="240"/>
      <c r="F98" s="240"/>
      <c r="G98" s="240"/>
      <c r="H98" s="240"/>
      <c r="I98" s="239" t="e">
        <f>#REF!</f>
        <v>#REF!</v>
      </c>
      <c r="J98" s="980" t="e">
        <f>#REF!</f>
        <v>#REF!</v>
      </c>
      <c r="K98" s="980"/>
      <c r="L98" s="980"/>
      <c r="M98" s="980"/>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257"/>
      <c r="BK98" s="257"/>
      <c r="BL98" s="257"/>
      <c r="BM98" s="257"/>
      <c r="BN98" s="257"/>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row>
    <row r="99" spans="1:100" ht="20.100000000000001" hidden="1" customHeight="1">
      <c r="A99" s="244" t="e">
        <f>#REF!</f>
        <v>#REF!</v>
      </c>
      <c r="B99" s="244"/>
      <c r="C99" s="244"/>
      <c r="D99" s="244"/>
      <c r="E99" s="244"/>
      <c r="F99" s="244"/>
      <c r="G99" s="244"/>
      <c r="H99" s="244"/>
      <c r="I99" s="239" t="e">
        <f>#REF!</f>
        <v>#REF!</v>
      </c>
      <c r="J99" s="980"/>
      <c r="K99" s="980"/>
      <c r="L99" s="980"/>
      <c r="M99" s="980"/>
    </row>
    <row r="100" spans="1:100" ht="16.5" hidden="1" customHeight="1">
      <c r="A100" s="240" t="e">
        <f>#REF!</f>
        <v>#REF!</v>
      </c>
      <c r="B100" s="240"/>
      <c r="C100" s="240"/>
      <c r="D100" s="240"/>
      <c r="E100" s="240"/>
      <c r="F100" s="240"/>
      <c r="G100" s="240"/>
      <c r="H100" s="240"/>
      <c r="I100" s="241" t="e">
        <f>#REF!</f>
        <v>#REF!</v>
      </c>
      <c r="J100" s="980" t="e">
        <f>#REF!</f>
        <v>#REF!</v>
      </c>
      <c r="K100" s="980"/>
      <c r="L100" s="980"/>
      <c r="M100" s="980"/>
    </row>
    <row r="101" spans="1:100" ht="16.5" hidden="1" customHeight="1">
      <c r="A101" s="240" t="e">
        <f>#REF!</f>
        <v>#REF!</v>
      </c>
      <c r="B101" s="240"/>
      <c r="C101" s="240"/>
      <c r="D101" s="240"/>
      <c r="E101" s="240"/>
      <c r="F101" s="240"/>
      <c r="G101" s="240"/>
      <c r="H101" s="240"/>
      <c r="I101" s="241" t="e">
        <f>#REF!</f>
        <v>#REF!</v>
      </c>
      <c r="J101" s="980" t="e">
        <f>#REF!</f>
        <v>#REF!</v>
      </c>
      <c r="K101" s="980"/>
      <c r="L101" s="980"/>
      <c r="M101" s="980"/>
    </row>
    <row r="102" spans="1:100" ht="16.5" hidden="1" customHeight="1">
      <c r="A102" s="240" t="e">
        <f>#REF!</f>
        <v>#REF!</v>
      </c>
      <c r="B102" s="240"/>
      <c r="C102" s="240"/>
      <c r="D102" s="240"/>
      <c r="E102" s="240"/>
      <c r="F102" s="240"/>
      <c r="G102" s="240"/>
      <c r="H102" s="240"/>
      <c r="I102" s="241" t="e">
        <f>#REF!</f>
        <v>#REF!</v>
      </c>
      <c r="J102" s="980" t="e">
        <f>#REF!</f>
        <v>#REF!</v>
      </c>
      <c r="K102" s="980"/>
      <c r="L102" s="980"/>
      <c r="M102" s="980"/>
    </row>
    <row r="103" spans="1:100" ht="16.5" hidden="1" customHeight="1">
      <c r="A103" s="240"/>
      <c r="B103" s="240"/>
      <c r="C103" s="240"/>
      <c r="D103" s="240"/>
      <c r="E103" s="240"/>
      <c r="F103" s="240"/>
      <c r="G103" s="240"/>
      <c r="H103" s="240"/>
      <c r="I103" s="239" t="e">
        <f>#REF!</f>
        <v>#REF!</v>
      </c>
      <c r="J103" s="980" t="e">
        <f>#REF!</f>
        <v>#REF!</v>
      </c>
      <c r="K103" s="980"/>
      <c r="L103" s="980"/>
      <c r="M103" s="980"/>
    </row>
    <row r="104" spans="1:100" ht="20.100000000000001" hidden="1" customHeight="1">
      <c r="A104" s="244" t="e">
        <f>#REF!</f>
        <v>#REF!</v>
      </c>
      <c r="B104" s="244"/>
      <c r="C104" s="244"/>
      <c r="D104" s="244"/>
      <c r="E104" s="244"/>
      <c r="F104" s="244"/>
      <c r="G104" s="244"/>
      <c r="H104" s="244"/>
      <c r="I104" s="239" t="e">
        <f>#REF!</f>
        <v>#REF!</v>
      </c>
      <c r="J104" s="980"/>
      <c r="K104" s="980"/>
      <c r="L104" s="980"/>
      <c r="M104" s="980"/>
    </row>
    <row r="105" spans="1:100" ht="16.5" hidden="1" customHeight="1">
      <c r="A105" s="240" t="e">
        <f>#REF!</f>
        <v>#REF!</v>
      </c>
      <c r="B105" s="240"/>
      <c r="C105" s="240"/>
      <c r="D105" s="240"/>
      <c r="E105" s="240"/>
      <c r="F105" s="240"/>
      <c r="G105" s="240"/>
      <c r="H105" s="240"/>
      <c r="I105" s="241" t="e">
        <f>#REF!</f>
        <v>#REF!</v>
      </c>
      <c r="J105" s="980" t="e">
        <f>#REF!</f>
        <v>#REF!</v>
      </c>
      <c r="K105" s="980"/>
      <c r="L105" s="980"/>
      <c r="M105" s="980"/>
    </row>
    <row r="106" spans="1:100" ht="16.5" hidden="1" customHeight="1">
      <c r="A106" s="240" t="e">
        <f>#REF!</f>
        <v>#REF!</v>
      </c>
      <c r="B106" s="240"/>
      <c r="C106" s="240"/>
      <c r="D106" s="240"/>
      <c r="E106" s="240"/>
      <c r="F106" s="240"/>
      <c r="G106" s="240"/>
      <c r="H106" s="240"/>
      <c r="I106" s="241" t="e">
        <f>#REF!</f>
        <v>#REF!</v>
      </c>
      <c r="J106" s="980" t="e">
        <f>#REF!</f>
        <v>#REF!</v>
      </c>
      <c r="K106" s="980"/>
      <c r="L106" s="980"/>
      <c r="M106" s="980"/>
    </row>
    <row r="107" spans="1:100" ht="16.5" hidden="1" customHeight="1">
      <c r="A107" s="240" t="e">
        <f>#REF!</f>
        <v>#REF!</v>
      </c>
      <c r="B107" s="240"/>
      <c r="C107" s="240"/>
      <c r="D107" s="240"/>
      <c r="E107" s="240"/>
      <c r="F107" s="240"/>
      <c r="G107" s="240"/>
      <c r="H107" s="240"/>
      <c r="I107" s="241" t="e">
        <f>#REF!</f>
        <v>#REF!</v>
      </c>
      <c r="J107" s="980" t="e">
        <f>#REF!</f>
        <v>#REF!</v>
      </c>
      <c r="K107" s="980"/>
      <c r="L107" s="980"/>
      <c r="M107" s="980"/>
    </row>
    <row r="108" spans="1:100" ht="16.5" hidden="1" customHeight="1">
      <c r="A108" s="240" t="e">
        <f>#REF!</f>
        <v>#REF!</v>
      </c>
      <c r="B108" s="240"/>
      <c r="C108" s="240"/>
      <c r="D108" s="240"/>
      <c r="E108" s="240"/>
      <c r="F108" s="240"/>
      <c r="G108" s="240"/>
      <c r="H108" s="240"/>
      <c r="I108" s="241" t="e">
        <f>#REF!</f>
        <v>#REF!</v>
      </c>
      <c r="J108" s="980" t="e">
        <f>#REF!</f>
        <v>#REF!</v>
      </c>
      <c r="K108" s="980"/>
      <c r="L108" s="980"/>
      <c r="M108" s="980"/>
    </row>
    <row r="109" spans="1:100" s="246" customFormat="1" ht="20.100000000000001" hidden="1" customHeight="1">
      <c r="A109" s="240"/>
      <c r="B109" s="240"/>
      <c r="C109" s="240"/>
      <c r="D109" s="240"/>
      <c r="E109" s="240"/>
      <c r="F109" s="240"/>
      <c r="G109" s="240"/>
      <c r="H109" s="240"/>
      <c r="I109" s="239" t="e">
        <f>#REF!</f>
        <v>#REF!</v>
      </c>
      <c r="J109" s="980" t="e">
        <f>#REF!</f>
        <v>#REF!</v>
      </c>
      <c r="K109" s="980"/>
      <c r="L109" s="980"/>
      <c r="M109" s="980"/>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row>
    <row r="110" spans="1:100" ht="20.100000000000001" hidden="1" customHeight="1">
      <c r="A110" s="247"/>
      <c r="B110" s="247"/>
      <c r="C110" s="247"/>
      <c r="D110" s="247"/>
      <c r="E110" s="247"/>
      <c r="F110" s="247"/>
      <c r="G110" s="247"/>
      <c r="H110" s="247"/>
      <c r="I110" s="239" t="e">
        <f>#REF!</f>
        <v>#REF!</v>
      </c>
      <c r="J110" s="980" t="e">
        <f>#REF!</f>
        <v>#REF!</v>
      </c>
      <c r="K110" s="980"/>
      <c r="L110" s="980"/>
      <c r="M110" s="980"/>
    </row>
    <row r="111" spans="1:100" ht="16.5" hidden="1" customHeight="1">
      <c r="A111" s="247"/>
      <c r="B111" s="247"/>
      <c r="C111" s="247"/>
      <c r="D111" s="247"/>
      <c r="E111" s="247"/>
      <c r="F111" s="247"/>
      <c r="G111" s="247"/>
      <c r="H111" s="247"/>
      <c r="I111" s="239"/>
      <c r="J111" s="980"/>
      <c r="K111" s="980"/>
      <c r="L111" s="980"/>
      <c r="M111" s="980"/>
    </row>
    <row r="112" spans="1:100" ht="20.100000000000001" hidden="1" customHeight="1">
      <c r="A112" s="243" t="e">
        <f>#REF!</f>
        <v>#REF!</v>
      </c>
      <c r="B112" s="243"/>
      <c r="C112" s="243"/>
      <c r="D112" s="243"/>
      <c r="E112" s="243"/>
      <c r="F112" s="243"/>
      <c r="G112" s="243"/>
      <c r="H112" s="243"/>
      <c r="I112" s="239" t="e">
        <f>#REF!</f>
        <v>#REF!</v>
      </c>
      <c r="J112" s="980"/>
      <c r="K112" s="980"/>
      <c r="L112" s="980"/>
      <c r="M112" s="980"/>
    </row>
    <row r="113" spans="1:13" ht="30" hidden="1" customHeight="1">
      <c r="A113" s="244" t="e">
        <f>#REF!</f>
        <v>#REF!</v>
      </c>
      <c r="B113" s="244"/>
      <c r="C113" s="244"/>
      <c r="D113" s="244"/>
      <c r="E113" s="244"/>
      <c r="F113" s="244"/>
      <c r="G113" s="244"/>
      <c r="H113" s="244"/>
      <c r="I113" s="239" t="e">
        <f>#REF!</f>
        <v>#REF!</v>
      </c>
      <c r="J113" s="980"/>
      <c r="K113" s="980"/>
      <c r="L113" s="980"/>
      <c r="M113" s="980"/>
    </row>
    <row r="114" spans="1:13" ht="16.5" hidden="1" customHeight="1">
      <c r="A114" s="240" t="e">
        <f>#REF!</f>
        <v>#REF!</v>
      </c>
      <c r="B114" s="240"/>
      <c r="C114" s="240"/>
      <c r="D114" s="240"/>
      <c r="E114" s="240"/>
      <c r="F114" s="240"/>
      <c r="G114" s="240"/>
      <c r="H114" s="240"/>
      <c r="I114" s="241" t="e">
        <f>#REF!</f>
        <v>#REF!</v>
      </c>
      <c r="J114" s="980" t="e">
        <f>#REF!</f>
        <v>#REF!</v>
      </c>
      <c r="K114" s="980"/>
      <c r="L114" s="980"/>
      <c r="M114" s="980"/>
    </row>
    <row r="115" spans="1:13" ht="16.5" hidden="1" customHeight="1">
      <c r="A115" s="240" t="e">
        <f>#REF!</f>
        <v>#REF!</v>
      </c>
      <c r="B115" s="240"/>
      <c r="C115" s="240"/>
      <c r="D115" s="240"/>
      <c r="E115" s="240"/>
      <c r="F115" s="240"/>
      <c r="G115" s="240"/>
      <c r="H115" s="240"/>
      <c r="I115" s="241" t="e">
        <f>#REF!</f>
        <v>#REF!</v>
      </c>
      <c r="J115" s="980" t="e">
        <f>#REF!</f>
        <v>#REF!</v>
      </c>
      <c r="K115" s="980"/>
      <c r="L115" s="980"/>
      <c r="M115" s="980"/>
    </row>
    <row r="116" spans="1:13" ht="16.5" hidden="1" customHeight="1">
      <c r="A116" s="240" t="e">
        <f>#REF!</f>
        <v>#REF!</v>
      </c>
      <c r="B116" s="240"/>
      <c r="C116" s="240"/>
      <c r="D116" s="240"/>
      <c r="E116" s="240"/>
      <c r="F116" s="240"/>
      <c r="G116" s="240"/>
      <c r="H116" s="240"/>
      <c r="I116" s="241" t="e">
        <f>#REF!</f>
        <v>#REF!</v>
      </c>
      <c r="J116" s="980" t="e">
        <f>#REF!</f>
        <v>#REF!</v>
      </c>
      <c r="K116" s="980"/>
      <c r="L116" s="980"/>
      <c r="M116" s="980"/>
    </row>
    <row r="117" spans="1:13" ht="20.100000000000001" hidden="1" customHeight="1">
      <c r="A117" s="248"/>
      <c r="B117" s="248"/>
      <c r="C117" s="248"/>
      <c r="D117" s="248"/>
      <c r="E117" s="248"/>
      <c r="F117" s="248"/>
      <c r="G117" s="248"/>
      <c r="H117" s="248"/>
      <c r="I117" s="239" t="e">
        <f>#REF!</f>
        <v>#REF!</v>
      </c>
      <c r="J117" s="980" t="e">
        <f>#REF!</f>
        <v>#REF!</v>
      </c>
      <c r="K117" s="980"/>
      <c r="L117" s="980"/>
      <c r="M117" s="980"/>
    </row>
    <row r="118" spans="1:13" ht="20.100000000000001" hidden="1" customHeight="1">
      <c r="A118" s="247"/>
      <c r="B118" s="247"/>
      <c r="C118" s="247"/>
      <c r="D118" s="247"/>
      <c r="E118" s="247"/>
      <c r="F118" s="247"/>
      <c r="G118" s="247"/>
      <c r="H118" s="247"/>
      <c r="I118" s="239" t="e">
        <f>#REF!</f>
        <v>#REF!</v>
      </c>
      <c r="J118" s="980" t="e">
        <f>#REF!</f>
        <v>#REF!</v>
      </c>
      <c r="K118" s="980"/>
      <c r="L118" s="980"/>
      <c r="M118" s="980"/>
    </row>
    <row r="119" spans="1:13" ht="20.100000000000001" hidden="1" customHeight="1">
      <c r="A119" s="238" t="e">
        <f>#REF!</f>
        <v>#REF!</v>
      </c>
      <c r="B119" s="238"/>
      <c r="C119" s="238"/>
      <c r="D119" s="238"/>
      <c r="E119" s="238"/>
      <c r="F119" s="238"/>
      <c r="G119" s="238"/>
      <c r="H119" s="238"/>
      <c r="I119" s="239" t="e">
        <f>#REF!</f>
        <v>#REF!</v>
      </c>
      <c r="J119" s="980"/>
      <c r="K119" s="980"/>
      <c r="L119" s="980"/>
      <c r="M119" s="980"/>
    </row>
    <row r="120" spans="1:13" ht="30" hidden="1" customHeight="1">
      <c r="A120" s="243" t="e">
        <f>#REF!</f>
        <v>#REF!</v>
      </c>
      <c r="B120" s="243"/>
      <c r="C120" s="243"/>
      <c r="D120" s="243"/>
      <c r="E120" s="243"/>
      <c r="F120" s="243"/>
      <c r="G120" s="243"/>
      <c r="H120" s="243"/>
      <c r="I120" s="239" t="e">
        <f>#REF!</f>
        <v>#REF!</v>
      </c>
      <c r="J120" s="980"/>
      <c r="K120" s="980"/>
      <c r="L120" s="980"/>
      <c r="M120" s="980"/>
    </row>
    <row r="121" spans="1:13" ht="20.100000000000001" hidden="1" customHeight="1">
      <c r="A121" s="240" t="e">
        <f>#REF!</f>
        <v>#REF!</v>
      </c>
      <c r="B121" s="240"/>
      <c r="C121" s="240"/>
      <c r="D121" s="240"/>
      <c r="E121" s="240"/>
      <c r="F121" s="240"/>
      <c r="G121" s="240"/>
      <c r="H121" s="240"/>
      <c r="I121" s="241" t="e">
        <f>#REF!</f>
        <v>#REF!</v>
      </c>
      <c r="J121" s="980" t="e">
        <f>#REF!</f>
        <v>#REF!</v>
      </c>
      <c r="K121" s="980"/>
      <c r="L121" s="980"/>
      <c r="M121" s="980"/>
    </row>
    <row r="122" spans="1:13" ht="20.100000000000001" hidden="1" customHeight="1">
      <c r="A122" s="240" t="e">
        <f>#REF!</f>
        <v>#REF!</v>
      </c>
      <c r="B122" s="240"/>
      <c r="C122" s="240"/>
      <c r="D122" s="240"/>
      <c r="E122" s="240"/>
      <c r="F122" s="240"/>
      <c r="G122" s="240"/>
      <c r="H122" s="240"/>
      <c r="I122" s="241" t="e">
        <f>#REF!</f>
        <v>#REF!</v>
      </c>
      <c r="J122" s="980" t="e">
        <f>#REF!</f>
        <v>#REF!</v>
      </c>
      <c r="K122" s="980"/>
      <c r="L122" s="980"/>
      <c r="M122" s="980"/>
    </row>
    <row r="123" spans="1:13" ht="20.100000000000001" hidden="1" customHeight="1">
      <c r="A123" s="240" t="e">
        <f>#REF!</f>
        <v>#REF!</v>
      </c>
      <c r="B123" s="240"/>
      <c r="C123" s="240"/>
      <c r="D123" s="240"/>
      <c r="E123" s="240"/>
      <c r="F123" s="240"/>
      <c r="G123" s="240"/>
      <c r="H123" s="240"/>
      <c r="I123" s="241" t="e">
        <f>#REF!</f>
        <v>#REF!</v>
      </c>
      <c r="J123" s="980" t="e">
        <f>#REF!</f>
        <v>#REF!</v>
      </c>
      <c r="K123" s="980"/>
      <c r="L123" s="980"/>
      <c r="M123" s="980"/>
    </row>
    <row r="124" spans="1:13" ht="20.100000000000001" hidden="1" customHeight="1">
      <c r="A124" s="240" t="e">
        <f>#REF!</f>
        <v>#REF!</v>
      </c>
      <c r="B124" s="240"/>
      <c r="C124" s="240"/>
      <c r="D124" s="240"/>
      <c r="E124" s="240"/>
      <c r="F124" s="240"/>
      <c r="G124" s="240"/>
      <c r="H124" s="240"/>
      <c r="I124" s="241" t="e">
        <f>#REF!</f>
        <v>#REF!</v>
      </c>
      <c r="J124" s="980" t="e">
        <f>#REF!</f>
        <v>#REF!</v>
      </c>
      <c r="K124" s="980"/>
      <c r="L124" s="980"/>
      <c r="M124" s="980"/>
    </row>
    <row r="125" spans="1:13" ht="20.100000000000001" hidden="1" customHeight="1">
      <c r="A125" s="240" t="e">
        <f>#REF!</f>
        <v>#REF!</v>
      </c>
      <c r="B125" s="240"/>
      <c r="C125" s="240"/>
      <c r="D125" s="240"/>
      <c r="E125" s="240"/>
      <c r="F125" s="240"/>
      <c r="G125" s="240"/>
      <c r="H125" s="240"/>
      <c r="I125" s="241" t="e">
        <f>#REF!</f>
        <v>#REF!</v>
      </c>
      <c r="J125" s="980" t="e">
        <f>#REF!</f>
        <v>#REF!</v>
      </c>
      <c r="K125" s="980"/>
      <c r="L125" s="980"/>
      <c r="M125" s="980"/>
    </row>
    <row r="126" spans="1:13" ht="20.100000000000001" hidden="1" customHeight="1">
      <c r="A126" s="242"/>
      <c r="B126" s="242"/>
      <c r="C126" s="242"/>
      <c r="D126" s="242"/>
      <c r="E126" s="242"/>
      <c r="F126" s="242"/>
      <c r="G126" s="242"/>
      <c r="H126" s="242"/>
      <c r="I126" s="239" t="e">
        <f>#REF!</f>
        <v>#REF!</v>
      </c>
      <c r="J126" s="980" t="e">
        <f>#REF!</f>
        <v>#REF!</v>
      </c>
      <c r="K126" s="980"/>
      <c r="L126" s="980"/>
      <c r="M126" s="980"/>
    </row>
    <row r="127" spans="1:13" ht="20.100000000000001" hidden="1" customHeight="1">
      <c r="A127" s="243" t="e">
        <f>#REF!</f>
        <v>#REF!</v>
      </c>
      <c r="B127" s="243"/>
      <c r="C127" s="243"/>
      <c r="D127" s="243"/>
      <c r="E127" s="243"/>
      <c r="F127" s="243"/>
      <c r="G127" s="243"/>
      <c r="H127" s="243"/>
      <c r="I127" s="239" t="e">
        <f>#REF!</f>
        <v>#REF!</v>
      </c>
      <c r="J127" s="980"/>
      <c r="K127" s="980"/>
      <c r="L127" s="980"/>
      <c r="M127" s="980"/>
    </row>
    <row r="128" spans="1:13" ht="20.100000000000001" hidden="1" customHeight="1">
      <c r="A128" s="240" t="e">
        <f>#REF!</f>
        <v>#REF!</v>
      </c>
      <c r="B128" s="240"/>
      <c r="C128" s="240"/>
      <c r="D128" s="240"/>
      <c r="E128" s="240"/>
      <c r="F128" s="240"/>
      <c r="G128" s="240"/>
      <c r="H128" s="240"/>
      <c r="I128" s="249" t="e">
        <f>#REF!</f>
        <v>#REF!</v>
      </c>
      <c r="J128" s="980" t="e">
        <f>#REF!</f>
        <v>#REF!</v>
      </c>
      <c r="K128" s="980"/>
      <c r="L128" s="980"/>
      <c r="M128" s="980"/>
    </row>
    <row r="129" spans="1:13" ht="20.100000000000001" hidden="1" customHeight="1">
      <c r="A129" s="240" t="e">
        <f>#REF!</f>
        <v>#REF!</v>
      </c>
      <c r="B129" s="240"/>
      <c r="C129" s="240"/>
      <c r="D129" s="240"/>
      <c r="E129" s="240"/>
      <c r="F129" s="240"/>
      <c r="G129" s="240"/>
      <c r="H129" s="240"/>
      <c r="I129" s="249" t="e">
        <f>#REF!</f>
        <v>#REF!</v>
      </c>
      <c r="J129" s="980" t="e">
        <f>#REF!</f>
        <v>#REF!</v>
      </c>
      <c r="K129" s="980"/>
      <c r="L129" s="980"/>
      <c r="M129" s="980"/>
    </row>
    <row r="130" spans="1:13" ht="20.100000000000001" hidden="1" customHeight="1">
      <c r="A130" s="240" t="e">
        <f>#REF!</f>
        <v>#REF!</v>
      </c>
      <c r="B130" s="240"/>
      <c r="C130" s="240"/>
      <c r="D130" s="240"/>
      <c r="E130" s="240"/>
      <c r="F130" s="240"/>
      <c r="G130" s="240"/>
      <c r="H130" s="240"/>
      <c r="I130" s="249" t="e">
        <f>#REF!</f>
        <v>#REF!</v>
      </c>
      <c r="J130" s="980" t="e">
        <f>#REF!</f>
        <v>#REF!</v>
      </c>
      <c r="K130" s="980"/>
      <c r="L130" s="980"/>
      <c r="M130" s="980"/>
    </row>
    <row r="131" spans="1:13" ht="20.100000000000001" hidden="1" customHeight="1">
      <c r="A131" s="240" t="e">
        <f>#REF!</f>
        <v>#REF!</v>
      </c>
      <c r="B131" s="240"/>
      <c r="C131" s="240"/>
      <c r="D131" s="240"/>
      <c r="E131" s="240"/>
      <c r="F131" s="240"/>
      <c r="G131" s="240"/>
      <c r="H131" s="240"/>
      <c r="I131" s="249" t="e">
        <f>#REF!</f>
        <v>#REF!</v>
      </c>
      <c r="J131" s="980" t="e">
        <f>#REF!</f>
        <v>#REF!</v>
      </c>
      <c r="K131" s="980"/>
      <c r="L131" s="980"/>
      <c r="M131" s="980"/>
    </row>
    <row r="132" spans="1:13" ht="20.100000000000001" hidden="1" customHeight="1">
      <c r="A132" s="240" t="e">
        <f>#REF!</f>
        <v>#REF!</v>
      </c>
      <c r="B132" s="240"/>
      <c r="C132" s="240"/>
      <c r="D132" s="240"/>
      <c r="E132" s="240"/>
      <c r="F132" s="240"/>
      <c r="G132" s="240"/>
      <c r="H132" s="240"/>
      <c r="I132" s="249" t="e">
        <f>#REF!</f>
        <v>#REF!</v>
      </c>
      <c r="J132" s="980" t="e">
        <f>#REF!</f>
        <v>#REF!</v>
      </c>
      <c r="K132" s="980"/>
      <c r="L132" s="980"/>
      <c r="M132" s="980"/>
    </row>
    <row r="133" spans="1:13" ht="20.100000000000001" hidden="1" customHeight="1">
      <c r="A133" s="240" t="e">
        <f>#REF!</f>
        <v>#REF!</v>
      </c>
      <c r="B133" s="240"/>
      <c r="C133" s="240"/>
      <c r="D133" s="240"/>
      <c r="E133" s="240"/>
      <c r="F133" s="240"/>
      <c r="G133" s="240"/>
      <c r="H133" s="240"/>
      <c r="I133" s="249" t="e">
        <f>#REF!</f>
        <v>#REF!</v>
      </c>
      <c r="J133" s="980" t="e">
        <f>#REF!</f>
        <v>#REF!</v>
      </c>
      <c r="K133" s="980"/>
      <c r="L133" s="980"/>
      <c r="M133" s="980"/>
    </row>
    <row r="134" spans="1:13" ht="20.100000000000001" hidden="1" customHeight="1">
      <c r="A134" s="250"/>
      <c r="B134" s="250"/>
      <c r="C134" s="250"/>
      <c r="D134" s="250"/>
      <c r="E134" s="250"/>
      <c r="F134" s="250"/>
      <c r="G134" s="250"/>
      <c r="H134" s="250"/>
      <c r="I134" s="239" t="e">
        <f>#REF!</f>
        <v>#REF!</v>
      </c>
      <c r="J134" s="980" t="e">
        <f>#REF!</f>
        <v>#REF!</v>
      </c>
      <c r="K134" s="980"/>
      <c r="L134" s="980"/>
      <c r="M134" s="980"/>
    </row>
    <row r="135" spans="1:13" ht="35.25" hidden="1" customHeight="1">
      <c r="A135" s="243" t="e">
        <f>#REF!</f>
        <v>#REF!</v>
      </c>
      <c r="B135" s="243"/>
      <c r="C135" s="243"/>
      <c r="D135" s="243"/>
      <c r="E135" s="243"/>
      <c r="F135" s="243"/>
      <c r="G135" s="243"/>
      <c r="H135" s="243"/>
      <c r="I135" s="239" t="e">
        <f>#REF!</f>
        <v>#REF!</v>
      </c>
      <c r="J135" s="980"/>
      <c r="K135" s="980"/>
      <c r="L135" s="980"/>
      <c r="M135" s="980"/>
    </row>
    <row r="136" spans="1:13" ht="19.5" hidden="1" customHeight="1">
      <c r="A136" s="240" t="e">
        <f>#REF!</f>
        <v>#REF!</v>
      </c>
      <c r="B136" s="240"/>
      <c r="C136" s="240"/>
      <c r="D136" s="240"/>
      <c r="E136" s="240"/>
      <c r="F136" s="240"/>
      <c r="G136" s="240"/>
      <c r="H136" s="240"/>
      <c r="I136" s="249" t="e">
        <f>#REF!</f>
        <v>#REF!</v>
      </c>
      <c r="J136" s="980" t="e">
        <f>#REF!</f>
        <v>#REF!</v>
      </c>
      <c r="K136" s="980"/>
      <c r="L136" s="980"/>
      <c r="M136" s="980"/>
    </row>
    <row r="137" spans="1:13" ht="19.5" hidden="1" customHeight="1">
      <c r="A137" s="240" t="e">
        <f>#REF!</f>
        <v>#REF!</v>
      </c>
      <c r="B137" s="240"/>
      <c r="C137" s="240"/>
      <c r="D137" s="240"/>
      <c r="E137" s="240"/>
      <c r="F137" s="240"/>
      <c r="G137" s="240"/>
      <c r="H137" s="240"/>
      <c r="I137" s="249" t="e">
        <f>#REF!</f>
        <v>#REF!</v>
      </c>
      <c r="J137" s="980" t="e">
        <f>#REF!</f>
        <v>#REF!</v>
      </c>
      <c r="K137" s="980"/>
      <c r="L137" s="980"/>
      <c r="M137" s="980"/>
    </row>
    <row r="138" spans="1:13" ht="19.5" hidden="1" customHeight="1">
      <c r="A138" s="240" t="e">
        <f>#REF!</f>
        <v>#REF!</v>
      </c>
      <c r="B138" s="240"/>
      <c r="C138" s="240"/>
      <c r="D138" s="240"/>
      <c r="E138" s="240"/>
      <c r="F138" s="240"/>
      <c r="G138" s="240"/>
      <c r="H138" s="240"/>
      <c r="I138" s="249" t="e">
        <f>#REF!</f>
        <v>#REF!</v>
      </c>
      <c r="J138" s="980" t="e">
        <f>#REF!</f>
        <v>#REF!</v>
      </c>
      <c r="K138" s="980"/>
      <c r="L138" s="980"/>
      <c r="M138" s="980"/>
    </row>
    <row r="139" spans="1:13" ht="19.5" hidden="1" customHeight="1">
      <c r="A139" s="240" t="e">
        <f>#REF!</f>
        <v>#REF!</v>
      </c>
      <c r="B139" s="240"/>
      <c r="C139" s="240"/>
      <c r="D139" s="240"/>
      <c r="E139" s="240"/>
      <c r="F139" s="240"/>
      <c r="G139" s="240"/>
      <c r="H139" s="240"/>
      <c r="I139" s="249" t="e">
        <f>#REF!</f>
        <v>#REF!</v>
      </c>
      <c r="J139" s="980" t="e">
        <f>#REF!</f>
        <v>#REF!</v>
      </c>
      <c r="K139" s="980"/>
      <c r="L139" s="980"/>
      <c r="M139" s="980"/>
    </row>
    <row r="140" spans="1:13" ht="33" hidden="1" customHeight="1">
      <c r="A140" s="240" t="e">
        <f>#REF!</f>
        <v>#REF!</v>
      </c>
      <c r="B140" s="240"/>
      <c r="C140" s="240"/>
      <c r="D140" s="240"/>
      <c r="E140" s="240"/>
      <c r="F140" s="240"/>
      <c r="G140" s="240"/>
      <c r="H140" s="240"/>
      <c r="I140" s="249" t="e">
        <f>#REF!</f>
        <v>#REF!</v>
      </c>
      <c r="J140" s="980" t="e">
        <f>#REF!</f>
        <v>#REF!</v>
      </c>
      <c r="K140" s="980"/>
      <c r="L140" s="980"/>
      <c r="M140" s="980"/>
    </row>
    <row r="141" spans="1:13" ht="19.5" hidden="1" customHeight="1">
      <c r="A141" s="240" t="e">
        <f>#REF!</f>
        <v>#REF!</v>
      </c>
      <c r="B141" s="240"/>
      <c r="C141" s="240"/>
      <c r="D141" s="240"/>
      <c r="E141" s="240"/>
      <c r="F141" s="240"/>
      <c r="G141" s="240"/>
      <c r="H141" s="240"/>
      <c r="I141" s="249" t="e">
        <f>#REF!</f>
        <v>#REF!</v>
      </c>
      <c r="J141" s="980" t="e">
        <f>#REF!</f>
        <v>#REF!</v>
      </c>
      <c r="K141" s="980"/>
      <c r="L141" s="980"/>
      <c r="M141" s="980"/>
    </row>
    <row r="142" spans="1:13" ht="19.5" hidden="1" customHeight="1">
      <c r="A142" s="240" t="e">
        <f>#REF!</f>
        <v>#REF!</v>
      </c>
      <c r="B142" s="240"/>
      <c r="C142" s="240"/>
      <c r="D142" s="240"/>
      <c r="E142" s="240"/>
      <c r="F142" s="240"/>
      <c r="G142" s="240"/>
      <c r="H142" s="240"/>
      <c r="I142" s="249" t="e">
        <f>#REF!</f>
        <v>#REF!</v>
      </c>
      <c r="J142" s="980" t="e">
        <f>#REF!</f>
        <v>#REF!</v>
      </c>
      <c r="K142" s="980"/>
      <c r="L142" s="980"/>
      <c r="M142" s="980"/>
    </row>
    <row r="143" spans="1:13" ht="19.5" hidden="1" customHeight="1">
      <c r="A143" s="240" t="e">
        <f>#REF!</f>
        <v>#REF!</v>
      </c>
      <c r="B143" s="240"/>
      <c r="C143" s="240"/>
      <c r="D143" s="240"/>
      <c r="E143" s="240"/>
      <c r="F143" s="240"/>
      <c r="G143" s="240"/>
      <c r="H143" s="240"/>
      <c r="I143" s="249" t="e">
        <f>#REF!</f>
        <v>#REF!</v>
      </c>
      <c r="J143" s="980" t="e">
        <f>#REF!</f>
        <v>#REF!</v>
      </c>
      <c r="K143" s="980"/>
      <c r="L143" s="980"/>
      <c r="M143" s="980"/>
    </row>
    <row r="144" spans="1:13" ht="19.5" hidden="1" customHeight="1">
      <c r="A144" s="240" t="e">
        <f>#REF!</f>
        <v>#REF!</v>
      </c>
      <c r="B144" s="240"/>
      <c r="C144" s="240"/>
      <c r="D144" s="240"/>
      <c r="E144" s="240"/>
      <c r="F144" s="240"/>
      <c r="G144" s="240"/>
      <c r="H144" s="240"/>
      <c r="I144" s="249" t="e">
        <f>#REF!</f>
        <v>#REF!</v>
      </c>
      <c r="J144" s="980" t="e">
        <f>#REF!</f>
        <v>#REF!</v>
      </c>
      <c r="K144" s="980"/>
      <c r="L144" s="980"/>
      <c r="M144" s="980"/>
    </row>
    <row r="145" spans="1:13" ht="19.5" hidden="1" customHeight="1">
      <c r="A145" s="250"/>
      <c r="B145" s="250"/>
      <c r="C145" s="250"/>
      <c r="D145" s="250"/>
      <c r="E145" s="250"/>
      <c r="F145" s="250"/>
      <c r="G145" s="250"/>
      <c r="H145" s="250"/>
      <c r="I145" s="239" t="e">
        <f>#REF!</f>
        <v>#REF!</v>
      </c>
      <c r="J145" s="980" t="e">
        <f>#REF!</f>
        <v>#REF!</v>
      </c>
      <c r="K145" s="980"/>
      <c r="L145" s="980"/>
      <c r="M145" s="980"/>
    </row>
    <row r="146" spans="1:13" ht="19.5" hidden="1" customHeight="1">
      <c r="A146" s="243" t="e">
        <f>#REF!</f>
        <v>#REF!</v>
      </c>
      <c r="B146" s="243"/>
      <c r="C146" s="243"/>
      <c r="D146" s="243"/>
      <c r="E146" s="243"/>
      <c r="F146" s="243"/>
      <c r="G146" s="243"/>
      <c r="H146" s="243"/>
      <c r="I146" s="239" t="e">
        <f>#REF!</f>
        <v>#REF!</v>
      </c>
      <c r="J146" s="980"/>
      <c r="K146" s="980"/>
      <c r="L146" s="980"/>
      <c r="M146" s="980"/>
    </row>
    <row r="147" spans="1:13" ht="19.5" hidden="1" customHeight="1">
      <c r="A147" s="240" t="e">
        <f>#REF!</f>
        <v>#REF!</v>
      </c>
      <c r="B147" s="240"/>
      <c r="C147" s="240"/>
      <c r="D147" s="240"/>
      <c r="E147" s="240"/>
      <c r="F147" s="240"/>
      <c r="G147" s="240"/>
      <c r="H147" s="240"/>
      <c r="I147" s="241" t="e">
        <f>#REF!</f>
        <v>#REF!</v>
      </c>
      <c r="J147" s="980" t="e">
        <f>#REF!</f>
        <v>#REF!</v>
      </c>
      <c r="K147" s="980"/>
      <c r="L147" s="980"/>
      <c r="M147" s="980"/>
    </row>
    <row r="148" spans="1:13" ht="19.5" hidden="1" customHeight="1">
      <c r="A148" s="240" t="e">
        <f>#REF!</f>
        <v>#REF!</v>
      </c>
      <c r="B148" s="240"/>
      <c r="C148" s="240"/>
      <c r="D148" s="240"/>
      <c r="E148" s="240"/>
      <c r="F148" s="240"/>
      <c r="G148" s="240"/>
      <c r="H148" s="240"/>
      <c r="I148" s="241" t="e">
        <f>#REF!</f>
        <v>#REF!</v>
      </c>
      <c r="J148" s="980" t="e">
        <f>#REF!</f>
        <v>#REF!</v>
      </c>
      <c r="K148" s="980"/>
      <c r="L148" s="980"/>
      <c r="M148" s="980"/>
    </row>
    <row r="149" spans="1:13" ht="19.5" hidden="1" customHeight="1">
      <c r="A149" s="240" t="e">
        <f>#REF!</f>
        <v>#REF!</v>
      </c>
      <c r="B149" s="240"/>
      <c r="C149" s="240"/>
      <c r="D149" s="240"/>
      <c r="E149" s="240"/>
      <c r="F149" s="240"/>
      <c r="G149" s="240"/>
      <c r="H149" s="240"/>
      <c r="I149" s="241" t="e">
        <f>#REF!</f>
        <v>#REF!</v>
      </c>
      <c r="J149" s="980" t="e">
        <f>#REF!</f>
        <v>#REF!</v>
      </c>
      <c r="K149" s="980"/>
      <c r="L149" s="980"/>
      <c r="M149" s="980"/>
    </row>
    <row r="150" spans="1:13" ht="19.5" hidden="1" customHeight="1">
      <c r="A150" s="250"/>
      <c r="B150" s="250"/>
      <c r="C150" s="250"/>
      <c r="D150" s="250"/>
      <c r="E150" s="250"/>
      <c r="F150" s="250"/>
      <c r="G150" s="250"/>
      <c r="H150" s="250"/>
      <c r="I150" s="239" t="e">
        <f>#REF!</f>
        <v>#REF!</v>
      </c>
      <c r="J150" s="980" t="e">
        <f>#REF!</f>
        <v>#REF!</v>
      </c>
      <c r="K150" s="980"/>
      <c r="L150" s="980"/>
      <c r="M150" s="980"/>
    </row>
    <row r="151" spans="1:13" ht="33" hidden="1" customHeight="1">
      <c r="A151" s="243" t="e">
        <f>#REF!</f>
        <v>#REF!</v>
      </c>
      <c r="B151" s="243"/>
      <c r="C151" s="243"/>
      <c r="D151" s="243"/>
      <c r="E151" s="243"/>
      <c r="F151" s="243"/>
      <c r="G151" s="243"/>
      <c r="H151" s="243"/>
      <c r="I151" s="239" t="e">
        <f>#REF!</f>
        <v>#REF!</v>
      </c>
      <c r="J151" s="980"/>
      <c r="K151" s="980"/>
      <c r="L151" s="980"/>
      <c r="M151" s="980"/>
    </row>
    <row r="152" spans="1:13" ht="19.5" hidden="1" customHeight="1">
      <c r="A152" s="250" t="e">
        <f>#REF!</f>
        <v>#REF!</v>
      </c>
      <c r="B152" s="250"/>
      <c r="C152" s="250"/>
      <c r="D152" s="250"/>
      <c r="E152" s="250"/>
      <c r="F152" s="250"/>
      <c r="G152" s="250"/>
      <c r="H152" s="250"/>
      <c r="I152" s="241" t="e">
        <f>#REF!</f>
        <v>#REF!</v>
      </c>
      <c r="J152" s="980" t="e">
        <f>#REF!</f>
        <v>#REF!</v>
      </c>
      <c r="K152" s="980"/>
      <c r="L152" s="980"/>
      <c r="M152" s="980"/>
    </row>
    <row r="153" spans="1:13" ht="19.5" hidden="1" customHeight="1">
      <c r="A153" s="250" t="e">
        <f>#REF!</f>
        <v>#REF!</v>
      </c>
      <c r="B153" s="250"/>
      <c r="C153" s="250"/>
      <c r="D153" s="250"/>
      <c r="E153" s="250"/>
      <c r="F153" s="250"/>
      <c r="G153" s="250"/>
      <c r="H153" s="250"/>
      <c r="I153" s="241" t="e">
        <f>#REF!</f>
        <v>#REF!</v>
      </c>
      <c r="J153" s="980" t="e">
        <f>#REF!</f>
        <v>#REF!</v>
      </c>
      <c r="K153" s="980"/>
      <c r="L153" s="980"/>
      <c r="M153" s="980"/>
    </row>
    <row r="154" spans="1:13" ht="19.5" hidden="1" customHeight="1">
      <c r="A154" s="250" t="e">
        <f>#REF!</f>
        <v>#REF!</v>
      </c>
      <c r="B154" s="250"/>
      <c r="C154" s="250"/>
      <c r="D154" s="250"/>
      <c r="E154" s="250"/>
      <c r="F154" s="250"/>
      <c r="G154" s="250"/>
      <c r="H154" s="250"/>
      <c r="I154" s="241" t="e">
        <f>#REF!</f>
        <v>#REF!</v>
      </c>
      <c r="J154" s="980" t="e">
        <f>#REF!</f>
        <v>#REF!</v>
      </c>
      <c r="K154" s="980"/>
      <c r="L154" s="980"/>
      <c r="M154" s="980"/>
    </row>
    <row r="155" spans="1:13" ht="19.5" hidden="1" customHeight="1">
      <c r="A155" s="250"/>
      <c r="B155" s="250"/>
      <c r="C155" s="250"/>
      <c r="D155" s="250"/>
      <c r="E155" s="250"/>
      <c r="F155" s="250"/>
      <c r="G155" s="250"/>
      <c r="H155" s="250"/>
      <c r="I155" s="239" t="e">
        <f>#REF!</f>
        <v>#REF!</v>
      </c>
      <c r="J155" s="980" t="e">
        <f>#REF!</f>
        <v>#REF!</v>
      </c>
      <c r="K155" s="980"/>
      <c r="L155" s="980"/>
      <c r="M155" s="980"/>
    </row>
    <row r="156" spans="1:13" ht="19.5" hidden="1" customHeight="1">
      <c r="A156" s="243" t="e">
        <f>#REF!</f>
        <v>#REF!</v>
      </c>
      <c r="B156" s="243"/>
      <c r="C156" s="243"/>
      <c r="D156" s="243"/>
      <c r="E156" s="243"/>
      <c r="F156" s="243"/>
      <c r="G156" s="243"/>
      <c r="H156" s="243"/>
      <c r="I156" s="239" t="e">
        <f>#REF!</f>
        <v>#REF!</v>
      </c>
      <c r="J156" s="980"/>
      <c r="K156" s="980"/>
      <c r="L156" s="980"/>
      <c r="M156" s="980"/>
    </row>
    <row r="157" spans="1:13" ht="19.5" hidden="1" customHeight="1">
      <c r="A157" s="240" t="e">
        <f>#REF!</f>
        <v>#REF!</v>
      </c>
      <c r="B157" s="240"/>
      <c r="C157" s="240"/>
      <c r="D157" s="240"/>
      <c r="E157" s="240"/>
      <c r="F157" s="240"/>
      <c r="G157" s="240"/>
      <c r="H157" s="240"/>
      <c r="I157" s="241" t="e">
        <f>#REF!</f>
        <v>#REF!</v>
      </c>
      <c r="J157" s="980" t="e">
        <f>#REF!</f>
        <v>#REF!</v>
      </c>
      <c r="K157" s="980"/>
      <c r="L157" s="980"/>
      <c r="M157" s="980"/>
    </row>
    <row r="158" spans="1:13" ht="19.5" hidden="1" customHeight="1">
      <c r="A158" s="240" t="e">
        <f>#REF!</f>
        <v>#REF!</v>
      </c>
      <c r="B158" s="240"/>
      <c r="C158" s="240"/>
      <c r="D158" s="240"/>
      <c r="E158" s="240"/>
      <c r="F158" s="240"/>
      <c r="G158" s="240"/>
      <c r="H158" s="240"/>
      <c r="I158" s="241" t="e">
        <f>#REF!</f>
        <v>#REF!</v>
      </c>
      <c r="J158" s="980" t="e">
        <f>#REF!</f>
        <v>#REF!</v>
      </c>
      <c r="K158" s="980"/>
      <c r="L158" s="980"/>
      <c r="M158" s="980"/>
    </row>
    <row r="159" spans="1:13" ht="19.5" hidden="1" customHeight="1">
      <c r="A159" s="250"/>
      <c r="B159" s="250"/>
      <c r="C159" s="250"/>
      <c r="D159" s="250"/>
      <c r="E159" s="250"/>
      <c r="F159" s="250"/>
      <c r="G159" s="250"/>
      <c r="H159" s="250"/>
      <c r="I159" s="239" t="e">
        <f>#REF!</f>
        <v>#REF!</v>
      </c>
      <c r="J159" s="980" t="e">
        <f>#REF!</f>
        <v>#REF!</v>
      </c>
      <c r="K159" s="980"/>
      <c r="L159" s="980"/>
      <c r="M159" s="980"/>
    </row>
    <row r="160" spans="1:13" ht="33" hidden="1" customHeight="1">
      <c r="A160" s="243" t="e">
        <f>#REF!</f>
        <v>#REF!</v>
      </c>
      <c r="B160" s="243"/>
      <c r="C160" s="243"/>
      <c r="D160" s="243"/>
      <c r="E160" s="243"/>
      <c r="F160" s="243"/>
      <c r="G160" s="243"/>
      <c r="H160" s="243"/>
      <c r="I160" s="239" t="e">
        <f>#REF!</f>
        <v>#REF!</v>
      </c>
      <c r="J160" s="980"/>
      <c r="K160" s="980"/>
      <c r="L160" s="980"/>
      <c r="M160" s="980"/>
    </row>
    <row r="161" spans="1:13" ht="19.5" hidden="1" customHeight="1">
      <c r="A161" s="240" t="e">
        <f>#REF!</f>
        <v>#REF!</v>
      </c>
      <c r="B161" s="240"/>
      <c r="C161" s="240"/>
      <c r="D161" s="240"/>
      <c r="E161" s="240"/>
      <c r="F161" s="240"/>
      <c r="G161" s="240"/>
      <c r="H161" s="240"/>
      <c r="I161" s="241" t="e">
        <f>#REF!</f>
        <v>#REF!</v>
      </c>
      <c r="J161" s="980" t="e">
        <f>#REF!</f>
        <v>#REF!</v>
      </c>
      <c r="K161" s="980"/>
      <c r="L161" s="980"/>
      <c r="M161" s="980"/>
    </row>
    <row r="162" spans="1:13" ht="19.5" hidden="1" customHeight="1">
      <c r="A162" s="240" t="e">
        <f>#REF!</f>
        <v>#REF!</v>
      </c>
      <c r="B162" s="240"/>
      <c r="C162" s="240"/>
      <c r="D162" s="240"/>
      <c r="E162" s="240"/>
      <c r="F162" s="240"/>
      <c r="G162" s="240"/>
      <c r="H162" s="240"/>
      <c r="I162" s="241" t="e">
        <f>#REF!</f>
        <v>#REF!</v>
      </c>
      <c r="J162" s="980" t="e">
        <f>#REF!</f>
        <v>#REF!</v>
      </c>
      <c r="K162" s="980"/>
      <c r="L162" s="980"/>
      <c r="M162" s="980"/>
    </row>
    <row r="163" spans="1:13" ht="19.5" hidden="1" customHeight="1">
      <c r="A163" s="240" t="e">
        <f>#REF!</f>
        <v>#REF!</v>
      </c>
      <c r="B163" s="240"/>
      <c r="C163" s="240"/>
      <c r="D163" s="240"/>
      <c r="E163" s="240"/>
      <c r="F163" s="240"/>
      <c r="G163" s="240"/>
      <c r="H163" s="240"/>
      <c r="I163" s="241" t="e">
        <f>#REF!</f>
        <v>#REF!</v>
      </c>
      <c r="J163" s="980" t="e">
        <f>#REF!</f>
        <v>#REF!</v>
      </c>
      <c r="K163" s="980"/>
      <c r="L163" s="980"/>
      <c r="M163" s="980"/>
    </row>
    <row r="164" spans="1:13" ht="19.5" hidden="1" customHeight="1">
      <c r="A164" s="240" t="e">
        <f>#REF!</f>
        <v>#REF!</v>
      </c>
      <c r="B164" s="240"/>
      <c r="C164" s="240"/>
      <c r="D164" s="240"/>
      <c r="E164" s="240"/>
      <c r="F164" s="240"/>
      <c r="G164" s="240"/>
      <c r="H164" s="240"/>
      <c r="I164" s="241" t="e">
        <f>#REF!</f>
        <v>#REF!</v>
      </c>
      <c r="J164" s="980" t="e">
        <f>#REF!</f>
        <v>#REF!</v>
      </c>
      <c r="K164" s="980"/>
      <c r="L164" s="980"/>
      <c r="M164" s="980"/>
    </row>
    <row r="165" spans="1:13" ht="19.5" hidden="1" customHeight="1">
      <c r="A165" s="240" t="e">
        <f>#REF!</f>
        <v>#REF!</v>
      </c>
      <c r="B165" s="240"/>
      <c r="C165" s="240"/>
      <c r="D165" s="240"/>
      <c r="E165" s="240"/>
      <c r="F165" s="240"/>
      <c r="G165" s="240"/>
      <c r="H165" s="240"/>
      <c r="I165" s="241" t="e">
        <f>#REF!</f>
        <v>#REF!</v>
      </c>
      <c r="J165" s="980" t="e">
        <f>#REF!</f>
        <v>#REF!</v>
      </c>
      <c r="K165" s="980"/>
      <c r="L165" s="980"/>
      <c r="M165" s="980"/>
    </row>
    <row r="166" spans="1:13" ht="19.5" hidden="1" customHeight="1">
      <c r="A166" s="240" t="e">
        <f>#REF!</f>
        <v>#REF!</v>
      </c>
      <c r="B166" s="240"/>
      <c r="C166" s="240"/>
      <c r="D166" s="240"/>
      <c r="E166" s="240"/>
      <c r="F166" s="240"/>
      <c r="G166" s="240"/>
      <c r="H166" s="240"/>
      <c r="I166" s="241" t="e">
        <f>#REF!</f>
        <v>#REF!</v>
      </c>
      <c r="J166" s="980" t="e">
        <f>#REF!</f>
        <v>#REF!</v>
      </c>
      <c r="K166" s="980"/>
      <c r="L166" s="980"/>
      <c r="M166" s="980"/>
    </row>
    <row r="167" spans="1:13" ht="19.5" hidden="1" customHeight="1">
      <c r="A167" s="250"/>
      <c r="B167" s="250"/>
      <c r="C167" s="250"/>
      <c r="D167" s="250"/>
      <c r="E167" s="250"/>
      <c r="F167" s="250"/>
      <c r="G167" s="250"/>
      <c r="H167" s="250"/>
      <c r="I167" s="239" t="e">
        <f>#REF!</f>
        <v>#REF!</v>
      </c>
      <c r="J167" s="980" t="e">
        <f>#REF!</f>
        <v>#REF!</v>
      </c>
      <c r="K167" s="980"/>
      <c r="L167" s="980"/>
      <c r="M167" s="980"/>
    </row>
    <row r="168" spans="1:13" ht="33" hidden="1" customHeight="1">
      <c r="A168" s="243" t="e">
        <f>#REF!</f>
        <v>#REF!</v>
      </c>
      <c r="B168" s="243"/>
      <c r="C168" s="243"/>
      <c r="D168" s="243"/>
      <c r="E168" s="243"/>
      <c r="F168" s="243"/>
      <c r="G168" s="243"/>
      <c r="H168" s="243"/>
      <c r="I168" s="239" t="e">
        <f>#REF!</f>
        <v>#REF!</v>
      </c>
      <c r="J168" s="980"/>
      <c r="K168" s="980"/>
      <c r="L168" s="980"/>
      <c r="M168" s="980"/>
    </row>
    <row r="169" spans="1:13" ht="33" hidden="1" customHeight="1">
      <c r="A169" s="240" t="e">
        <f>#REF!</f>
        <v>#REF!</v>
      </c>
      <c r="B169" s="240"/>
      <c r="C169" s="240"/>
      <c r="D169" s="240"/>
      <c r="E169" s="240"/>
      <c r="F169" s="240"/>
      <c r="G169" s="240"/>
      <c r="H169" s="240"/>
      <c r="I169" s="241" t="e">
        <f>#REF!</f>
        <v>#REF!</v>
      </c>
      <c r="J169" s="980" t="e">
        <f>#REF!</f>
        <v>#REF!</v>
      </c>
      <c r="K169" s="980"/>
      <c r="L169" s="980"/>
      <c r="M169" s="980"/>
    </row>
    <row r="170" spans="1:13" ht="19.5" hidden="1" customHeight="1">
      <c r="A170" s="240" t="e">
        <f>#REF!</f>
        <v>#REF!</v>
      </c>
      <c r="B170" s="240"/>
      <c r="C170" s="240"/>
      <c r="D170" s="240"/>
      <c r="E170" s="240"/>
      <c r="F170" s="240"/>
      <c r="G170" s="240"/>
      <c r="H170" s="240"/>
      <c r="I170" s="241" t="e">
        <f>#REF!</f>
        <v>#REF!</v>
      </c>
      <c r="J170" s="980" t="e">
        <f>#REF!</f>
        <v>#REF!</v>
      </c>
      <c r="K170" s="980"/>
      <c r="L170" s="980"/>
      <c r="M170" s="980"/>
    </row>
    <row r="171" spans="1:13" ht="19.5" hidden="1" customHeight="1">
      <c r="A171" s="240" t="e">
        <f>#REF!</f>
        <v>#REF!</v>
      </c>
      <c r="B171" s="240"/>
      <c r="C171" s="240"/>
      <c r="D171" s="240"/>
      <c r="E171" s="240"/>
      <c r="F171" s="240"/>
      <c r="G171" s="240"/>
      <c r="H171" s="240"/>
      <c r="I171" s="241" t="e">
        <f>#REF!</f>
        <v>#REF!</v>
      </c>
      <c r="J171" s="980" t="e">
        <f>#REF!</f>
        <v>#REF!</v>
      </c>
      <c r="K171" s="980"/>
      <c r="L171" s="980"/>
      <c r="M171" s="980"/>
    </row>
    <row r="172" spans="1:13" ht="19.5" hidden="1" customHeight="1">
      <c r="A172" s="250" t="e">
        <f>#REF!</f>
        <v>#REF!</v>
      </c>
      <c r="B172" s="250"/>
      <c r="C172" s="250"/>
      <c r="D172" s="250"/>
      <c r="E172" s="250"/>
      <c r="F172" s="250"/>
      <c r="G172" s="250"/>
      <c r="H172" s="250"/>
      <c r="I172" s="239" t="e">
        <f>#REF!</f>
        <v>#REF!</v>
      </c>
      <c r="J172" s="980" t="e">
        <f>#REF!</f>
        <v>#REF!</v>
      </c>
      <c r="K172" s="980"/>
      <c r="L172" s="980"/>
      <c r="M172" s="980"/>
    </row>
    <row r="173" spans="1:13" ht="33" hidden="1" customHeight="1">
      <c r="A173" s="243" t="e">
        <f>#REF!</f>
        <v>#REF!</v>
      </c>
      <c r="B173" s="243"/>
      <c r="C173" s="243"/>
      <c r="D173" s="243"/>
      <c r="E173" s="243"/>
      <c r="F173" s="243"/>
      <c r="G173" s="243"/>
      <c r="H173" s="243"/>
      <c r="I173" s="239" t="e">
        <f>#REF!</f>
        <v>#REF!</v>
      </c>
      <c r="J173" s="980"/>
      <c r="K173" s="980"/>
      <c r="L173" s="980"/>
      <c r="M173" s="980"/>
    </row>
    <row r="174" spans="1:13" ht="19.5" hidden="1" customHeight="1">
      <c r="A174" s="240" t="e">
        <f>#REF!</f>
        <v>#REF!</v>
      </c>
      <c r="B174" s="240"/>
      <c r="C174" s="240"/>
      <c r="D174" s="240"/>
      <c r="E174" s="240"/>
      <c r="F174" s="240"/>
      <c r="G174" s="240"/>
      <c r="H174" s="240"/>
      <c r="I174" s="241" t="e">
        <f>#REF!</f>
        <v>#REF!</v>
      </c>
      <c r="J174" s="980" t="e">
        <f>#REF!</f>
        <v>#REF!</v>
      </c>
      <c r="K174" s="980"/>
      <c r="L174" s="980"/>
      <c r="M174" s="980"/>
    </row>
    <row r="175" spans="1:13" ht="19.5" hidden="1" customHeight="1">
      <c r="A175" s="240" t="e">
        <f>#REF!</f>
        <v>#REF!</v>
      </c>
      <c r="B175" s="240"/>
      <c r="C175" s="240"/>
      <c r="D175" s="240"/>
      <c r="E175" s="240"/>
      <c r="F175" s="240"/>
      <c r="G175" s="240"/>
      <c r="H175" s="240"/>
      <c r="I175" s="241" t="e">
        <f>#REF!</f>
        <v>#REF!</v>
      </c>
      <c r="J175" s="980" t="e">
        <f>#REF!</f>
        <v>#REF!</v>
      </c>
      <c r="K175" s="980"/>
      <c r="L175" s="980"/>
      <c r="M175" s="980"/>
    </row>
    <row r="176" spans="1:13" ht="32.25" hidden="1" customHeight="1">
      <c r="A176" s="240" t="e">
        <f>#REF!</f>
        <v>#REF!</v>
      </c>
      <c r="B176" s="240"/>
      <c r="C176" s="240"/>
      <c r="D176" s="240"/>
      <c r="E176" s="240"/>
      <c r="F176" s="240"/>
      <c r="G176" s="240"/>
      <c r="H176" s="240"/>
      <c r="I176" s="241" t="e">
        <f>#REF!</f>
        <v>#REF!</v>
      </c>
      <c r="J176" s="980" t="e">
        <f>#REF!</f>
        <v>#REF!</v>
      </c>
      <c r="K176" s="980"/>
      <c r="L176" s="980"/>
      <c r="M176" s="980"/>
    </row>
    <row r="177" spans="1:100" ht="19.5" hidden="1" customHeight="1">
      <c r="A177" s="240" t="e">
        <f>#REF!</f>
        <v>#REF!</v>
      </c>
      <c r="B177" s="240"/>
      <c r="C177" s="240"/>
      <c r="D177" s="240"/>
      <c r="E177" s="240"/>
      <c r="F177" s="240"/>
      <c r="G177" s="240"/>
      <c r="H177" s="240"/>
      <c r="I177" s="241" t="e">
        <f>#REF!</f>
        <v>#REF!</v>
      </c>
      <c r="J177" s="980" t="e">
        <f>#REF!</f>
        <v>#REF!</v>
      </c>
      <c r="K177" s="980"/>
      <c r="L177" s="980"/>
      <c r="M177" s="980"/>
    </row>
    <row r="178" spans="1:100" ht="19.5" hidden="1" customHeight="1">
      <c r="A178" s="242"/>
      <c r="B178" s="242"/>
      <c r="C178" s="242"/>
      <c r="D178" s="242"/>
      <c r="E178" s="242"/>
      <c r="F178" s="242"/>
      <c r="G178" s="242"/>
      <c r="H178" s="242"/>
      <c r="I178" s="239" t="e">
        <f>#REF!</f>
        <v>#REF!</v>
      </c>
      <c r="J178" s="980" t="e">
        <f>#REF!</f>
        <v>#REF!</v>
      </c>
      <c r="K178" s="980"/>
      <c r="L178" s="980"/>
      <c r="M178" s="980"/>
    </row>
    <row r="179" spans="1:100" ht="16.5" hidden="1" customHeight="1">
      <c r="A179" s="245"/>
      <c r="B179" s="245"/>
      <c r="C179" s="245"/>
      <c r="D179" s="245"/>
      <c r="E179" s="245"/>
      <c r="F179" s="245"/>
      <c r="G179" s="245"/>
      <c r="H179" s="245"/>
      <c r="I179" s="239" t="e">
        <f>#REF!</f>
        <v>#REF!</v>
      </c>
      <c r="J179" s="980" t="e">
        <f>#REF!</f>
        <v>#REF!</v>
      </c>
      <c r="K179" s="980"/>
      <c r="L179" s="980"/>
      <c r="M179" s="980"/>
    </row>
    <row r="180" spans="1:100" ht="19.5" hidden="1" customHeight="1">
      <c r="A180" s="247"/>
      <c r="B180" s="247"/>
      <c r="C180" s="247"/>
      <c r="D180" s="247"/>
      <c r="E180" s="247"/>
      <c r="F180" s="247"/>
      <c r="G180" s="247"/>
      <c r="H180" s="247"/>
      <c r="I180" s="239" t="e">
        <f>#REF!</f>
        <v>#REF!</v>
      </c>
      <c r="J180" s="980" t="e">
        <f>#REF!</f>
        <v>#REF!</v>
      </c>
      <c r="K180" s="980"/>
      <c r="L180" s="980"/>
      <c r="M180" s="980"/>
    </row>
    <row r="181" spans="1:100" s="221" customFormat="1">
      <c r="A181" s="251"/>
      <c r="B181" s="251"/>
      <c r="C181" s="251"/>
      <c r="D181" s="251"/>
      <c r="E181" s="251"/>
      <c r="F181" s="251"/>
      <c r="G181" s="251"/>
      <c r="H181" s="251"/>
      <c r="I181" s="252"/>
      <c r="J181" s="983"/>
      <c r="K181" s="983"/>
      <c r="L181" s="983"/>
      <c r="M181" s="983"/>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c r="AZ181" s="257"/>
      <c r="BA181" s="257"/>
      <c r="BB181" s="257"/>
      <c r="BC181" s="257"/>
      <c r="BD181" s="257"/>
      <c r="BE181" s="257"/>
      <c r="BF181" s="257"/>
      <c r="BG181" s="257"/>
      <c r="BH181" s="257"/>
      <c r="BI181" s="257"/>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7"/>
      <c r="CH181" s="257"/>
      <c r="CI181" s="257"/>
      <c r="CJ181" s="257"/>
      <c r="CK181" s="257"/>
      <c r="CL181" s="257"/>
      <c r="CM181" s="257"/>
      <c r="CN181" s="257"/>
      <c r="CO181" s="257"/>
      <c r="CP181" s="257"/>
      <c r="CQ181" s="257"/>
      <c r="CR181" s="257"/>
      <c r="CS181" s="257"/>
      <c r="CT181" s="257"/>
      <c r="CU181" s="257"/>
      <c r="CV181" s="257"/>
    </row>
    <row r="182" spans="1:100" s="221" customFormat="1">
      <c r="A182" s="226"/>
      <c r="B182" s="226"/>
      <c r="C182" s="226"/>
      <c r="D182" s="226"/>
      <c r="E182" s="226"/>
      <c r="F182" s="226"/>
      <c r="G182" s="226"/>
      <c r="H182" s="226"/>
      <c r="I182" s="347"/>
      <c r="J182" s="227"/>
      <c r="K182" s="227"/>
      <c r="L182" s="227"/>
      <c r="M182" s="22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row>
    <row r="183" spans="1:100" s="221" customFormat="1">
      <c r="A183" s="226"/>
      <c r="B183" s="226"/>
      <c r="C183" s="226"/>
      <c r="D183" s="226"/>
      <c r="E183" s="226"/>
      <c r="F183" s="226"/>
      <c r="G183" s="226"/>
      <c r="H183" s="226"/>
      <c r="I183" s="347"/>
      <c r="J183" s="227"/>
      <c r="K183" s="227"/>
      <c r="L183" s="227"/>
      <c r="M183" s="22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c r="AZ183" s="257"/>
      <c r="BA183" s="257"/>
      <c r="BB183" s="257"/>
      <c r="BC183" s="257"/>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row>
  </sheetData>
  <sheetProtection password="CBD2" sheet="1" objects="1" scenarios="1" formatColumns="0" formatRows="0" selectLockedCells="1"/>
  <customSheetViews>
    <customSheetView guid="{ADF3F130-0A37-42E7-A525-50C5A6B01A26}"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889C3D82-0A24-4765-A688-A80A782F5056}" showPageBreaks="1" fitToPage="1" printArea="1" hiddenRows="1" hiddenColumns="1" view="pageBreakPreview">
      <selection activeCell="A16" sqref="A16"/>
      <pageMargins left="0.7" right="0.7" top="0.75" bottom="0.75" header="0.3" footer="0.3"/>
      <pageSetup paperSize="9" scale="75" fitToHeight="0" orientation="landscape" r:id="rId2"/>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3"/>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4"/>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5"/>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8"/>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9"/>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10"/>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11"/>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12"/>
    </customSheetView>
    <customSheetView guid="{1211E1B9-FC37-4364-9CF0-0FFC01866726}" showPageBreaks="1" fitToPage="1" printArea="1" hiddenRows="1" hiddenColumns="1" view="pageBreakPreview">
      <selection activeCell="A16" sqref="A16"/>
      <pageMargins left="0.7" right="0.7" top="0.75" bottom="0.75" header="0.3" footer="0.3"/>
      <pageSetup paperSize="9" scale="75" fitToHeight="0" orientation="landscape" r:id="rId13"/>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6" zoomScaleNormal="70" zoomScaleSheetLayoutView="100" workbookViewId="0">
      <selection activeCell="G26" sqref="G26"/>
    </sheetView>
  </sheetViews>
  <sheetFormatPr defaultRowHeight="16.5"/>
  <cols>
    <col min="1" max="2" width="5.7109375" style="141" customWidth="1"/>
    <col min="3" max="3" width="24.7109375" style="141" customWidth="1"/>
    <col min="4" max="4" width="15.28515625" style="141" customWidth="1"/>
    <col min="5" max="5" width="28.7109375" style="141" customWidth="1"/>
    <col min="6" max="6" width="14.7109375" style="141" customWidth="1"/>
    <col min="7" max="7" width="19.5703125" style="141" customWidth="1"/>
    <col min="8" max="8" width="23.7109375" style="128" hidden="1" customWidth="1"/>
    <col min="9" max="9" width="18" style="129" hidden="1" customWidth="1"/>
    <col min="10" max="10" width="16.85546875" style="130" hidden="1" customWidth="1"/>
    <col min="11" max="11" width="14.5703125" style="130" hidden="1" customWidth="1"/>
    <col min="12" max="12" width="18.5703125" style="130" hidden="1" customWidth="1"/>
    <col min="13" max="13" width="16.28515625" style="130" customWidth="1"/>
    <col min="14" max="14" width="39.7109375" style="130" customWidth="1"/>
    <col min="15" max="15" width="24.28515625" style="130" customWidth="1"/>
    <col min="16" max="17" width="16.28515625" style="130" customWidth="1"/>
    <col min="18" max="19" width="10.28515625" style="131" customWidth="1"/>
    <col min="20" max="20" width="9.140625" style="131" customWidth="1"/>
    <col min="21" max="21" width="9.140625" style="132" customWidth="1"/>
    <col min="22" max="23" width="9.140625" style="132"/>
    <col min="24" max="25" width="9.140625" style="133"/>
    <col min="26" max="16384" width="9.140625" style="134"/>
  </cols>
  <sheetData>
    <row r="1" spans="1:25" s="126" customFormat="1" ht="39.950000000000003" customHeight="1">
      <c r="A1" s="989" t="s">
        <v>163</v>
      </c>
      <c r="B1" s="989"/>
      <c r="C1" s="989"/>
      <c r="D1" s="989"/>
      <c r="E1" s="989"/>
      <c r="F1" s="989"/>
      <c r="G1" s="989"/>
      <c r="H1" s="121"/>
      <c r="I1" s="122"/>
      <c r="J1" s="123"/>
      <c r="K1" s="123"/>
      <c r="L1" s="123"/>
      <c r="M1" s="123"/>
      <c r="N1" s="123"/>
      <c r="O1" s="123"/>
      <c r="P1" s="123"/>
      <c r="Q1" s="123"/>
      <c r="R1" s="123"/>
      <c r="S1" s="123"/>
      <c r="T1" s="123"/>
      <c r="U1" s="124"/>
      <c r="V1" s="124"/>
      <c r="W1" s="124"/>
      <c r="X1" s="125"/>
      <c r="Y1" s="125"/>
    </row>
    <row r="2" spans="1:25" ht="18" customHeight="1">
      <c r="A2" s="92" t="str">
        <f>Cover!B3</f>
        <v>Spec No: NR1/NT/W-TW/DOM/I00/25/03940 (Rfx-5002004353)</v>
      </c>
      <c r="B2" s="92"/>
      <c r="C2" s="93"/>
      <c r="D2" s="127"/>
      <c r="E2" s="127"/>
      <c r="F2" s="127"/>
      <c r="G2" s="95" t="s">
        <v>164</v>
      </c>
    </row>
    <row r="3" spans="1:25" ht="12.75" customHeight="1">
      <c r="A3" s="96"/>
      <c r="B3" s="96"/>
      <c r="C3" s="97"/>
      <c r="D3" s="116"/>
      <c r="E3" s="116"/>
      <c r="F3" s="116"/>
      <c r="G3" s="98"/>
    </row>
    <row r="4" spans="1:25" ht="18.95" customHeight="1">
      <c r="A4" s="990" t="s">
        <v>165</v>
      </c>
      <c r="B4" s="990"/>
      <c r="C4" s="990"/>
      <c r="D4" s="990"/>
      <c r="E4" s="990"/>
      <c r="F4" s="990"/>
      <c r="G4" s="990"/>
    </row>
    <row r="5" spans="1:25" ht="21" customHeight="1">
      <c r="A5" s="135" t="s">
        <v>1</v>
      </c>
      <c r="B5" s="135"/>
      <c r="C5" s="136"/>
      <c r="D5" s="136"/>
      <c r="E5" s="136"/>
      <c r="F5" s="136"/>
      <c r="G5" s="136"/>
    </row>
    <row r="6" spans="1:25" ht="21" customHeight="1">
      <c r="A6" s="12" t="s">
        <v>2</v>
      </c>
      <c r="B6" s="12"/>
      <c r="C6" s="136"/>
      <c r="D6" s="136"/>
      <c r="E6" s="136"/>
      <c r="F6" s="136"/>
      <c r="G6" s="136"/>
      <c r="I6" s="479" t="s">
        <v>231</v>
      </c>
      <c r="J6" s="560">
        <f>'Sch-1'!N104</f>
        <v>0</v>
      </c>
      <c r="K6" s="478"/>
      <c r="L6" s="363"/>
    </row>
    <row r="7" spans="1:25" ht="21" customHeight="1">
      <c r="A7" s="12" t="s">
        <v>3</v>
      </c>
      <c r="B7" s="12"/>
      <c r="C7" s="136"/>
      <c r="D7" s="136"/>
      <c r="E7" s="136"/>
      <c r="F7" s="136"/>
      <c r="G7" s="136"/>
      <c r="I7" s="479" t="s">
        <v>233</v>
      </c>
      <c r="J7" s="560">
        <f>'Sch-2'!J104</f>
        <v>0</v>
      </c>
      <c r="K7" s="478"/>
    </row>
    <row r="8" spans="1:25" ht="21" customHeight="1">
      <c r="A8" s="12" t="s">
        <v>4</v>
      </c>
      <c r="B8" s="12"/>
      <c r="C8" s="136"/>
      <c r="D8" s="136"/>
      <c r="E8" s="136"/>
      <c r="F8" s="136"/>
      <c r="G8" s="136"/>
      <c r="I8" s="479" t="s">
        <v>234</v>
      </c>
      <c r="J8" s="560">
        <f>'Sch-3'!P82</f>
        <v>0</v>
      </c>
      <c r="K8" s="478"/>
    </row>
    <row r="9" spans="1:25" ht="21" customHeight="1">
      <c r="A9" s="12" t="s">
        <v>166</v>
      </c>
      <c r="B9" s="12"/>
      <c r="C9" s="136"/>
      <c r="D9" s="136"/>
      <c r="E9" s="136"/>
      <c r="F9" s="136"/>
      <c r="G9" s="136"/>
      <c r="I9" s="480" t="s">
        <v>194</v>
      </c>
      <c r="J9" s="561">
        <f>J6+J7+J8</f>
        <v>0</v>
      </c>
      <c r="K9" s="478"/>
    </row>
    <row r="10" spans="1:25" ht="21" customHeight="1">
      <c r="A10" s="12" t="s">
        <v>6</v>
      </c>
      <c r="B10" s="12"/>
      <c r="C10" s="136"/>
      <c r="D10" s="136"/>
      <c r="E10" s="136"/>
      <c r="F10" s="136"/>
      <c r="G10" s="136"/>
      <c r="J10" s="362"/>
    </row>
    <row r="11" spans="1:25" ht="14.25" customHeight="1">
      <c r="A11" s="136"/>
      <c r="B11" s="136"/>
      <c r="C11" s="136"/>
      <c r="D11" s="136"/>
      <c r="E11" s="136"/>
      <c r="F11" s="136"/>
      <c r="G11" s="136"/>
    </row>
    <row r="12" spans="1:25" ht="103.5" customHeight="1">
      <c r="A12" s="137" t="s">
        <v>167</v>
      </c>
      <c r="B12" s="421"/>
      <c r="C12" s="991" t="str">
        <f>Cover!$B$2</f>
        <v>Transmission Line package TW02 for Diversion / modification of various POWERGRID’s 400kV Transmission Lines due to upcoming Green Field Airport at Kota under Consultancy Services to Kota Development Authority, Kota</v>
      </c>
      <c r="D12" s="991"/>
      <c r="E12" s="991"/>
      <c r="F12" s="991"/>
      <c r="G12" s="991"/>
      <c r="J12" s="363"/>
    </row>
    <row r="13" spans="1:25" ht="21" customHeight="1" thickBot="1">
      <c r="A13" s="138" t="s">
        <v>168</v>
      </c>
      <c r="B13" s="138"/>
      <c r="C13" s="139"/>
      <c r="D13" s="138"/>
      <c r="E13" s="138"/>
      <c r="F13" s="138"/>
      <c r="G13" s="138"/>
      <c r="H13" s="360"/>
      <c r="K13" s="147"/>
      <c r="L13" s="147"/>
      <c r="M13" s="147"/>
    </row>
    <row r="14" spans="1:25" ht="41.25" customHeight="1" thickBot="1">
      <c r="A14" s="992" t="s">
        <v>169</v>
      </c>
      <c r="B14" s="992"/>
      <c r="C14" s="992"/>
      <c r="D14" s="992"/>
      <c r="E14" s="992"/>
      <c r="F14" s="992"/>
      <c r="G14" s="992"/>
      <c r="H14" s="481" t="s">
        <v>328</v>
      </c>
      <c r="I14" s="481" t="s">
        <v>329</v>
      </c>
      <c r="J14" s="482" t="s">
        <v>330</v>
      </c>
      <c r="K14" s="147"/>
      <c r="L14" s="147"/>
      <c r="M14" s="147"/>
      <c r="N14" s="140"/>
    </row>
    <row r="15" spans="1:25" ht="56.25" customHeight="1">
      <c r="B15" s="142">
        <v>1</v>
      </c>
      <c r="C15" s="996" t="s">
        <v>321</v>
      </c>
      <c r="D15" s="994"/>
      <c r="E15" s="994"/>
      <c r="F15" s="995"/>
      <c r="G15" s="143"/>
      <c r="H15" s="537">
        <f>IF(J6=0,0,(G15/J9)*J6)</f>
        <v>0</v>
      </c>
      <c r="I15" s="538">
        <f>IF(J7=0,0,(G15/J9)*J7)</f>
        <v>0</v>
      </c>
      <c r="J15" s="537">
        <f>IF(J8,(G15/J9)*J8,0)</f>
        <v>0</v>
      </c>
      <c r="K15" s="147"/>
      <c r="L15" s="147"/>
      <c r="M15" s="147"/>
    </row>
    <row r="16" spans="1:25" ht="55.5" customHeight="1">
      <c r="B16" s="142">
        <v>2</v>
      </c>
      <c r="C16" s="993" t="s">
        <v>474</v>
      </c>
      <c r="D16" s="994"/>
      <c r="E16" s="994"/>
      <c r="F16" s="995"/>
      <c r="G16" s="144"/>
      <c r="H16" s="539">
        <f>G16*J6</f>
        <v>0</v>
      </c>
      <c r="I16" s="540">
        <f>G16*J7</f>
        <v>0</v>
      </c>
      <c r="J16" s="539">
        <f>G16*J8</f>
        <v>0</v>
      </c>
      <c r="K16" s="147"/>
      <c r="L16" s="147"/>
      <c r="M16" s="147"/>
    </row>
    <row r="17" spans="1:25" s="145" customFormat="1" ht="39.75" customHeight="1" thickBot="1">
      <c r="B17" s="146">
        <v>3</v>
      </c>
      <c r="C17" s="984" t="s">
        <v>170</v>
      </c>
      <c r="D17" s="985"/>
      <c r="E17" s="985"/>
      <c r="F17" s="986"/>
      <c r="G17" s="357"/>
      <c r="H17" s="539"/>
      <c r="I17" s="539"/>
      <c r="J17" s="539"/>
      <c r="K17" s="147"/>
      <c r="L17" s="147"/>
      <c r="M17" s="147"/>
      <c r="N17" s="147"/>
      <c r="O17" s="147"/>
      <c r="P17" s="147"/>
      <c r="Q17" s="147"/>
      <c r="R17" s="148"/>
      <c r="S17" s="148"/>
      <c r="T17" s="148"/>
      <c r="U17" s="149"/>
      <c r="V17" s="149"/>
      <c r="W17" s="149"/>
      <c r="X17" s="150"/>
      <c r="Y17" s="150"/>
    </row>
    <row r="18" spans="1:25" s="145" customFormat="1" ht="21" customHeight="1" thickBot="1">
      <c r="B18" s="151"/>
      <c r="C18" s="987" t="s">
        <v>322</v>
      </c>
      <c r="D18" s="988"/>
      <c r="E18" s="988"/>
      <c r="F18" s="152" t="s">
        <v>171</v>
      </c>
      <c r="G18" s="358"/>
      <c r="H18" s="541">
        <f>G18</f>
        <v>0</v>
      </c>
      <c r="I18" s="542"/>
      <c r="J18" s="539"/>
      <c r="K18" s="147"/>
      <c r="L18" s="147"/>
      <c r="M18" s="147"/>
      <c r="N18" s="154"/>
      <c r="O18" s="153"/>
      <c r="P18" s="147"/>
      <c r="Q18" s="147"/>
      <c r="R18" s="148"/>
      <c r="S18" s="148"/>
      <c r="T18" s="148"/>
      <c r="U18" s="149"/>
      <c r="V18" s="149"/>
      <c r="W18" s="149"/>
      <c r="X18" s="150"/>
      <c r="Y18" s="150"/>
    </row>
    <row r="19" spans="1:25" s="145" customFormat="1" ht="33" customHeight="1" thickBot="1">
      <c r="B19" s="151"/>
      <c r="C19" s="1003" t="s">
        <v>347</v>
      </c>
      <c r="D19" s="1004"/>
      <c r="E19" s="1004"/>
      <c r="F19" s="152" t="s">
        <v>171</v>
      </c>
      <c r="G19" s="358"/>
      <c r="H19" s="543"/>
      <c r="I19" s="541">
        <f>G19</f>
        <v>0</v>
      </c>
      <c r="J19" s="544"/>
      <c r="K19" s="147"/>
      <c r="L19" s="147"/>
      <c r="M19" s="147"/>
      <c r="N19" s="154"/>
      <c r="O19" s="153"/>
      <c r="P19" s="147"/>
      <c r="Q19" s="147"/>
      <c r="R19" s="148"/>
      <c r="S19" s="148"/>
      <c r="T19" s="148"/>
      <c r="U19" s="149"/>
      <c r="V19" s="149"/>
      <c r="W19" s="149"/>
      <c r="X19" s="150"/>
      <c r="Y19" s="150"/>
    </row>
    <row r="20" spans="1:25" s="145" customFormat="1" ht="21" customHeight="1" thickBot="1">
      <c r="B20" s="151"/>
      <c r="C20" s="987" t="s">
        <v>323</v>
      </c>
      <c r="D20" s="988"/>
      <c r="E20" s="988"/>
      <c r="F20" s="152" t="s">
        <v>171</v>
      </c>
      <c r="G20" s="358"/>
      <c r="H20" s="539"/>
      <c r="I20" s="538"/>
      <c r="J20" s="541">
        <f>G20</f>
        <v>0</v>
      </c>
      <c r="K20" s="147"/>
      <c r="L20" s="147"/>
      <c r="M20" s="147"/>
      <c r="N20" s="154"/>
      <c r="O20" s="153"/>
      <c r="P20" s="147"/>
      <c r="Q20" s="147"/>
      <c r="R20" s="148"/>
      <c r="S20" s="148"/>
      <c r="T20" s="148"/>
      <c r="U20" s="149"/>
      <c r="V20" s="149"/>
      <c r="W20" s="149"/>
      <c r="X20" s="150"/>
      <c r="Y20" s="150"/>
    </row>
    <row r="21" spans="1:25" s="145" customFormat="1" ht="21" hidden="1" customHeight="1">
      <c r="B21" s="151"/>
      <c r="C21" s="987" t="s">
        <v>324</v>
      </c>
      <c r="D21" s="988"/>
      <c r="E21" s="988"/>
      <c r="F21" s="152" t="s">
        <v>171</v>
      </c>
      <c r="G21" s="364"/>
      <c r="H21" s="539"/>
      <c r="I21" s="540"/>
      <c r="J21" s="537"/>
      <c r="K21" s="147"/>
      <c r="L21" s="147"/>
      <c r="M21" s="147"/>
      <c r="N21" s="154"/>
      <c r="O21" s="153"/>
      <c r="P21" s="147"/>
      <c r="Q21" s="147"/>
      <c r="R21" s="148"/>
      <c r="S21" s="148"/>
      <c r="T21" s="148"/>
      <c r="U21" s="149"/>
      <c r="V21" s="149"/>
      <c r="W21" s="149"/>
      <c r="X21" s="150"/>
      <c r="Y21" s="150"/>
    </row>
    <row r="22" spans="1:25" s="145" customFormat="1" ht="21" hidden="1" customHeight="1">
      <c r="B22" s="155"/>
      <c r="C22" s="987" t="s">
        <v>172</v>
      </c>
      <c r="D22" s="988"/>
      <c r="E22" s="988"/>
      <c r="F22" s="156" t="s">
        <v>171</v>
      </c>
      <c r="G22" s="364"/>
      <c r="H22" s="539"/>
      <c r="I22" s="540"/>
      <c r="J22" s="539"/>
      <c r="K22" s="147"/>
      <c r="L22" s="147"/>
      <c r="M22" s="147"/>
      <c r="N22" s="154"/>
      <c r="O22" s="153"/>
      <c r="P22" s="147"/>
      <c r="Q22" s="147"/>
      <c r="R22" s="148"/>
      <c r="S22" s="148"/>
      <c r="T22" s="148"/>
      <c r="U22" s="149"/>
      <c r="V22" s="149"/>
      <c r="W22" s="149"/>
      <c r="X22" s="150"/>
      <c r="Y22" s="150"/>
    </row>
    <row r="23" spans="1:25" s="145" customFormat="1" ht="54.95" customHeight="1" thickBot="1">
      <c r="B23" s="146">
        <v>4</v>
      </c>
      <c r="C23" s="999" t="s">
        <v>475</v>
      </c>
      <c r="D23" s="1000"/>
      <c r="E23" s="1000"/>
      <c r="F23" s="1001"/>
      <c r="G23" s="357"/>
      <c r="H23" s="545"/>
      <c r="I23" s="540"/>
      <c r="J23" s="539"/>
      <c r="K23" s="147"/>
      <c r="L23" s="147"/>
      <c r="M23" s="147"/>
      <c r="N23" s="147"/>
      <c r="O23" s="147"/>
      <c r="P23" s="147"/>
      <c r="Q23" s="147"/>
      <c r="R23" s="148"/>
      <c r="S23" s="148"/>
      <c r="T23" s="148"/>
      <c r="U23" s="149"/>
      <c r="V23" s="149"/>
      <c r="W23" s="149"/>
      <c r="X23" s="150"/>
      <c r="Y23" s="150"/>
    </row>
    <row r="24" spans="1:25" s="145" customFormat="1" ht="21" customHeight="1" thickBot="1">
      <c r="A24" s="157"/>
      <c r="B24" s="151"/>
      <c r="C24" s="987" t="s">
        <v>322</v>
      </c>
      <c r="D24" s="988"/>
      <c r="E24" s="988"/>
      <c r="F24" s="152" t="s">
        <v>173</v>
      </c>
      <c r="G24" s="359"/>
      <c r="H24" s="546">
        <f>G24*J6</f>
        <v>0</v>
      </c>
      <c r="I24" s="542"/>
      <c r="J24" s="539"/>
      <c r="K24" s="147"/>
      <c r="L24" s="147"/>
      <c r="M24" s="147"/>
      <c r="N24" s="147"/>
      <c r="O24" s="147"/>
      <c r="P24" s="147"/>
      <c r="Q24" s="147"/>
      <c r="R24" s="148"/>
      <c r="S24" s="148"/>
      <c r="T24" s="148"/>
      <c r="U24" s="149"/>
      <c r="V24" s="149"/>
      <c r="W24" s="149"/>
      <c r="X24" s="150"/>
      <c r="Y24" s="150"/>
    </row>
    <row r="25" spans="1:25" s="145" customFormat="1" ht="33.75" customHeight="1" thickBot="1">
      <c r="A25" s="157"/>
      <c r="B25" s="151"/>
      <c r="C25" s="1005" t="s">
        <v>347</v>
      </c>
      <c r="D25" s="1006"/>
      <c r="E25" s="1006"/>
      <c r="F25" s="152" t="s">
        <v>173</v>
      </c>
      <c r="G25" s="359"/>
      <c r="H25" s="547"/>
      <c r="I25" s="541">
        <f>G25*J7</f>
        <v>0</v>
      </c>
      <c r="J25" s="544"/>
      <c r="K25" s="147"/>
      <c r="L25" s="147"/>
      <c r="M25" s="147"/>
      <c r="N25" s="147"/>
      <c r="O25" s="147"/>
      <c r="P25" s="147"/>
      <c r="Q25" s="147"/>
      <c r="R25" s="148"/>
      <c r="S25" s="148"/>
      <c r="T25" s="148"/>
      <c r="U25" s="149"/>
      <c r="V25" s="149"/>
      <c r="W25" s="149"/>
      <c r="X25" s="150"/>
      <c r="Y25" s="150"/>
    </row>
    <row r="26" spans="1:25" s="145" customFormat="1" ht="21" customHeight="1" thickBot="1">
      <c r="A26" s="157"/>
      <c r="B26" s="151"/>
      <c r="C26" s="987" t="s">
        <v>323</v>
      </c>
      <c r="D26" s="988"/>
      <c r="E26" s="988"/>
      <c r="F26" s="152" t="s">
        <v>173</v>
      </c>
      <c r="G26" s="359"/>
      <c r="H26" s="545"/>
      <c r="I26" s="538"/>
      <c r="J26" s="541">
        <f>G26*J8</f>
        <v>0</v>
      </c>
      <c r="K26" s="147"/>
      <c r="L26" s="147"/>
      <c r="M26" s="147"/>
      <c r="N26" s="147"/>
      <c r="O26" s="147"/>
      <c r="P26" s="147"/>
      <c r="Q26" s="147"/>
      <c r="R26" s="148"/>
      <c r="S26" s="148"/>
      <c r="T26" s="148"/>
      <c r="U26" s="149"/>
      <c r="V26" s="149"/>
      <c r="W26" s="149"/>
      <c r="X26" s="150"/>
      <c r="Y26" s="150"/>
    </row>
    <row r="27" spans="1:25" s="145" customFormat="1" ht="21" hidden="1" customHeight="1">
      <c r="A27" s="157"/>
      <c r="B27" s="151"/>
      <c r="C27" s="987" t="s">
        <v>324</v>
      </c>
      <c r="D27" s="988"/>
      <c r="E27" s="988"/>
      <c r="F27" s="152" t="s">
        <v>173</v>
      </c>
      <c r="G27" s="365"/>
      <c r="H27" s="545"/>
      <c r="I27" s="540"/>
      <c r="J27" s="537"/>
      <c r="K27" s="147"/>
      <c r="L27" s="147"/>
      <c r="M27" s="147"/>
      <c r="N27" s="147"/>
      <c r="O27" s="147"/>
      <c r="P27" s="147"/>
      <c r="Q27" s="147"/>
      <c r="R27" s="148"/>
      <c r="S27" s="148"/>
      <c r="T27" s="148"/>
      <c r="U27" s="149"/>
      <c r="V27" s="149"/>
      <c r="W27" s="149"/>
      <c r="X27" s="150"/>
      <c r="Y27" s="150"/>
    </row>
    <row r="28" spans="1:25" s="145" customFormat="1" ht="21" hidden="1" customHeight="1">
      <c r="A28" s="157"/>
      <c r="B28" s="155"/>
      <c r="C28" s="1010" t="s">
        <v>172</v>
      </c>
      <c r="D28" s="1011"/>
      <c r="E28" s="1011"/>
      <c r="F28" s="156" t="s">
        <v>173</v>
      </c>
      <c r="G28" s="365"/>
      <c r="H28" s="545"/>
      <c r="I28" s="540"/>
      <c r="J28" s="539"/>
      <c r="K28" s="147"/>
      <c r="L28" s="147"/>
      <c r="M28" s="147"/>
      <c r="N28" s="147"/>
      <c r="O28" s="147"/>
      <c r="P28" s="147"/>
      <c r="Q28" s="147"/>
      <c r="R28" s="148"/>
      <c r="S28" s="148"/>
      <c r="T28" s="148"/>
      <c r="U28" s="149"/>
      <c r="V28" s="149"/>
      <c r="W28" s="149"/>
      <c r="X28" s="150"/>
      <c r="Y28" s="150"/>
    </row>
    <row r="29" spans="1:25" s="145" customFormat="1" hidden="1">
      <c r="A29" s="157"/>
      <c r="B29" s="158"/>
      <c r="C29" s="997" t="s">
        <v>174</v>
      </c>
      <c r="D29" s="998"/>
      <c r="E29" s="998"/>
      <c r="F29" s="998"/>
      <c r="G29" s="998"/>
      <c r="H29" s="548"/>
      <c r="I29" s="548"/>
      <c r="J29" s="548"/>
      <c r="K29" s="147"/>
      <c r="L29" s="147"/>
      <c r="M29" s="147"/>
      <c r="N29" s="147"/>
      <c r="O29" s="147"/>
      <c r="P29" s="147"/>
      <c r="Q29" s="147"/>
      <c r="R29" s="148"/>
      <c r="S29" s="148"/>
      <c r="T29" s="148"/>
      <c r="U29" s="149"/>
      <c r="V29" s="149"/>
      <c r="W29" s="149"/>
      <c r="X29" s="150"/>
      <c r="Y29" s="150"/>
    </row>
    <row r="30" spans="1:25" s="145" customFormat="1" ht="48.75" hidden="1" customHeight="1">
      <c r="A30" s="157"/>
      <c r="B30" s="159">
        <v>5</v>
      </c>
      <c r="C30" s="1007" t="s">
        <v>175</v>
      </c>
      <c r="D30" s="1007"/>
      <c r="E30" s="1007"/>
      <c r="F30" s="1007"/>
      <c r="G30" s="1007"/>
      <c r="H30" s="549"/>
      <c r="I30" s="549"/>
      <c r="J30" s="549"/>
      <c r="K30" s="147"/>
      <c r="L30" s="147"/>
      <c r="M30" s="147"/>
      <c r="N30" s="147"/>
      <c r="O30" s="147"/>
      <c r="P30" s="147"/>
      <c r="Q30" s="147"/>
      <c r="R30" s="148"/>
      <c r="S30" s="148"/>
      <c r="T30" s="148"/>
      <c r="U30" s="149"/>
      <c r="V30" s="149"/>
      <c r="W30" s="149"/>
      <c r="X30" s="150"/>
      <c r="Y30" s="150"/>
    </row>
    <row r="31" spans="1:25" s="145" customFormat="1" ht="48.75" hidden="1" customHeight="1">
      <c r="A31" s="157"/>
      <c r="B31" s="1008"/>
      <c r="C31" s="1008"/>
      <c r="D31" s="1008"/>
      <c r="E31" s="1008"/>
      <c r="F31" s="1008"/>
      <c r="G31" s="1008"/>
      <c r="H31" s="550">
        <f>SUM(H15:H28)</f>
        <v>0</v>
      </c>
      <c r="I31" s="550">
        <f>SUM(I15:I28)</f>
        <v>0</v>
      </c>
      <c r="J31" s="550">
        <f>SUM(J15:J28)</f>
        <v>0</v>
      </c>
      <c r="K31" s="147">
        <f>SUM(K15:K28)</f>
        <v>0</v>
      </c>
      <c r="L31" s="147">
        <f>SUM(L15:L28)</f>
        <v>0</v>
      </c>
      <c r="M31" s="147"/>
      <c r="N31" s="147"/>
      <c r="O31" s="147"/>
      <c r="P31" s="147"/>
      <c r="Q31" s="147"/>
      <c r="R31" s="148"/>
      <c r="S31" s="148"/>
      <c r="T31" s="148"/>
      <c r="U31" s="149"/>
      <c r="V31" s="149"/>
      <c r="W31" s="149"/>
      <c r="X31" s="150"/>
      <c r="Y31" s="150"/>
    </row>
    <row r="32" spans="1:25" s="145" customFormat="1" ht="48.75" hidden="1" customHeight="1">
      <c r="A32" s="157"/>
      <c r="B32" s="160"/>
      <c r="C32" s="1007" t="s">
        <v>176</v>
      </c>
      <c r="D32" s="1009"/>
      <c r="E32" s="1009"/>
      <c r="F32" s="1009"/>
      <c r="G32" s="1009"/>
      <c r="H32" s="551" t="e">
        <f>(1-(H31/I2))</f>
        <v>#DIV/0!</v>
      </c>
      <c r="I32" s="551" t="e">
        <f>(1-(I31/I3))</f>
        <v>#DIV/0!</v>
      </c>
      <c r="J32" s="552" t="e">
        <f>1-(J31/I4)</f>
        <v>#DIV/0!</v>
      </c>
      <c r="K32" s="147" t="e">
        <f>1-(K31/I5)</f>
        <v>#DIV/0!</v>
      </c>
      <c r="L32" s="147" t="e">
        <f>1-(L31/#REF!)</f>
        <v>#REF!</v>
      </c>
      <c r="M32" s="147"/>
      <c r="N32" s="147"/>
      <c r="O32" s="147"/>
      <c r="P32" s="147"/>
      <c r="Q32" s="147"/>
      <c r="R32" s="148"/>
      <c r="S32" s="148"/>
      <c r="T32" s="148"/>
      <c r="U32" s="149"/>
      <c r="V32" s="149"/>
      <c r="W32" s="149"/>
      <c r="X32" s="150"/>
      <c r="Y32" s="150"/>
    </row>
    <row r="33" spans="1:25" s="145" customFormat="1" ht="39" customHeight="1">
      <c r="A33" s="1002" t="s">
        <v>325</v>
      </c>
      <c r="B33" s="1002"/>
      <c r="C33" s="1002"/>
      <c r="D33" s="1002"/>
      <c r="E33" s="1002"/>
      <c r="F33" s="1002"/>
      <c r="G33" s="1002"/>
      <c r="H33" s="553"/>
      <c r="I33" s="553"/>
      <c r="J33" s="553"/>
      <c r="K33" s="147"/>
      <c r="L33" s="147"/>
      <c r="M33" s="147"/>
      <c r="N33" s="147"/>
      <c r="O33" s="147"/>
      <c r="P33" s="147"/>
      <c r="Q33" s="147"/>
      <c r="R33" s="148"/>
      <c r="S33" s="148"/>
      <c r="T33" s="148"/>
      <c r="U33" s="149"/>
      <c r="V33" s="149"/>
      <c r="W33" s="149"/>
      <c r="X33" s="150"/>
      <c r="Y33" s="150"/>
    </row>
    <row r="34" spans="1:25" s="145" customFormat="1" ht="31.5" customHeight="1" thickBot="1">
      <c r="A34" s="138" t="s">
        <v>177</v>
      </c>
      <c r="B34" s="160"/>
      <c r="C34" s="161"/>
      <c r="E34" s="162"/>
      <c r="F34" s="162"/>
      <c r="G34" s="163"/>
      <c r="H34" s="553"/>
      <c r="I34" s="553"/>
      <c r="J34" s="553"/>
      <c r="K34" s="147"/>
      <c r="L34" s="147"/>
      <c r="M34" s="147"/>
      <c r="N34" s="147"/>
      <c r="O34" s="147"/>
      <c r="P34" s="147"/>
      <c r="Q34" s="147"/>
      <c r="R34" s="148"/>
      <c r="S34" s="148"/>
      <c r="T34" s="148"/>
      <c r="U34" s="149"/>
      <c r="V34" s="149"/>
      <c r="W34" s="149"/>
      <c r="X34" s="150"/>
      <c r="Y34" s="150"/>
    </row>
    <row r="35" spans="1:25" s="145" customFormat="1" ht="21" customHeight="1" thickBot="1">
      <c r="A35" s="98" t="s">
        <v>178</v>
      </c>
      <c r="B35" s="160"/>
      <c r="C35" s="161"/>
      <c r="E35" s="162"/>
      <c r="F35" s="162"/>
      <c r="G35" s="163"/>
      <c r="H35" s="554">
        <f>SUM(H15:H26)</f>
        <v>0</v>
      </c>
      <c r="I35" s="555">
        <f>SUM(I15:I26)</f>
        <v>0</v>
      </c>
      <c r="J35" s="556">
        <f>SUM(J15:J26)</f>
        <v>0</v>
      </c>
      <c r="K35" s="366"/>
      <c r="L35" s="147"/>
      <c r="M35" s="147"/>
      <c r="N35" s="147"/>
      <c r="O35" s="147"/>
      <c r="P35" s="147"/>
      <c r="Q35" s="147"/>
      <c r="R35" s="148"/>
      <c r="S35" s="148"/>
      <c r="T35" s="148"/>
      <c r="U35" s="149"/>
      <c r="V35" s="149"/>
      <c r="W35" s="149"/>
      <c r="X35" s="150"/>
      <c r="Y35" s="150"/>
    </row>
    <row r="36" spans="1:25" ht="19.5" customHeight="1" thickBot="1">
      <c r="A36" s="164"/>
      <c r="B36" s="164"/>
      <c r="C36" s="165"/>
      <c r="D36" s="97"/>
      <c r="E36" s="98"/>
      <c r="F36" s="98"/>
      <c r="G36" s="115" t="s">
        <v>179</v>
      </c>
      <c r="H36" s="484">
        <f>IF(J6=0,0,1-(H35/J6))</f>
        <v>0</v>
      </c>
      <c r="I36" s="484">
        <f>IF(J7=0,0,1-(I35/J7))</f>
        <v>0</v>
      </c>
      <c r="J36" s="485">
        <f>IF(J8=0,0,1-(J35/J8))</f>
        <v>0</v>
      </c>
      <c r="K36" s="470" t="s">
        <v>348</v>
      </c>
    </row>
    <row r="37" spans="1:25" ht="19.5" customHeight="1">
      <c r="A37" s="164"/>
      <c r="B37" s="164"/>
      <c r="C37" s="165"/>
      <c r="D37" s="97"/>
      <c r="E37" s="98"/>
      <c r="F37" s="98"/>
      <c r="G37" s="115" t="str">
        <f>"For and on behalf of "</f>
        <v xml:space="preserve">For and on behalf of </v>
      </c>
      <c r="H37" s="130"/>
    </row>
    <row r="38" spans="1:25" ht="19.5" customHeight="1">
      <c r="A38" s="166"/>
      <c r="B38" s="166"/>
      <c r="C38" s="166"/>
      <c r="D38" s="167"/>
      <c r="E38" s="168"/>
      <c r="F38" s="168"/>
      <c r="G38" s="134"/>
      <c r="H38" s="169"/>
    </row>
    <row r="39" spans="1:25" ht="23.25" customHeight="1">
      <c r="A39" s="170" t="s">
        <v>180</v>
      </c>
      <c r="B39" s="170"/>
      <c r="C39" s="503" t="str">
        <f>'Sch-7'!C21:D21</f>
        <v xml:space="preserve">  </v>
      </c>
      <c r="D39" s="167"/>
      <c r="E39" s="168" t="s">
        <v>181</v>
      </c>
      <c r="F39" s="558">
        <f>'Names of Bidder'!C19</f>
        <v>0</v>
      </c>
      <c r="G39" s="559"/>
      <c r="H39" s="363"/>
    </row>
    <row r="40" spans="1:25" ht="23.25" customHeight="1">
      <c r="A40" s="170" t="s">
        <v>182</v>
      </c>
      <c r="B40" s="170"/>
      <c r="C40" s="504" t="str">
        <f>'Sch-7'!C22:D22</f>
        <v/>
      </c>
      <c r="D40" s="171"/>
      <c r="E40" s="168" t="s">
        <v>183</v>
      </c>
      <c r="F40" s="558">
        <f>'Names of Bidder'!C20</f>
        <v>0</v>
      </c>
      <c r="G40" s="559"/>
      <c r="H40" s="130"/>
    </row>
  </sheetData>
  <sheetProtection password="CBD2" sheet="1" objects="1" scenarios="1" formatColumns="0" formatRows="0" selectLockedCells="1"/>
  <customSheetViews>
    <customSheetView guid="{ADF3F130-0A37-42E7-A525-50C5A6B01A26}" showPageBreaks="1" zeroValues="0" printArea="1" hiddenRows="1" hiddenColumns="1" view="pageBreakPreview">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72" right="0.49" top="0.62" bottom="0.52" header="0.32" footer="0.27"/>
      <pageSetup scale="77" orientation="portrait" r:id="rId2"/>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3"/>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5"/>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8"/>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9"/>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10"/>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11"/>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12"/>
      <headerFooter alignWithMargins="0">
        <oddFooter>&amp;R&amp;"Book Antiqua,Bold"&amp;10Letter of Discount  / Page &amp;P of &amp;N</oddFooter>
      </headerFooter>
    </customSheetView>
    <customSheetView guid="{1211E1B9-FC37-4364-9CF0-0FFC01866726}" showPageBreaks="1" zeroValues="0" printArea="1" hiddenRows="1" hiddenColumns="1" view="pageBreakPreview">
      <selection activeCell="G18" sqref="G18"/>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1012" t="s">
        <v>184</v>
      </c>
      <c r="B2" s="1012"/>
      <c r="C2" s="1012"/>
      <c r="D2" s="1012"/>
      <c r="E2" s="43"/>
    </row>
    <row r="3" spans="1:6">
      <c r="A3" s="172"/>
      <c r="B3" s="173"/>
      <c r="C3" s="173"/>
      <c r="D3" s="173"/>
      <c r="E3" s="173"/>
    </row>
    <row r="4" spans="1:6" ht="30">
      <c r="A4" s="174" t="s">
        <v>185</v>
      </c>
      <c r="B4" s="175" t="s">
        <v>186</v>
      </c>
      <c r="C4" s="174" t="s">
        <v>139</v>
      </c>
      <c r="D4" s="174" t="s">
        <v>187</v>
      </c>
      <c r="E4" s="174" t="s">
        <v>188</v>
      </c>
    </row>
    <row r="5" spans="1:6" ht="18" customHeight="1">
      <c r="A5" s="176" t="s">
        <v>189</v>
      </c>
      <c r="B5" s="176" t="s">
        <v>190</v>
      </c>
      <c r="C5" s="176" t="s">
        <v>191</v>
      </c>
      <c r="D5" s="176" t="s">
        <v>192</v>
      </c>
      <c r="E5" s="176" t="s">
        <v>193</v>
      </c>
    </row>
    <row r="6" spans="1:6" ht="45" customHeight="1">
      <c r="A6" s="177">
        <v>1</v>
      </c>
      <c r="B6" s="178"/>
      <c r="C6" s="179"/>
      <c r="D6" s="180"/>
      <c r="E6" s="181">
        <f t="shared" ref="E6:E15" si="0">C6*D6</f>
        <v>0</v>
      </c>
    </row>
    <row r="7" spans="1:6" ht="45" customHeight="1">
      <c r="A7" s="177">
        <v>2</v>
      </c>
      <c r="B7" s="178"/>
      <c r="C7" s="179"/>
      <c r="D7" s="180"/>
      <c r="E7" s="181">
        <f t="shared" si="0"/>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194</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ADF3F130-0A37-42E7-A525-50C5A6B01A26}" state="hidden" topLeftCell="A4">
      <selection activeCell="D6" sqref="D6"/>
      <pageMargins left="0.75" right="0.75" top="0.65" bottom="1" header="0.5" footer="0.5"/>
      <pageSetup orientation="portrait" r:id="rId1"/>
      <headerFooter alignWithMargins="0"/>
    </customSheetView>
    <customSheetView guid="{889C3D82-0A24-4765-A688-A80A782F5056}" state="hidden" topLeftCell="A4">
      <selection activeCell="D6" sqref="D6"/>
      <pageMargins left="0.75" right="0.75" top="0.65" bottom="1" header="0.5" footer="0.5"/>
      <pageSetup orientation="portrait" r:id="rId2"/>
      <headerFooter alignWithMargins="0"/>
    </customSheetView>
    <customSheetView guid="{89CB4E6A-722E-4E39-885D-E2A6D0D08321}" state="hidden" topLeftCell="A4">
      <selection activeCell="D6" sqref="D6"/>
      <pageMargins left="0.75" right="0.75" top="0.65" bottom="1" header="0.5" footer="0.5"/>
      <pageSetup orientation="portrait" r:id="rId3"/>
      <headerFooter alignWithMargins="0"/>
    </customSheetView>
    <customSheetView guid="{915C64AD-BD67-44F0-9117-5B9D998BA799}" state="hidden" topLeftCell="A4">
      <selection activeCell="D6" sqref="D6"/>
      <pageMargins left="0.75" right="0.75" top="0.65" bottom="1" header="0.5" footer="0.5"/>
      <pageSetup orientation="portrait" r:id="rId4"/>
      <headerFooter alignWithMargins="0"/>
    </customSheetView>
    <customSheetView guid="{18EA11B4-BD82-47BF-99FA-7AB19BF74D0B}" state="hidden" topLeftCell="A4">
      <selection activeCell="D6" sqref="D6"/>
      <pageMargins left="0.75" right="0.75" top="0.65" bottom="1" header="0.5" footer="0.5"/>
      <pageSetup orientation="portrait" r:id="rId5"/>
      <headerFooter alignWithMargins="0"/>
    </customSheetView>
    <customSheetView guid="{CCA37BAE-906F-43D5-9FD9-B13563E4B9D7}"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63D51328-7CBC-4A1E-B96D-BAE91416501B}" state="hidden" topLeftCell="A4">
      <selection activeCell="D6" sqref="D6"/>
      <pageMargins left="0.75" right="0.75" top="0.65" bottom="1" header="0.5" footer="0.5"/>
      <pageSetup orientation="portrait" r:id="rId8"/>
      <headerFooter alignWithMargins="0"/>
    </customSheetView>
    <customSheetView guid="{3C00DDA0-7DDE-4169-A739-550DAF5DCF8D}" state="hidden" topLeftCell="A4">
      <selection activeCell="D6" sqref="D6"/>
      <pageMargins left="0.75" right="0.75" top="0.65" bottom="1" header="0.5" footer="0.5"/>
      <pageSetup orientation="portrait" r:id="rId9"/>
      <headerFooter alignWithMargins="0"/>
    </customSheetView>
    <customSheetView guid="{357C9841-BEC3-434B-AC63-C04FB4321BA3}" state="hidden" topLeftCell="A4">
      <selection activeCell="D6" sqref="D6"/>
      <pageMargins left="0.75" right="0.75" top="0.65" bottom="1" header="0.5" footer="0.5"/>
      <pageSetup orientation="portrait" r:id="rId10"/>
      <headerFooter alignWithMargins="0"/>
    </customSheetView>
    <customSheetView guid="{B96E710B-6DD7-4DE1-95AB-C9EE060CD030}" state="hidden" topLeftCell="A4">
      <selection activeCell="D6" sqref="D6"/>
      <pageMargins left="0.75" right="0.75" top="0.65" bottom="1" header="0.5" footer="0.5"/>
      <pageSetup orientation="portrait" r:id="rId11"/>
      <headerFooter alignWithMargins="0"/>
    </customSheetView>
    <customSheetView guid="{A58DB4DF-40C7-4BEB-B85E-6BD6F54941CF}" state="hidden" topLeftCell="A4">
      <selection activeCell="D6" sqref="D6"/>
      <pageMargins left="0.75" right="0.75" top="0.65" bottom="1" header="0.5" footer="0.5"/>
      <pageSetup orientation="portrait" r:id="rId12"/>
      <headerFooter alignWithMargins="0"/>
    </customSheetView>
    <customSheetView guid="{1211E1B9-FC37-4364-9CF0-0FFC01866726}"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1012" t="s">
        <v>195</v>
      </c>
      <c r="B2" s="1012"/>
      <c r="C2" s="1012"/>
      <c r="D2" s="1013"/>
      <c r="E2" s="18"/>
    </row>
    <row r="3" spans="1:6">
      <c r="A3" s="172"/>
      <c r="B3" s="173"/>
      <c r="C3" s="173"/>
      <c r="D3" s="173"/>
      <c r="E3" s="173"/>
    </row>
    <row r="4" spans="1:6" ht="30">
      <c r="A4" s="174" t="s">
        <v>185</v>
      </c>
      <c r="B4" s="175" t="s">
        <v>186</v>
      </c>
      <c r="C4" s="174" t="s">
        <v>196</v>
      </c>
      <c r="D4" s="174" t="s">
        <v>197</v>
      </c>
      <c r="E4" s="174" t="s">
        <v>198</v>
      </c>
    </row>
    <row r="5" spans="1:6" ht="18" customHeight="1">
      <c r="A5" s="176" t="s">
        <v>189</v>
      </c>
      <c r="B5" s="176" t="s">
        <v>190</v>
      </c>
      <c r="C5" s="176" t="s">
        <v>191</v>
      </c>
      <c r="D5" s="176" t="s">
        <v>192</v>
      </c>
      <c r="E5" s="176" t="s">
        <v>193</v>
      </c>
    </row>
    <row r="6" spans="1:6" ht="45" customHeight="1">
      <c r="A6" s="177">
        <v>1</v>
      </c>
      <c r="B6" s="178"/>
      <c r="C6" s="179"/>
      <c r="D6" s="180"/>
      <c r="E6" s="181">
        <f>C6*D6</f>
        <v>0</v>
      </c>
    </row>
    <row r="7" spans="1:6" ht="45" customHeight="1">
      <c r="A7" s="177">
        <v>2</v>
      </c>
      <c r="B7" s="178"/>
      <c r="C7" s="179"/>
      <c r="D7" s="180"/>
      <c r="E7" s="181">
        <f t="shared" ref="E7:E15" si="0">C7*D7</f>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194</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ADF3F130-0A37-42E7-A525-50C5A6B01A26}" state="hidden" topLeftCell="A13">
      <selection activeCell="D6" sqref="D6"/>
      <pageMargins left="0.75" right="0.75" top="0.65" bottom="1" header="0.5" footer="0.5"/>
      <pageSetup orientation="portrait" r:id="rId1"/>
      <headerFooter alignWithMargins="0"/>
    </customSheetView>
    <customSheetView guid="{889C3D82-0A24-4765-A688-A80A782F5056}" state="hidden" topLeftCell="A13">
      <selection activeCell="D6" sqref="D6"/>
      <pageMargins left="0.75" right="0.75" top="0.65" bottom="1" header="0.5" footer="0.5"/>
      <pageSetup orientation="portrait" r:id="rId2"/>
      <headerFooter alignWithMargins="0"/>
    </customSheetView>
    <customSheetView guid="{89CB4E6A-722E-4E39-885D-E2A6D0D08321}" state="hidden" topLeftCell="A13">
      <selection activeCell="D6" sqref="D6"/>
      <pageMargins left="0.75" right="0.75" top="0.65" bottom="1" header="0.5" footer="0.5"/>
      <pageSetup orientation="portrait" r:id="rId3"/>
      <headerFooter alignWithMargins="0"/>
    </customSheetView>
    <customSheetView guid="{915C64AD-BD67-44F0-9117-5B9D998BA799}" state="hidden" topLeftCell="A13">
      <selection activeCell="D6" sqref="D6"/>
      <pageMargins left="0.75" right="0.75" top="0.65" bottom="1" header="0.5" footer="0.5"/>
      <pageSetup orientation="portrait" r:id="rId4"/>
      <headerFooter alignWithMargins="0"/>
    </customSheetView>
    <customSheetView guid="{18EA11B4-BD82-47BF-99FA-7AB19BF74D0B}" state="hidden" topLeftCell="A13">
      <selection activeCell="D6" sqref="D6"/>
      <pageMargins left="0.75" right="0.75" top="0.65" bottom="1" header="0.5" footer="0.5"/>
      <pageSetup orientation="portrait" r:id="rId5"/>
      <headerFooter alignWithMargins="0"/>
    </customSheetView>
    <customSheetView guid="{CCA37BAE-906F-43D5-9FD9-B13563E4B9D7}"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63D51328-7CBC-4A1E-B96D-BAE91416501B}" state="hidden" topLeftCell="A13">
      <selection activeCell="D6" sqref="D6"/>
      <pageMargins left="0.75" right="0.75" top="0.65" bottom="1" header="0.5" footer="0.5"/>
      <pageSetup orientation="portrait" r:id="rId8"/>
      <headerFooter alignWithMargins="0"/>
    </customSheetView>
    <customSheetView guid="{3C00DDA0-7DDE-4169-A739-550DAF5DCF8D}" state="hidden" topLeftCell="A13">
      <selection activeCell="D6" sqref="D6"/>
      <pageMargins left="0.75" right="0.75" top="0.65" bottom="1" header="0.5" footer="0.5"/>
      <pageSetup orientation="portrait" r:id="rId9"/>
      <headerFooter alignWithMargins="0"/>
    </customSheetView>
    <customSheetView guid="{357C9841-BEC3-434B-AC63-C04FB4321BA3}" state="hidden" topLeftCell="A13">
      <selection activeCell="D6" sqref="D6"/>
      <pageMargins left="0.75" right="0.75" top="0.65" bottom="1" header="0.5" footer="0.5"/>
      <pageSetup orientation="portrait" r:id="rId10"/>
      <headerFooter alignWithMargins="0"/>
    </customSheetView>
    <customSheetView guid="{B96E710B-6DD7-4DE1-95AB-C9EE060CD030}" state="hidden" topLeftCell="A13">
      <selection activeCell="D6" sqref="D6"/>
      <pageMargins left="0.75" right="0.75" top="0.65" bottom="1" header="0.5" footer="0.5"/>
      <pageSetup orientation="portrait" r:id="rId11"/>
      <headerFooter alignWithMargins="0"/>
    </customSheetView>
    <customSheetView guid="{A58DB4DF-40C7-4BEB-B85E-6BD6F54941CF}" state="hidden" topLeftCell="A13">
      <selection activeCell="D6" sqref="D6"/>
      <pageMargins left="0.75" right="0.75" top="0.65" bottom="1" header="0.5" footer="0.5"/>
      <pageSetup orientation="portrait" r:id="rId12"/>
      <headerFooter alignWithMargins="0"/>
    </customSheetView>
    <customSheetView guid="{1211E1B9-FC37-4364-9CF0-0FFC01866726}"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16" customWidth="1"/>
    <col min="2" max="4" width="23.5703125" style="98" customWidth="1"/>
    <col min="5" max="5" width="11" style="98" customWidth="1"/>
    <col min="6" max="6" width="14.42578125" style="98" customWidth="1"/>
    <col min="7" max="16384" width="9.140625" style="43"/>
  </cols>
  <sheetData>
    <row r="1" spans="1:7">
      <c r="A1" s="172"/>
      <c r="B1" s="173"/>
      <c r="C1" s="173"/>
      <c r="D1" s="173"/>
      <c r="E1" s="173"/>
      <c r="F1" s="173"/>
    </row>
    <row r="2" spans="1:7" ht="21.95" customHeight="1">
      <c r="A2" s="1012" t="s">
        <v>199</v>
      </c>
      <c r="B2" s="1012"/>
      <c r="C2" s="1012"/>
      <c r="D2" s="1012"/>
      <c r="E2" s="1013"/>
      <c r="F2" s="43"/>
    </row>
    <row r="3" spans="1:7">
      <c r="A3" s="172"/>
      <c r="B3" s="173"/>
      <c r="C3" s="173"/>
      <c r="D3" s="173"/>
      <c r="E3" s="173"/>
      <c r="F3" s="173"/>
    </row>
    <row r="4" spans="1:7" ht="45">
      <c r="A4" s="174" t="s">
        <v>185</v>
      </c>
      <c r="B4" s="175" t="s">
        <v>186</v>
      </c>
      <c r="C4" s="174" t="s">
        <v>200</v>
      </c>
      <c r="D4" s="174" t="s">
        <v>201</v>
      </c>
      <c r="E4" s="174" t="s">
        <v>202</v>
      </c>
      <c r="F4" s="174" t="s">
        <v>203</v>
      </c>
    </row>
    <row r="5" spans="1:7" ht="18" customHeight="1">
      <c r="A5" s="176" t="s">
        <v>189</v>
      </c>
      <c r="B5" s="176" t="s">
        <v>190</v>
      </c>
      <c r="C5" s="176" t="s">
        <v>191</v>
      </c>
      <c r="D5" s="176" t="s">
        <v>192</v>
      </c>
      <c r="E5" s="185" t="s">
        <v>204</v>
      </c>
      <c r="F5" s="176" t="s">
        <v>205</v>
      </c>
    </row>
    <row r="6" spans="1:7" ht="45" customHeight="1">
      <c r="A6" s="177">
        <v>1</v>
      </c>
      <c r="B6" s="178"/>
      <c r="C6" s="179"/>
      <c r="D6" s="179"/>
      <c r="E6" s="180"/>
      <c r="F6" s="181">
        <f>C6*E6</f>
        <v>0</v>
      </c>
    </row>
    <row r="7" spans="1:7" ht="45" customHeight="1">
      <c r="A7" s="177">
        <v>2</v>
      </c>
      <c r="B7" s="178"/>
      <c r="C7" s="179"/>
      <c r="D7" s="179"/>
      <c r="E7" s="180"/>
      <c r="F7" s="181">
        <f t="shared" ref="F7:F15" si="0">C7*E7</f>
        <v>0</v>
      </c>
    </row>
    <row r="8" spans="1:7" ht="45" customHeight="1">
      <c r="A8" s="177">
        <v>3</v>
      </c>
      <c r="B8" s="178"/>
      <c r="C8" s="179"/>
      <c r="D8" s="179"/>
      <c r="E8" s="180"/>
      <c r="F8" s="181">
        <f t="shared" si="0"/>
        <v>0</v>
      </c>
    </row>
    <row r="9" spans="1:7" ht="45" customHeight="1">
      <c r="A9" s="177">
        <v>4</v>
      </c>
      <c r="B9" s="178"/>
      <c r="C9" s="179"/>
      <c r="D9" s="179"/>
      <c r="E9" s="180"/>
      <c r="F9" s="181">
        <f t="shared" si="0"/>
        <v>0</v>
      </c>
    </row>
    <row r="10" spans="1:7" ht="45" customHeight="1">
      <c r="A10" s="177">
        <v>5</v>
      </c>
      <c r="B10" s="178"/>
      <c r="C10" s="179"/>
      <c r="D10" s="179"/>
      <c r="E10" s="180"/>
      <c r="F10" s="181">
        <f t="shared" si="0"/>
        <v>0</v>
      </c>
    </row>
    <row r="11" spans="1:7" ht="45" customHeight="1">
      <c r="A11" s="177">
        <v>6</v>
      </c>
      <c r="B11" s="178"/>
      <c r="C11" s="179"/>
      <c r="D11" s="179"/>
      <c r="E11" s="180"/>
      <c r="F11" s="181">
        <f t="shared" si="0"/>
        <v>0</v>
      </c>
    </row>
    <row r="12" spans="1:7" ht="45" customHeight="1">
      <c r="A12" s="177">
        <v>7</v>
      </c>
      <c r="B12" s="178"/>
      <c r="C12" s="179"/>
      <c r="D12" s="179"/>
      <c r="E12" s="180"/>
      <c r="F12" s="181">
        <f t="shared" si="0"/>
        <v>0</v>
      </c>
    </row>
    <row r="13" spans="1:7" ht="45" customHeight="1">
      <c r="A13" s="177">
        <v>8</v>
      </c>
      <c r="B13" s="178"/>
      <c r="C13" s="179"/>
      <c r="D13" s="179"/>
      <c r="E13" s="180"/>
      <c r="F13" s="181">
        <f t="shared" si="0"/>
        <v>0</v>
      </c>
    </row>
    <row r="14" spans="1:7" ht="45" customHeight="1">
      <c r="A14" s="177">
        <v>9</v>
      </c>
      <c r="B14" s="178"/>
      <c r="C14" s="179"/>
      <c r="D14" s="179"/>
      <c r="E14" s="180"/>
      <c r="F14" s="181">
        <f t="shared" si="0"/>
        <v>0</v>
      </c>
    </row>
    <row r="15" spans="1:7" ht="45" customHeight="1">
      <c r="A15" s="177">
        <v>10</v>
      </c>
      <c r="B15" s="178"/>
      <c r="C15" s="179"/>
      <c r="D15" s="179"/>
      <c r="E15" s="180"/>
      <c r="F15" s="181">
        <f t="shared" si="0"/>
        <v>0</v>
      </c>
    </row>
    <row r="16" spans="1:7" ht="45" customHeight="1">
      <c r="A16" s="182"/>
      <c r="B16" s="183" t="s">
        <v>194</v>
      </c>
      <c r="C16" s="183"/>
      <c r="D16" s="183"/>
      <c r="E16" s="183"/>
      <c r="F16" s="183">
        <f>SUM(F6:F15)</f>
        <v>0</v>
      </c>
      <c r="G16" s="184"/>
    </row>
    <row r="17" ht="30" customHeight="1"/>
    <row r="18" ht="30" customHeight="1"/>
    <row r="19" ht="30" customHeight="1"/>
    <row r="20" ht="30" customHeight="1"/>
    <row r="21" ht="30" customHeight="1"/>
  </sheetData>
  <sheetProtection password="E848" sheet="1" formatColumns="0" formatRows="0" selectLockedCells="1"/>
  <customSheetViews>
    <customSheetView guid="{ADF3F130-0A37-42E7-A525-50C5A6B01A26}" state="hidden" topLeftCell="A5">
      <selection activeCell="D11" sqref="D11"/>
      <pageMargins left="0.75" right="0.62" top="0.65" bottom="1" header="0.5" footer="0.5"/>
      <pageSetup orientation="portrait" r:id="rId1"/>
      <headerFooter alignWithMargins="0"/>
    </customSheetView>
    <customSheetView guid="{889C3D82-0A24-4765-A688-A80A782F5056}" state="hidden" topLeftCell="A5">
      <selection activeCell="D11" sqref="D11"/>
      <pageMargins left="0.75" right="0.62" top="0.65" bottom="1" header="0.5" footer="0.5"/>
      <pageSetup orientation="portrait" r:id="rId2"/>
      <headerFooter alignWithMargins="0"/>
    </customSheetView>
    <customSheetView guid="{89CB4E6A-722E-4E39-885D-E2A6D0D08321}" state="hidden" topLeftCell="A5">
      <selection activeCell="D11" sqref="D11"/>
      <pageMargins left="0.75" right="0.62" top="0.65" bottom="1" header="0.5" footer="0.5"/>
      <pageSetup orientation="portrait" r:id="rId3"/>
      <headerFooter alignWithMargins="0"/>
    </customSheetView>
    <customSheetView guid="{915C64AD-BD67-44F0-9117-5B9D998BA799}" state="hidden" topLeftCell="A5">
      <selection activeCell="D11" sqref="D11"/>
      <pageMargins left="0.75" right="0.62" top="0.65" bottom="1" header="0.5" footer="0.5"/>
      <pageSetup orientation="portrait" r:id="rId4"/>
      <headerFooter alignWithMargins="0"/>
    </customSheetView>
    <customSheetView guid="{18EA11B4-BD82-47BF-99FA-7AB19BF74D0B}" state="hidden" topLeftCell="A5">
      <selection activeCell="D11" sqref="D11"/>
      <pageMargins left="0.75" right="0.62" top="0.65" bottom="1" header="0.5" footer="0.5"/>
      <pageSetup orientation="portrait" r:id="rId5"/>
      <headerFooter alignWithMargins="0"/>
    </customSheetView>
    <customSheetView guid="{CCA37BAE-906F-43D5-9FD9-B13563E4B9D7}"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63D51328-7CBC-4A1E-B96D-BAE91416501B}" state="hidden" topLeftCell="A5">
      <selection activeCell="D11" sqref="D11"/>
      <pageMargins left="0.75" right="0.62" top="0.65" bottom="1" header="0.5" footer="0.5"/>
      <pageSetup orientation="portrait" r:id="rId8"/>
      <headerFooter alignWithMargins="0"/>
    </customSheetView>
    <customSheetView guid="{3C00DDA0-7DDE-4169-A739-550DAF5DCF8D}" state="hidden" topLeftCell="A5">
      <selection activeCell="D11" sqref="D11"/>
      <pageMargins left="0.75" right="0.62" top="0.65" bottom="1" header="0.5" footer="0.5"/>
      <pageSetup orientation="portrait" r:id="rId9"/>
      <headerFooter alignWithMargins="0"/>
    </customSheetView>
    <customSheetView guid="{357C9841-BEC3-434B-AC63-C04FB4321BA3}" state="hidden" topLeftCell="A5">
      <selection activeCell="D11" sqref="D11"/>
      <pageMargins left="0.75" right="0.62" top="0.65" bottom="1" header="0.5" footer="0.5"/>
      <pageSetup orientation="portrait" r:id="rId10"/>
      <headerFooter alignWithMargins="0"/>
    </customSheetView>
    <customSheetView guid="{B96E710B-6DD7-4DE1-95AB-C9EE060CD030}" state="hidden" topLeftCell="A5">
      <selection activeCell="D11" sqref="D11"/>
      <pageMargins left="0.75" right="0.62" top="0.65" bottom="1" header="0.5" footer="0.5"/>
      <pageSetup orientation="portrait" r:id="rId11"/>
      <headerFooter alignWithMargins="0"/>
    </customSheetView>
    <customSheetView guid="{A58DB4DF-40C7-4BEB-B85E-6BD6F54941CF}" state="hidden" topLeftCell="A5">
      <selection activeCell="D11" sqref="D11"/>
      <pageMargins left="0.75" right="0.62" top="0.65" bottom="1" header="0.5" footer="0.5"/>
      <pageSetup orientation="portrait" r:id="rId12"/>
      <headerFooter alignWithMargins="0"/>
    </customSheetView>
    <customSheetView guid="{1211E1B9-FC37-4364-9CF0-0FFC01866726}"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topLeftCell="A6" zoomScaleSheetLayoutView="100" workbookViewId="0">
      <selection activeCell="AR14" sqref="AR14"/>
    </sheetView>
  </sheetViews>
  <sheetFormatPr defaultRowHeight="16.5"/>
  <cols>
    <col min="1" max="1" width="10.7109375" style="189" customWidth="1"/>
    <col min="2" max="2" width="15.28515625" style="194" customWidth="1"/>
    <col min="3" max="3" width="16.28515625" style="189" customWidth="1"/>
    <col min="4" max="4" width="20.7109375" style="189" customWidth="1"/>
    <col min="5" max="5" width="12.7109375" style="189" customWidth="1"/>
    <col min="6" max="6" width="45.140625" style="189" customWidth="1"/>
    <col min="7" max="7" width="9.140625" style="189" customWidth="1"/>
    <col min="8" max="8" width="12" style="189" hidden="1" customWidth="1"/>
    <col min="9" max="18" width="9.140625" style="190" hidden="1" customWidth="1"/>
    <col min="19" max="19" width="8" style="190" hidden="1" customWidth="1"/>
    <col min="20" max="20" width="9.140625" style="190" hidden="1" customWidth="1"/>
    <col min="21" max="21" width="7.7109375" style="190" hidden="1" customWidth="1"/>
    <col min="22" max="22" width="9.140625" style="190" hidden="1" customWidth="1"/>
    <col min="23" max="23" width="5.5703125" style="190" hidden="1" customWidth="1"/>
    <col min="24" max="24" width="4.85546875" style="190" hidden="1" customWidth="1"/>
    <col min="25" max="25" width="9.140625" style="190" hidden="1" customWidth="1"/>
    <col min="26" max="26" width="66.7109375" style="190" hidden="1" customWidth="1"/>
    <col min="27" max="27" width="17.5703125" style="190" hidden="1" customWidth="1"/>
    <col min="28" max="28" width="20" style="190" hidden="1" customWidth="1"/>
    <col min="29" max="29" width="13.85546875" style="190" hidden="1" customWidth="1"/>
    <col min="30" max="30" width="9.140625" style="191" hidden="1" customWidth="1"/>
    <col min="31" max="31" width="9.140625" style="192" hidden="1" customWidth="1"/>
    <col min="32" max="32" width="13.7109375" style="192" hidden="1" customWidth="1"/>
    <col min="33" max="35" width="9.140625" style="191" hidden="1" customWidth="1"/>
    <col min="36" max="36" width="10.42578125" style="191" hidden="1" customWidth="1"/>
    <col min="37" max="41" width="9.140625" style="191" hidden="1" customWidth="1"/>
    <col min="42" max="16384" width="9.140625" style="190"/>
  </cols>
  <sheetData>
    <row r="1" spans="1:36" ht="24.75" customHeight="1">
      <c r="A1" s="186" t="str">
        <f>'Sch-1'!A1</f>
        <v>Spec No: NR1/NT/W-TW/DOM/I00/25/03940 (Rfx-5002004353)</v>
      </c>
      <c r="B1" s="186"/>
      <c r="C1" s="187"/>
      <c r="D1" s="187"/>
      <c r="E1" s="187"/>
      <c r="F1" s="188" t="s">
        <v>206</v>
      </c>
      <c r="Z1" s="190" t="str">
        <f>'[6]Names of Bidder'!D6</f>
        <v>Sole Bidder</v>
      </c>
      <c r="AE1" s="192">
        <v>1</v>
      </c>
      <c r="AF1" s="192" t="s">
        <v>207</v>
      </c>
      <c r="AI1" s="192">
        <v>1</v>
      </c>
      <c r="AJ1" s="191" t="s">
        <v>208</v>
      </c>
    </row>
    <row r="2" spans="1:36">
      <c r="B2" s="189"/>
      <c r="Z2" s="190">
        <f>'[6]Names of Bidder'!AA6</f>
        <v>0</v>
      </c>
      <c r="AE2" s="192">
        <v>2</v>
      </c>
      <c r="AF2" s="192" t="s">
        <v>209</v>
      </c>
      <c r="AI2" s="192">
        <v>2</v>
      </c>
      <c r="AJ2" s="191" t="s">
        <v>210</v>
      </c>
    </row>
    <row r="3" spans="1:36" ht="17.25">
      <c r="A3" s="1020" t="s">
        <v>211</v>
      </c>
      <c r="B3" s="1020"/>
      <c r="C3" s="1020"/>
      <c r="D3" s="1020"/>
      <c r="E3" s="1020"/>
      <c r="F3" s="1020"/>
      <c r="AE3" s="192">
        <v>3</v>
      </c>
      <c r="AF3" s="192" t="s">
        <v>212</v>
      </c>
      <c r="AI3" s="192">
        <v>3</v>
      </c>
      <c r="AJ3" s="191" t="s">
        <v>213</v>
      </c>
    </row>
    <row r="4" spans="1:36">
      <c r="A4" s="193"/>
      <c r="B4" s="193"/>
      <c r="C4" s="193"/>
      <c r="D4" s="193"/>
      <c r="E4" s="193"/>
      <c r="F4" s="193"/>
      <c r="AE4" s="192">
        <v>4</v>
      </c>
      <c r="AF4" s="192" t="s">
        <v>214</v>
      </c>
      <c r="AI4" s="192">
        <v>4</v>
      </c>
      <c r="AJ4" s="191" t="s">
        <v>215</v>
      </c>
    </row>
    <row r="5" spans="1:36">
      <c r="A5" s="194" t="s">
        <v>216</v>
      </c>
      <c r="C5" s="1021"/>
      <c r="D5" s="1021"/>
      <c r="E5" s="1021"/>
      <c r="F5" s="1021"/>
      <c r="AE5" s="192">
        <v>5</v>
      </c>
      <c r="AF5" s="192" t="s">
        <v>214</v>
      </c>
      <c r="AI5" s="192">
        <v>5</v>
      </c>
      <c r="AJ5" s="191" t="s">
        <v>217</v>
      </c>
    </row>
    <row r="6" spans="1:36">
      <c r="A6" s="194" t="s">
        <v>218</v>
      </c>
      <c r="B6" s="1022" t="str">
        <f>'Names of Bidder'!C22&amp;'Names of Bidder'!D22&amp;'Names of Bidder'!E22</f>
        <v/>
      </c>
      <c r="C6" s="1022"/>
      <c r="AE6" s="192">
        <v>6</v>
      </c>
      <c r="AF6" s="192" t="s">
        <v>214</v>
      </c>
      <c r="AG6" s="195" t="e">
        <f>DAY(B6)</f>
        <v>#VALUE!</v>
      </c>
      <c r="AI6" s="192">
        <v>6</v>
      </c>
      <c r="AJ6" s="191" t="s">
        <v>219</v>
      </c>
    </row>
    <row r="7" spans="1:36">
      <c r="A7" s="194"/>
      <c r="B7" s="196"/>
      <c r="C7" s="196"/>
      <c r="AE7" s="192">
        <v>7</v>
      </c>
      <c r="AF7" s="192" t="s">
        <v>214</v>
      </c>
      <c r="AG7" s="195" t="e">
        <f>MONTH(B6)</f>
        <v>#VALUE!</v>
      </c>
      <c r="AI7" s="192">
        <v>7</v>
      </c>
      <c r="AJ7" s="191" t="s">
        <v>220</v>
      </c>
    </row>
    <row r="8" spans="1:36">
      <c r="A8" s="197" t="s">
        <v>1</v>
      </c>
      <c r="B8" s="198"/>
      <c r="F8" s="199"/>
      <c r="AE8" s="192">
        <v>8</v>
      </c>
      <c r="AF8" s="192" t="s">
        <v>214</v>
      </c>
      <c r="AG8" s="195" t="e">
        <f>LOOKUP(AG7,AI1:AI12,AJ1:AJ12)</f>
        <v>#VALUE!</v>
      </c>
      <c r="AI8" s="192">
        <v>8</v>
      </c>
      <c r="AJ8" s="191" t="s">
        <v>221</v>
      </c>
    </row>
    <row r="9" spans="1:36">
      <c r="A9" s="200">
        <f>'Sch-1'!L8</f>
        <v>0</v>
      </c>
      <c r="B9" s="200"/>
      <c r="F9" s="199"/>
      <c r="AE9" s="192">
        <v>9</v>
      </c>
      <c r="AF9" s="192" t="s">
        <v>214</v>
      </c>
      <c r="AG9" s="195" t="e">
        <f>YEAR(B6)</f>
        <v>#VALUE!</v>
      </c>
      <c r="AI9" s="192">
        <v>9</v>
      </c>
      <c r="AJ9" s="191" t="s">
        <v>222</v>
      </c>
    </row>
    <row r="10" spans="1:36">
      <c r="A10" s="200" t="str">
        <f>'Sch-1'!K9</f>
        <v>Power Grid Corporation of India Ltd.,</v>
      </c>
      <c r="B10" s="200"/>
      <c r="F10" s="199"/>
      <c r="AE10" s="192">
        <v>10</v>
      </c>
      <c r="AF10" s="192" t="s">
        <v>214</v>
      </c>
      <c r="AI10" s="192">
        <v>10</v>
      </c>
      <c r="AJ10" s="191" t="s">
        <v>223</v>
      </c>
    </row>
    <row r="11" spans="1:36">
      <c r="A11" s="200" t="str">
        <f>'Sch-1'!K10</f>
        <v>"Saudamini", Plot No.-2</v>
      </c>
      <c r="B11" s="200"/>
      <c r="F11" s="199"/>
      <c r="AE11" s="192">
        <v>11</v>
      </c>
      <c r="AF11" s="192" t="s">
        <v>214</v>
      </c>
      <c r="AI11" s="192">
        <v>11</v>
      </c>
      <c r="AJ11" s="191" t="s">
        <v>224</v>
      </c>
    </row>
    <row r="12" spans="1:36">
      <c r="A12" s="200" t="str">
        <f>'Sch-1'!K11</f>
        <v xml:space="preserve">Sector-29, </v>
      </c>
      <c r="B12" s="200"/>
      <c r="F12" s="199"/>
      <c r="AE12" s="192">
        <v>12</v>
      </c>
      <c r="AF12" s="192" t="s">
        <v>214</v>
      </c>
      <c r="AI12" s="192">
        <v>12</v>
      </c>
      <c r="AJ12" s="191" t="s">
        <v>225</v>
      </c>
    </row>
    <row r="13" spans="1:36">
      <c r="A13" s="200" t="str">
        <f>'Sch-1'!K12</f>
        <v>Gurugram (Haryana) - 122001</v>
      </c>
      <c r="B13" s="200"/>
      <c r="F13" s="199"/>
      <c r="AE13" s="192">
        <v>13</v>
      </c>
      <c r="AF13" s="192" t="s">
        <v>214</v>
      </c>
    </row>
    <row r="14" spans="1:36" ht="22.5" customHeight="1">
      <c r="A14" s="194"/>
      <c r="F14" s="199"/>
      <c r="AE14" s="192">
        <v>14</v>
      </c>
      <c r="AF14" s="192" t="s">
        <v>214</v>
      </c>
    </row>
    <row r="15" spans="1:36" ht="87.75" customHeight="1">
      <c r="A15" s="463" t="s">
        <v>226</v>
      </c>
      <c r="B15" s="464"/>
      <c r="C15" s="1023" t="str">
        <f>Cover!B2</f>
        <v>Transmission Line package TW02 for Diversion / modification of various POWERGRID’s 400kV Transmission Lines due to upcoming Green Field Airport at Kota under Consultancy Services to Kota Development Authority, Kota</v>
      </c>
      <c r="D15" s="1023"/>
      <c r="E15" s="1023"/>
      <c r="F15" s="1023"/>
      <c r="AE15" s="192">
        <v>15</v>
      </c>
      <c r="AF15" s="192" t="s">
        <v>214</v>
      </c>
    </row>
    <row r="16" spans="1:36" ht="27.75" customHeight="1">
      <c r="A16" s="189" t="s">
        <v>227</v>
      </c>
      <c r="B16" s="189"/>
      <c r="C16" s="199"/>
      <c r="D16" s="199"/>
      <c r="E16" s="199"/>
      <c r="F16" s="199"/>
      <c r="AE16" s="192">
        <v>16</v>
      </c>
      <c r="AF16" s="192" t="s">
        <v>214</v>
      </c>
    </row>
    <row r="17" spans="1:41" ht="99.75" customHeight="1">
      <c r="A17" s="202">
        <v>1</v>
      </c>
      <c r="B17" s="1018"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018"/>
      <c r="D17" s="1018"/>
      <c r="E17" s="1018"/>
      <c r="F17" s="1018"/>
      <c r="H17" s="535" t="s">
        <v>293</v>
      </c>
      <c r="Z17" s="203"/>
      <c r="AA17" s="204"/>
      <c r="AB17" s="205"/>
      <c r="AC17" s="206"/>
      <c r="AE17" s="192">
        <v>17</v>
      </c>
      <c r="AF17" s="192" t="s">
        <v>214</v>
      </c>
    </row>
    <row r="18" spans="1:41" ht="24.75" customHeight="1">
      <c r="A18" s="202"/>
      <c r="B18" s="1018"/>
      <c r="C18" s="1018"/>
      <c r="D18" s="1018"/>
      <c r="E18" s="1018"/>
      <c r="F18" s="1018"/>
      <c r="H18" s="205">
        <f>ROUND('Sch-6 (After Discount)'!D28,2)</f>
        <v>0</v>
      </c>
      <c r="I18" s="190" t="s">
        <v>460</v>
      </c>
      <c r="Z18" s="203"/>
      <c r="AA18" s="204"/>
      <c r="AB18" s="205"/>
      <c r="AC18" s="206"/>
    </row>
    <row r="19" spans="1:41" ht="13.5" customHeight="1">
      <c r="A19" s="202"/>
      <c r="B19" s="1018"/>
      <c r="C19" s="1018"/>
      <c r="D19" s="1018"/>
      <c r="E19" s="1018"/>
      <c r="F19" s="1018"/>
      <c r="H19" s="536" t="str">
        <f>'N-W (Cr.)'!P4</f>
        <v/>
      </c>
      <c r="N19" s="190" t="s">
        <v>459</v>
      </c>
      <c r="Z19" s="203"/>
      <c r="AA19" s="204"/>
      <c r="AB19" s="205"/>
      <c r="AC19" s="206"/>
    </row>
    <row r="20" spans="1:41" ht="39" customHeight="1">
      <c r="B20" s="1019" t="s">
        <v>228</v>
      </c>
      <c r="C20" s="1019"/>
      <c r="D20" s="1019"/>
      <c r="E20" s="1019"/>
      <c r="F20" s="1019"/>
      <c r="H20" s="189" t="s">
        <v>292</v>
      </c>
      <c r="AE20" s="192">
        <v>18</v>
      </c>
      <c r="AF20" s="192" t="s">
        <v>214</v>
      </c>
    </row>
    <row r="21" spans="1:41" s="189" customFormat="1" ht="27.75" customHeight="1">
      <c r="A21" s="207">
        <v>2</v>
      </c>
      <c r="B21" s="1017" t="s">
        <v>229</v>
      </c>
      <c r="C21" s="1017"/>
      <c r="D21" s="1017"/>
      <c r="E21" s="1017"/>
      <c r="F21" s="1017"/>
      <c r="AD21" s="208"/>
      <c r="AE21" s="192">
        <v>19</v>
      </c>
      <c r="AF21" s="192" t="s">
        <v>214</v>
      </c>
      <c r="AG21" s="208"/>
      <c r="AH21" s="208"/>
      <c r="AI21" s="208"/>
      <c r="AJ21" s="208"/>
      <c r="AK21" s="208"/>
      <c r="AL21" s="208"/>
      <c r="AM21" s="208"/>
      <c r="AN21" s="208"/>
      <c r="AO21" s="208"/>
    </row>
    <row r="22" spans="1:41" ht="39.75" customHeight="1">
      <c r="A22" s="202">
        <v>2.1</v>
      </c>
      <c r="B22" s="1015" t="s">
        <v>230</v>
      </c>
      <c r="C22" s="1015"/>
      <c r="D22" s="1015"/>
      <c r="E22" s="1015"/>
      <c r="F22" s="1015"/>
      <c r="AE22" s="192">
        <v>20</v>
      </c>
      <c r="AF22" s="192" t="s">
        <v>214</v>
      </c>
    </row>
    <row r="23" spans="1:41" ht="36.75" customHeight="1">
      <c r="B23" s="1014" t="s">
        <v>231</v>
      </c>
      <c r="C23" s="1014"/>
      <c r="D23" s="1015" t="s">
        <v>232</v>
      </c>
      <c r="E23" s="1015"/>
      <c r="F23" s="1015"/>
      <c r="AE23" s="192">
        <v>21</v>
      </c>
      <c r="AF23" s="192" t="s">
        <v>207</v>
      </c>
    </row>
    <row r="24" spans="1:41" ht="33" customHeight="1">
      <c r="B24" s="1014" t="s">
        <v>233</v>
      </c>
      <c r="C24" s="1014"/>
      <c r="D24" s="201" t="s">
        <v>294</v>
      </c>
      <c r="E24" s="201"/>
      <c r="F24" s="201"/>
      <c r="AE24" s="192">
        <v>22</v>
      </c>
      <c r="AF24" s="192" t="s">
        <v>214</v>
      </c>
    </row>
    <row r="25" spans="1:41" ht="27.95" customHeight="1">
      <c r="B25" s="1014" t="s">
        <v>234</v>
      </c>
      <c r="C25" s="1014"/>
      <c r="D25" s="201" t="s">
        <v>235</v>
      </c>
      <c r="E25" s="201"/>
      <c r="F25" s="201"/>
      <c r="H25" s="208" t="str">
        <f>'[6]Names of Bidder'!D6</f>
        <v>Sole Bidder</v>
      </c>
      <c r="AE25" s="192">
        <v>23</v>
      </c>
      <c r="AF25" s="192" t="s">
        <v>214</v>
      </c>
    </row>
    <row r="26" spans="1:41" ht="27.95" customHeight="1">
      <c r="B26" s="1014" t="s">
        <v>236</v>
      </c>
      <c r="C26" s="1014"/>
      <c r="D26" s="201" t="s">
        <v>469</v>
      </c>
      <c r="E26" s="201"/>
      <c r="F26" s="201"/>
      <c r="AE26" s="192">
        <v>24</v>
      </c>
      <c r="AF26" s="192" t="s">
        <v>214</v>
      </c>
    </row>
    <row r="27" spans="1:41" ht="27.95" customHeight="1">
      <c r="B27" s="1014" t="s">
        <v>237</v>
      </c>
      <c r="C27" s="1014"/>
      <c r="D27" s="201" t="s">
        <v>470</v>
      </c>
      <c r="E27" s="201"/>
      <c r="F27" s="201"/>
      <c r="AE27" s="192">
        <v>25</v>
      </c>
      <c r="AF27" s="192" t="s">
        <v>214</v>
      </c>
    </row>
    <row r="28" spans="1:41" ht="27.95" customHeight="1">
      <c r="B28" s="1014" t="s">
        <v>238</v>
      </c>
      <c r="C28" s="1014"/>
      <c r="D28" s="201" t="s">
        <v>239</v>
      </c>
      <c r="E28" s="201"/>
      <c r="F28" s="201"/>
      <c r="AE28" s="192">
        <v>26</v>
      </c>
      <c r="AF28" s="192" t="s">
        <v>214</v>
      </c>
    </row>
    <row r="29" spans="1:41" ht="44.25" customHeight="1">
      <c r="B29" s="1014" t="s">
        <v>30</v>
      </c>
      <c r="C29" s="1014"/>
      <c r="D29" s="1016" t="s">
        <v>472</v>
      </c>
      <c r="E29" s="1016"/>
      <c r="F29" s="1016"/>
      <c r="AE29" s="192">
        <v>27</v>
      </c>
      <c r="AF29" s="192" t="s">
        <v>214</v>
      </c>
    </row>
    <row r="30" spans="1:41" ht="98.25" customHeight="1">
      <c r="A30" s="209">
        <v>2.2000000000000002</v>
      </c>
      <c r="B30" s="1015" t="s">
        <v>240</v>
      </c>
      <c r="C30" s="1015"/>
      <c r="D30" s="1015"/>
      <c r="E30" s="1015"/>
      <c r="F30" s="1015"/>
      <c r="AE30" s="192">
        <v>28</v>
      </c>
      <c r="AF30" s="192" t="s">
        <v>214</v>
      </c>
    </row>
    <row r="31" spans="1:41" ht="68.25" customHeight="1">
      <c r="A31" s="209">
        <v>2.2999999999999998</v>
      </c>
      <c r="B31" s="1015" t="s">
        <v>489</v>
      </c>
      <c r="C31" s="1015"/>
      <c r="D31" s="1015"/>
      <c r="E31" s="1015"/>
      <c r="F31" s="1015"/>
      <c r="AE31" s="192">
        <v>29</v>
      </c>
      <c r="AF31" s="192" t="s">
        <v>214</v>
      </c>
    </row>
    <row r="32" spans="1:41" ht="129.75" customHeight="1">
      <c r="A32" s="209">
        <v>2.4</v>
      </c>
      <c r="B32" s="1015" t="s">
        <v>241</v>
      </c>
      <c r="C32" s="1015"/>
      <c r="D32" s="1015"/>
      <c r="E32" s="1015"/>
      <c r="F32" s="1015"/>
      <c r="AE32" s="192">
        <v>30</v>
      </c>
      <c r="AF32" s="192" t="s">
        <v>214</v>
      </c>
    </row>
    <row r="33" spans="1:32" ht="79.5" customHeight="1">
      <c r="A33" s="209">
        <v>2.5</v>
      </c>
      <c r="B33" s="1015" t="s">
        <v>242</v>
      </c>
      <c r="C33" s="1015"/>
      <c r="D33" s="1015"/>
      <c r="E33" s="1015"/>
      <c r="F33" s="1015"/>
      <c r="AE33" s="192">
        <v>31</v>
      </c>
      <c r="AF33" s="192" t="s">
        <v>207</v>
      </c>
    </row>
    <row r="34" spans="1:32" ht="81" customHeight="1">
      <c r="A34" s="202">
        <v>3</v>
      </c>
      <c r="B34" s="1015" t="s">
        <v>468</v>
      </c>
      <c r="C34" s="1015"/>
      <c r="D34" s="1015"/>
      <c r="E34" s="1015"/>
      <c r="F34" s="1015"/>
    </row>
    <row r="35" spans="1:32" ht="63" customHeight="1">
      <c r="A35" s="202">
        <v>3.1</v>
      </c>
      <c r="B35" s="1016" t="s">
        <v>295</v>
      </c>
      <c r="C35" s="1016"/>
      <c r="D35" s="1016"/>
      <c r="E35" s="1016"/>
      <c r="F35" s="1016"/>
    </row>
    <row r="36" spans="1:32" ht="114" customHeight="1">
      <c r="A36" s="209">
        <v>3.2</v>
      </c>
      <c r="B36" s="1015" t="s">
        <v>296</v>
      </c>
      <c r="C36" s="1015"/>
      <c r="D36" s="1015"/>
      <c r="E36" s="1015"/>
      <c r="F36" s="1015"/>
    </row>
    <row r="37" spans="1:32" ht="65.25" customHeight="1">
      <c r="A37" s="209">
        <v>3.3</v>
      </c>
      <c r="B37" s="1015" t="s">
        <v>297</v>
      </c>
      <c r="C37" s="1015"/>
      <c r="D37" s="1015"/>
      <c r="E37" s="1015"/>
      <c r="F37" s="1015"/>
    </row>
    <row r="38" spans="1:32" ht="66" customHeight="1">
      <c r="A38" s="202">
        <v>4</v>
      </c>
      <c r="B38" s="1015" t="s">
        <v>243</v>
      </c>
      <c r="C38" s="1015"/>
      <c r="D38" s="1015"/>
      <c r="E38" s="1015"/>
      <c r="F38" s="1015"/>
    </row>
    <row r="39" spans="1:32" ht="93" customHeight="1">
      <c r="A39" s="202">
        <v>5</v>
      </c>
      <c r="B39" s="1015" t="s">
        <v>244</v>
      </c>
      <c r="C39" s="1015"/>
      <c r="D39" s="1015"/>
      <c r="E39" s="1015"/>
      <c r="F39" s="1015"/>
    </row>
    <row r="40" spans="1:32" ht="20.25" customHeight="1">
      <c r="B40" s="69" t="str">
        <f>IF(ISERROR("Dated this " &amp; AG6 &amp; LOOKUP(AG6,AE1:AE33,AF1:AF33) &amp; " day of " &amp; AG8 &amp; " " &amp;AG9), "", "Dated this " &amp; AG6 &amp; LOOKUP(AG6,AE1:AE33,AF1:AF33) &amp; " day of " &amp; AG8 &amp; " " &amp;AG9)</f>
        <v/>
      </c>
      <c r="C40" s="69"/>
      <c r="D40" s="69"/>
      <c r="E40" s="210"/>
      <c r="F40" s="210"/>
    </row>
    <row r="41" spans="1:32" ht="30" customHeight="1">
      <c r="B41" s="69" t="s">
        <v>178</v>
      </c>
      <c r="C41" s="18"/>
      <c r="D41" s="67"/>
      <c r="E41" s="67"/>
      <c r="F41" s="67"/>
    </row>
    <row r="42" spans="1:32" ht="20.25" customHeight="1">
      <c r="B42" s="211"/>
      <c r="C42" s="67"/>
      <c r="D42" s="67"/>
      <c r="E42" s="69"/>
      <c r="F42" s="212" t="s">
        <v>179</v>
      </c>
    </row>
    <row r="43" spans="1:32" ht="18" customHeight="1">
      <c r="B43" s="211"/>
      <c r="C43" s="67"/>
      <c r="D43" s="69"/>
      <c r="E43" s="69"/>
      <c r="F43" s="212" t="str">
        <f>"For and on behalf of " &amp; '[6]Sch-1'!B8</f>
        <v>For and on behalf of test</v>
      </c>
    </row>
    <row r="44" spans="1:32" ht="30" customHeight="1">
      <c r="A44" s="190"/>
      <c r="B44" s="190"/>
      <c r="C44" s="213"/>
      <c r="D44" s="190"/>
      <c r="E44" s="214" t="s">
        <v>245</v>
      </c>
      <c r="F44" s="194"/>
    </row>
    <row r="45" spans="1:32" ht="30" customHeight="1">
      <c r="A45" s="215" t="s">
        <v>180</v>
      </c>
      <c r="B45" s="1029" t="str">
        <f>Discount!C39</f>
        <v xml:space="preserve">  </v>
      </c>
      <c r="C45" s="1022"/>
      <c r="D45" s="190"/>
      <c r="E45" s="214" t="s">
        <v>181</v>
      </c>
      <c r="F45" s="367">
        <f>Discount!F39</f>
        <v>0</v>
      </c>
    </row>
    <row r="46" spans="1:32" ht="30" customHeight="1">
      <c r="A46" s="215" t="s">
        <v>182</v>
      </c>
      <c r="B46" s="1024" t="str">
        <f>Discount!C40</f>
        <v/>
      </c>
      <c r="C46" s="1022"/>
      <c r="D46" s="190"/>
      <c r="E46" s="214" t="s">
        <v>183</v>
      </c>
      <c r="F46" s="367">
        <f>Discount!F40</f>
        <v>0</v>
      </c>
    </row>
    <row r="47" spans="1:32" ht="30" customHeight="1">
      <c r="B47" s="189"/>
      <c r="D47" s="190"/>
      <c r="E47" s="214" t="s">
        <v>246</v>
      </c>
    </row>
    <row r="48" spans="1:32" ht="30" customHeight="1">
      <c r="A48" s="1026" t="str">
        <f>IF(H25="Sole Bidder", "", "In case of bid from a Joint Venture, name &amp; designation of representative of JV partner is to be provided and Bid Form is also to be signed by him.")</f>
        <v/>
      </c>
      <c r="B48" s="1026"/>
      <c r="C48" s="1026"/>
      <c r="D48" s="1026"/>
      <c r="E48" s="1026"/>
      <c r="F48" s="1026"/>
    </row>
    <row r="49" spans="1:41" s="189" customFormat="1" ht="33" customHeight="1">
      <c r="A49" s="216" t="s">
        <v>247</v>
      </c>
      <c r="B49" s="217"/>
      <c r="C49" s="218"/>
      <c r="D49" s="69"/>
      <c r="E49" s="212"/>
      <c r="F49" s="69"/>
      <c r="H49" s="194"/>
      <c r="AD49" s="208"/>
      <c r="AE49" s="192"/>
      <c r="AF49" s="192"/>
      <c r="AG49" s="208"/>
      <c r="AH49" s="208"/>
      <c r="AI49" s="208"/>
      <c r="AJ49" s="208"/>
      <c r="AK49" s="208"/>
      <c r="AL49" s="208"/>
      <c r="AM49" s="208"/>
      <c r="AN49" s="208"/>
      <c r="AO49" s="208"/>
    </row>
    <row r="50" spans="1:41" s="189" customFormat="1" ht="33" customHeight="1">
      <c r="A50" s="1031" t="s">
        <v>248</v>
      </c>
      <c r="B50" s="1031"/>
      <c r="C50" s="1031"/>
      <c r="D50" s="1025"/>
      <c r="E50" s="1025"/>
      <c r="F50" s="1025"/>
      <c r="H50" s="194"/>
      <c r="AD50" s="208"/>
      <c r="AE50" s="192"/>
      <c r="AF50" s="192"/>
      <c r="AG50" s="208"/>
      <c r="AH50" s="208"/>
      <c r="AI50" s="208"/>
      <c r="AJ50" s="208"/>
      <c r="AK50" s="208"/>
      <c r="AL50" s="208"/>
      <c r="AM50" s="208"/>
      <c r="AN50" s="208"/>
      <c r="AO50" s="208"/>
    </row>
    <row r="51" spans="1:41" s="189" customFormat="1" ht="33" customHeight="1">
      <c r="A51" s="1027"/>
      <c r="B51" s="1027"/>
      <c r="C51" s="1027"/>
      <c r="D51" s="219"/>
      <c r="E51" s="219"/>
      <c r="F51" s="219"/>
      <c r="H51" s="194"/>
      <c r="AD51" s="208"/>
      <c r="AE51" s="192"/>
      <c r="AF51" s="192"/>
      <c r="AG51" s="208"/>
      <c r="AH51" s="208"/>
      <c r="AI51" s="208"/>
      <c r="AJ51" s="208"/>
      <c r="AK51" s="208"/>
      <c r="AL51" s="208"/>
      <c r="AM51" s="208"/>
      <c r="AN51" s="208"/>
      <c r="AO51" s="208"/>
    </row>
    <row r="52" spans="1:41" s="189" customFormat="1" ht="33" customHeight="1">
      <c r="A52" s="1028"/>
      <c r="B52" s="1028"/>
      <c r="C52" s="1028"/>
      <c r="D52" s="219"/>
      <c r="E52" s="219"/>
      <c r="F52" s="219"/>
      <c r="H52" s="194"/>
      <c r="AD52" s="208"/>
      <c r="AE52" s="192"/>
      <c r="AF52" s="192"/>
      <c r="AG52" s="208"/>
      <c r="AH52" s="208"/>
      <c r="AI52" s="208"/>
      <c r="AJ52" s="208"/>
      <c r="AK52" s="208"/>
      <c r="AL52" s="208"/>
      <c r="AM52" s="208"/>
      <c r="AN52" s="208"/>
      <c r="AO52" s="208"/>
    </row>
    <row r="53" spans="1:41" s="189" customFormat="1" ht="33" customHeight="1">
      <c r="A53" s="1030" t="s">
        <v>249</v>
      </c>
      <c r="B53" s="1030"/>
      <c r="C53" s="1030"/>
      <c r="D53" s="1025"/>
      <c r="E53" s="1025"/>
      <c r="F53" s="1025"/>
      <c r="H53" s="194"/>
      <c r="AD53" s="208"/>
      <c r="AE53" s="192"/>
      <c r="AF53" s="192"/>
      <c r="AG53" s="208"/>
      <c r="AH53" s="208"/>
      <c r="AI53" s="208"/>
      <c r="AJ53" s="208"/>
      <c r="AK53" s="208"/>
      <c r="AL53" s="208"/>
      <c r="AM53" s="208"/>
      <c r="AN53" s="208"/>
      <c r="AO53" s="208"/>
    </row>
    <row r="54" spans="1:41" s="189" customFormat="1" ht="33" customHeight="1">
      <c r="A54" s="1030" t="s">
        <v>250</v>
      </c>
      <c r="B54" s="1030"/>
      <c r="C54" s="1030"/>
      <c r="D54" s="1025"/>
      <c r="E54" s="1025"/>
      <c r="F54" s="1025"/>
      <c r="H54" s="194"/>
      <c r="AD54" s="208"/>
      <c r="AE54" s="192"/>
      <c r="AF54" s="192"/>
      <c r="AG54" s="208"/>
      <c r="AH54" s="208"/>
      <c r="AI54" s="208"/>
      <c r="AJ54" s="208"/>
      <c r="AK54" s="208"/>
      <c r="AL54" s="208"/>
      <c r="AM54" s="208"/>
      <c r="AN54" s="208"/>
      <c r="AO54" s="208"/>
    </row>
    <row r="55" spans="1:41" s="189" customFormat="1" ht="33" customHeight="1">
      <c r="A55" s="1030" t="s">
        <v>251</v>
      </c>
      <c r="B55" s="1030"/>
      <c r="C55" s="1030"/>
      <c r="D55" s="1025"/>
      <c r="E55" s="1025"/>
      <c r="F55" s="1025"/>
      <c r="H55" s="194"/>
      <c r="AD55" s="208"/>
      <c r="AE55" s="192"/>
      <c r="AF55" s="192"/>
      <c r="AG55" s="208"/>
      <c r="AH55" s="208"/>
      <c r="AI55" s="208"/>
      <c r="AJ55" s="208"/>
      <c r="AK55" s="208"/>
      <c r="AL55" s="208"/>
      <c r="AM55" s="208"/>
      <c r="AN55" s="208"/>
      <c r="AO55" s="208"/>
    </row>
    <row r="56" spans="1:41" s="189" customFormat="1" ht="33" customHeight="1">
      <c r="A56" s="1031" t="s">
        <v>252</v>
      </c>
      <c r="B56" s="1031"/>
      <c r="C56" s="1031"/>
      <c r="D56" s="1025"/>
      <c r="E56" s="1025"/>
      <c r="F56" s="1025"/>
      <c r="H56" s="194"/>
      <c r="AD56" s="208"/>
      <c r="AE56" s="192"/>
      <c r="AF56" s="192"/>
      <c r="AG56" s="208"/>
      <c r="AH56" s="208"/>
      <c r="AI56" s="208"/>
      <c r="AJ56" s="208"/>
      <c r="AK56" s="208"/>
      <c r="AL56" s="208"/>
      <c r="AM56" s="208"/>
      <c r="AN56" s="208"/>
      <c r="AO56" s="208"/>
    </row>
    <row r="57" spans="1:41" s="189" customFormat="1" ht="33" customHeight="1">
      <c r="A57" s="1027"/>
      <c r="B57" s="1027"/>
      <c r="C57" s="1027"/>
      <c r="D57" s="219"/>
      <c r="E57" s="219"/>
      <c r="F57" s="219"/>
      <c r="H57" s="194"/>
      <c r="AD57" s="208"/>
      <c r="AE57" s="192"/>
      <c r="AF57" s="192"/>
      <c r="AG57" s="208"/>
      <c r="AH57" s="208"/>
      <c r="AI57" s="208"/>
      <c r="AJ57" s="208"/>
      <c r="AK57" s="208"/>
      <c r="AL57" s="208"/>
      <c r="AM57" s="208"/>
      <c r="AN57" s="208"/>
      <c r="AO57" s="208"/>
    </row>
    <row r="58" spans="1:41" s="189" customFormat="1" ht="33" customHeight="1">
      <c r="A58" s="1028"/>
      <c r="B58" s="1028"/>
      <c r="C58" s="1028"/>
      <c r="D58" s="219"/>
      <c r="E58" s="219"/>
      <c r="F58" s="219"/>
      <c r="H58" s="194"/>
      <c r="AD58" s="208"/>
      <c r="AE58" s="192"/>
      <c r="AF58" s="192"/>
      <c r="AG58" s="208"/>
      <c r="AH58" s="208"/>
      <c r="AI58" s="208"/>
      <c r="AJ58" s="208"/>
      <c r="AK58" s="208"/>
      <c r="AL58" s="208"/>
      <c r="AM58" s="208"/>
      <c r="AN58" s="208"/>
      <c r="AO58" s="208"/>
    </row>
    <row r="59" spans="1:41" s="189" customFormat="1" ht="60.75" customHeight="1">
      <c r="A59" s="1033"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1033"/>
      <c r="C59" s="1033"/>
      <c r="D59" s="1033"/>
      <c r="E59" s="1033"/>
      <c r="F59" s="1033"/>
      <c r="H59" s="194"/>
      <c r="AD59" s="208"/>
      <c r="AE59" s="192"/>
      <c r="AF59" s="192"/>
      <c r="AG59" s="208"/>
      <c r="AH59" s="208"/>
      <c r="AI59" s="208"/>
      <c r="AJ59" s="208"/>
      <c r="AK59" s="208"/>
      <c r="AL59" s="208"/>
      <c r="AM59" s="208"/>
      <c r="AN59" s="208"/>
      <c r="AO59" s="208"/>
    </row>
    <row r="60" spans="1:41" s="189" customFormat="1" ht="33" customHeight="1">
      <c r="A60" s="1032" t="s">
        <v>114</v>
      </c>
      <c r="B60" s="1032"/>
      <c r="C60" s="1032"/>
      <c r="D60" s="1032"/>
      <c r="E60" s="1032"/>
      <c r="F60" s="1032"/>
      <c r="H60" s="194"/>
      <c r="AD60" s="208"/>
      <c r="AE60" s="192"/>
      <c r="AF60" s="192"/>
      <c r="AG60" s="208"/>
      <c r="AH60" s="208"/>
      <c r="AI60" s="208"/>
      <c r="AJ60" s="208"/>
      <c r="AK60" s="208"/>
      <c r="AL60" s="208"/>
      <c r="AM60" s="208"/>
      <c r="AN60" s="208"/>
      <c r="AO60" s="208"/>
    </row>
    <row r="61" spans="1:41">
      <c r="A61" s="194"/>
    </row>
    <row r="62" spans="1:41">
      <c r="A62" s="194"/>
    </row>
    <row r="63" spans="1:41">
      <c r="A63" s="194"/>
    </row>
    <row r="64" spans="1:41">
      <c r="A64" s="194"/>
    </row>
    <row r="65" spans="1:1">
      <c r="A65" s="194"/>
    </row>
    <row r="66" spans="1:1">
      <c r="A66" s="194"/>
    </row>
    <row r="67" spans="1:1">
      <c r="A67" s="194"/>
    </row>
    <row r="68" spans="1:1">
      <c r="A68" s="194"/>
    </row>
    <row r="69" spans="1:1">
      <c r="A69" s="194"/>
    </row>
    <row r="70" spans="1:1">
      <c r="A70" s="194"/>
    </row>
    <row r="71" spans="1:1">
      <c r="A71" s="194"/>
    </row>
    <row r="72" spans="1:1">
      <c r="A72" s="194"/>
    </row>
  </sheetData>
  <sheetProtection formatColumns="0" formatRows="0" selectLockedCells="1"/>
  <customSheetViews>
    <customSheetView guid="{ADF3F130-0A37-42E7-A525-50C5A6B01A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3"/>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4"/>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8"/>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11"/>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12"/>
      <headerFooter alignWithMargins="0">
        <oddFooter>&amp;R&amp;"Book Antiqua,Bold"&amp;8Bid Form (1st Envelope)  / Page &amp;P of &amp;N</oddFooter>
      </headerFooter>
    </customSheetView>
    <customSheetView guid="{1211E1B9-FC37-4364-9CF0-0FFC018667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3"/>
      <headerFooter alignWithMargins="0">
        <oddFooter>&amp;R&amp;"Book Antiqua,Bold"&amp;8Bid Form (1st Envelope)  / Page &amp;P of &amp;N</oddFooter>
      </headerFooter>
    </customSheetView>
  </customSheetViews>
  <mergeCells count="46">
    <mergeCell ref="A54:C54"/>
    <mergeCell ref="A60:F60"/>
    <mergeCell ref="A55:C55"/>
    <mergeCell ref="D55:F55"/>
    <mergeCell ref="A56:C56"/>
    <mergeCell ref="D56:F56"/>
    <mergeCell ref="A58:C58"/>
    <mergeCell ref="A59:F59"/>
    <mergeCell ref="A57:C57"/>
    <mergeCell ref="D54:F54"/>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s>
  <pageMargins left="0.75" right="0.77" top="0.62" bottom="0.61" header="0.39" footer="0.32"/>
  <pageSetup scale="73" fitToHeight="3" orientation="portrait" r:id="rId14"/>
  <headerFooter alignWithMargins="0">
    <oddFooter>&amp;R&amp;"Book Antiqua,Bold"&amp;8Bid Form (1st Envelope)  / Page &amp;P of &amp;N</oddFooter>
  </headerFooter>
  <rowBreaks count="1" manualBreakCount="1">
    <brk id="48"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SheetLayoutView="100" workbookViewId="0">
      <selection activeCell="I8" sqref="I8"/>
    </sheetView>
  </sheetViews>
  <sheetFormatPr defaultRowHeight="13.5"/>
  <cols>
    <col min="1" max="1" width="9.85546875" style="40" customWidth="1"/>
    <col min="2" max="2" width="12.7109375" style="40" customWidth="1"/>
    <col min="3" max="4" width="44.140625" style="40" customWidth="1"/>
    <col min="5" max="5" width="12.85546875" style="40" customWidth="1"/>
    <col min="6" max="6" width="9.85546875" style="28" customWidth="1"/>
    <col min="7" max="7" width="9.140625" style="28" customWidth="1"/>
    <col min="8" max="8" width="23.140625" style="28" customWidth="1"/>
    <col min="9" max="9" width="9.140625" style="28" customWidth="1"/>
    <col min="10" max="16384" width="9.140625" style="24"/>
  </cols>
  <sheetData>
    <row r="1" spans="1:10" ht="30.75" customHeight="1">
      <c r="A1" s="20"/>
      <c r="B1" s="810"/>
      <c r="C1" s="811"/>
      <c r="D1" s="811"/>
      <c r="E1" s="812"/>
      <c r="F1" s="21"/>
      <c r="G1" s="565" t="s">
        <v>477</v>
      </c>
      <c r="H1" s="566"/>
      <c r="I1" s="22"/>
      <c r="J1" s="23"/>
    </row>
    <row r="2" spans="1:10" ht="99.75" customHeight="1">
      <c r="A2" s="813" t="s">
        <v>43</v>
      </c>
      <c r="B2" s="816" t="str">
        <f>Basic!B1</f>
        <v>Transmission Line package TW02 for Diversion / modification of various POWERGRID’s 400kV Transmission Lines due to upcoming Green Field Airport at Kota under Consultancy Services to Kota Development Authority, Kota</v>
      </c>
      <c r="C2" s="817"/>
      <c r="D2" s="817"/>
      <c r="E2" s="818"/>
      <c r="F2" s="813" t="s">
        <v>478</v>
      </c>
      <c r="G2" s="22"/>
      <c r="H2" s="22"/>
      <c r="I2" s="22"/>
      <c r="J2" s="23"/>
    </row>
    <row r="3" spans="1:10" ht="23.25" customHeight="1">
      <c r="A3" s="814"/>
      <c r="B3" s="819" t="str">
        <f>Basic!B5</f>
        <v>Spec No: NR1/NT/W-TW/DOM/I00/25/03940 (Rfx-5002004353)</v>
      </c>
      <c r="C3" s="820"/>
      <c r="D3" s="820"/>
      <c r="E3" s="821"/>
      <c r="F3" s="814"/>
      <c r="G3" s="22"/>
      <c r="H3" s="22"/>
      <c r="I3" s="22"/>
      <c r="J3" s="23"/>
    </row>
    <row r="4" spans="1:10" ht="39.950000000000003" customHeight="1">
      <c r="A4" s="814"/>
      <c r="B4" s="25">
        <v>1</v>
      </c>
      <c r="C4" s="822" t="s">
        <v>44</v>
      </c>
      <c r="D4" s="822"/>
      <c r="E4" s="823"/>
      <c r="F4" s="814"/>
      <c r="G4" s="26"/>
      <c r="H4" s="27" t="s">
        <v>45</v>
      </c>
      <c r="I4" s="22"/>
      <c r="J4" s="23"/>
    </row>
    <row r="5" spans="1:10" ht="30" customHeight="1">
      <c r="A5" s="814"/>
      <c r="B5" s="25">
        <v>2</v>
      </c>
      <c r="C5" s="822" t="s">
        <v>46</v>
      </c>
      <c r="D5" s="822"/>
      <c r="E5" s="823"/>
      <c r="F5" s="814"/>
      <c r="G5" s="22"/>
      <c r="H5" s="22"/>
      <c r="I5" s="22"/>
      <c r="J5" s="23"/>
    </row>
    <row r="6" spans="1:10" s="28" customFormat="1" ht="30" customHeight="1">
      <c r="A6" s="814"/>
      <c r="B6" s="25">
        <v>3</v>
      </c>
      <c r="C6" s="822" t="s">
        <v>47</v>
      </c>
      <c r="D6" s="822"/>
      <c r="E6" s="823"/>
      <c r="F6" s="814"/>
      <c r="G6" s="22"/>
      <c r="H6" s="22"/>
      <c r="I6" s="22"/>
      <c r="J6" s="22"/>
    </row>
    <row r="7" spans="1:10" ht="52.5" hidden="1" customHeight="1">
      <c r="A7" s="814"/>
      <c r="B7" s="25">
        <v>4</v>
      </c>
      <c r="C7" s="822" t="s">
        <v>48</v>
      </c>
      <c r="D7" s="822"/>
      <c r="E7" s="823"/>
      <c r="F7" s="814"/>
      <c r="G7" s="22"/>
      <c r="H7" s="22"/>
      <c r="I7" s="22"/>
      <c r="J7" s="23"/>
    </row>
    <row r="8" spans="1:10" ht="9.75" customHeight="1">
      <c r="A8" s="814"/>
      <c r="B8" s="29"/>
      <c r="C8" s="30"/>
      <c r="D8" s="30"/>
      <c r="E8" s="31"/>
      <c r="F8" s="814"/>
      <c r="G8" s="22"/>
      <c r="H8" s="22"/>
      <c r="I8" s="22"/>
      <c r="J8" s="23"/>
    </row>
    <row r="9" spans="1:10" ht="23.25" customHeight="1">
      <c r="A9" s="814"/>
      <c r="B9" s="824"/>
      <c r="C9" s="825"/>
      <c r="D9" s="825"/>
      <c r="E9" s="826"/>
      <c r="F9" s="814"/>
      <c r="G9" s="22"/>
      <c r="H9" s="22"/>
      <c r="I9" s="22"/>
      <c r="J9" s="23"/>
    </row>
    <row r="10" spans="1:10" ht="10.5" customHeight="1">
      <c r="A10" s="814"/>
      <c r="B10" s="32"/>
      <c r="C10" s="33"/>
      <c r="D10" s="33"/>
      <c r="E10" s="34"/>
      <c r="F10" s="814"/>
      <c r="G10" s="22"/>
      <c r="H10" s="22"/>
      <c r="I10" s="22"/>
      <c r="J10" s="23"/>
    </row>
    <row r="11" spans="1:10" ht="24" customHeight="1">
      <c r="A11" s="814"/>
      <c r="B11" s="827" t="s">
        <v>49</v>
      </c>
      <c r="C11" s="828"/>
      <c r="D11" s="828"/>
      <c r="E11" s="35"/>
      <c r="F11" s="814"/>
    </row>
    <row r="12" spans="1:10" ht="15.95" customHeight="1">
      <c r="A12" s="815"/>
      <c r="B12" s="829" t="s">
        <v>50</v>
      </c>
      <c r="C12" s="830"/>
      <c r="D12" s="830"/>
      <c r="E12" s="36"/>
      <c r="F12" s="815"/>
      <c r="G12" s="22"/>
      <c r="H12" s="22"/>
      <c r="I12" s="22"/>
      <c r="J12" s="23"/>
    </row>
    <row r="13" spans="1:10" ht="24" customHeight="1">
      <c r="A13" s="804"/>
      <c r="B13" s="805" t="s">
        <v>51</v>
      </c>
      <c r="C13" s="806"/>
      <c r="D13" s="806"/>
      <c r="E13" s="35"/>
      <c r="F13" s="807"/>
      <c r="G13" s="37"/>
      <c r="H13" s="37"/>
      <c r="I13" s="37"/>
      <c r="J13" s="37"/>
    </row>
    <row r="14" spans="1:10" ht="15.95" customHeight="1">
      <c r="A14" s="804"/>
      <c r="B14" s="808" t="s">
        <v>52</v>
      </c>
      <c r="C14" s="809"/>
      <c r="D14" s="809"/>
      <c r="E14" s="38"/>
      <c r="F14" s="807"/>
      <c r="G14" s="37"/>
      <c r="H14" s="37"/>
      <c r="I14" s="37"/>
      <c r="J14" s="37"/>
    </row>
    <row r="15" spans="1:10" ht="15.75">
      <c r="A15" s="30"/>
      <c r="B15" s="39"/>
      <c r="C15" s="39"/>
      <c r="D15" s="39"/>
      <c r="E15" s="39"/>
      <c r="F15" s="22"/>
      <c r="G15" s="22"/>
      <c r="H15" s="22"/>
      <c r="I15" s="22"/>
      <c r="J15" s="23"/>
    </row>
    <row r="16" spans="1:10" ht="15.75">
      <c r="A16" s="30"/>
      <c r="B16" s="30"/>
      <c r="C16" s="30"/>
      <c r="D16" s="30"/>
      <c r="E16" s="30"/>
      <c r="F16" s="22"/>
      <c r="G16" s="22"/>
      <c r="H16" s="22"/>
      <c r="I16" s="22"/>
      <c r="J16" s="23"/>
    </row>
    <row r="17" spans="1:10" ht="15.75">
      <c r="A17" s="30"/>
      <c r="B17" s="30"/>
      <c r="C17" s="30"/>
      <c r="D17" s="30"/>
      <c r="E17" s="30"/>
      <c r="F17" s="22"/>
      <c r="G17" s="22"/>
      <c r="H17" s="22"/>
      <c r="I17" s="22"/>
      <c r="J17" s="23"/>
    </row>
  </sheetData>
  <sheetProtection algorithmName="SHA-512" hashValue="i9nUolgsT0LPyGD8Fd6Dw6oY2pRprYHbf3VyxdeAz37jXk2X/q3uJTvRjzX3nulJTGpyuxbtl0mdLOEFuJUJUw==" saltValue="bHlbNqVAkgtavFszMS2KFQ==" spinCount="100000" sheet="1" selectLockedCells="1"/>
  <customSheetViews>
    <customSheetView guid="{ADF3F130-0A37-42E7-A525-50C5A6B01A26}" showPageBreaks="1" showGridLines="0" printArea="1" hiddenRows="1" view="pageBreakPreview">
      <selection activeCell="I8" sqref="I8"/>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89C3D82-0A24-4765-A688-A80A782F5056}" scale="130" showPageBreaks="1" showGridLines="0" printArea="1" hiddenRows="1" view="pageBreakPreview">
      <selection activeCell="H2" sqref="H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1211E1B9-FC37-4364-9CF0-0FFC01866726}" scale="130" showPageBreaks="1" showGridLines="0" printArea="1" hiddenRows="1" view="pageBreakPreview">
      <selection activeCell="I8" sqref="I8"/>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274</v>
      </c>
    </row>
    <row r="2" spans="1:9" ht="15.75">
      <c r="A2" s="289"/>
      <c r="B2" s="290"/>
      <c r="C2" s="291"/>
      <c r="D2" s="292"/>
      <c r="E2" s="293"/>
      <c r="F2" s="336"/>
      <c r="G2" s="336"/>
      <c r="H2" s="274"/>
      <c r="I2" s="294"/>
    </row>
    <row r="3" spans="1:9" ht="16.5">
      <c r="A3" s="263"/>
      <c r="B3" s="264" t="s">
        <v>261</v>
      </c>
      <c r="C3" s="265"/>
      <c r="D3" s="266"/>
      <c r="E3" s="295"/>
      <c r="F3" s="336"/>
      <c r="G3" s="336"/>
      <c r="H3" s="296">
        <f>SUMIF(I1:I2,"Direct",H1:H2)</f>
        <v>0</v>
      </c>
      <c r="I3" s="267"/>
    </row>
    <row r="4" spans="1:9" ht="33">
      <c r="A4" s="263"/>
      <c r="B4" s="264" t="s">
        <v>262</v>
      </c>
      <c r="C4" s="265"/>
      <c r="D4" s="266"/>
      <c r="E4" s="295"/>
      <c r="F4" s="336"/>
      <c r="G4" s="336"/>
      <c r="H4" s="296">
        <f>SUMIF(J1:J2,"Bought-Out",H1:H2)</f>
        <v>0</v>
      </c>
      <c r="I4" s="267"/>
    </row>
    <row r="5" spans="1:9" ht="16.5">
      <c r="A5" s="268"/>
      <c r="B5" s="264" t="s">
        <v>263</v>
      </c>
      <c r="C5" s="269"/>
      <c r="D5" s="270"/>
      <c r="E5" s="271"/>
      <c r="F5" s="271"/>
      <c r="G5" s="271"/>
      <c r="H5" s="297">
        <f>H3+H4</f>
        <v>0</v>
      </c>
      <c r="I5" s="272"/>
    </row>
    <row r="6" spans="1:9" ht="16.5">
      <c r="A6" s="273"/>
      <c r="B6" s="1040" t="s">
        <v>264</v>
      </c>
      <c r="C6" s="1040"/>
      <c r="D6" s="1040"/>
      <c r="E6" s="274"/>
      <c r="F6" s="336"/>
      <c r="G6" s="336"/>
      <c r="H6" s="296" t="e">
        <f>'Sch-7'!#REF!</f>
        <v>#REF!</v>
      </c>
      <c r="I6" s="275"/>
    </row>
    <row r="7" spans="1:9" ht="17.25" thickBot="1">
      <c r="A7" s="276"/>
      <c r="B7" s="1041" t="s">
        <v>265</v>
      </c>
      <c r="C7" s="1041"/>
      <c r="D7" s="1041"/>
      <c r="E7" s="277"/>
      <c r="F7" s="277"/>
      <c r="G7" s="277"/>
      <c r="H7" s="298" t="e">
        <f>H5+H6</f>
        <v>#REF!</v>
      </c>
      <c r="I7" s="278"/>
    </row>
    <row r="8" spans="1:9" ht="16.5">
      <c r="A8" s="1042"/>
      <c r="B8" s="1042"/>
      <c r="C8" s="1042"/>
      <c r="D8" s="1042"/>
      <c r="E8" s="1042"/>
      <c r="F8" s="1042"/>
      <c r="G8" s="1042"/>
    </row>
    <row r="9" spans="1:9" ht="15.75">
      <c r="A9" s="2"/>
      <c r="B9" s="1039"/>
      <c r="C9" s="1039"/>
      <c r="D9" s="1039"/>
      <c r="E9" s="1039"/>
      <c r="F9" s="1039"/>
      <c r="G9" s="1039"/>
    </row>
    <row r="10" spans="1:9" ht="16.5">
      <c r="A10" s="279"/>
      <c r="B10" s="279"/>
      <c r="C10" s="279"/>
      <c r="D10" s="279"/>
      <c r="E10" s="279"/>
      <c r="F10" s="279"/>
      <c r="G10" s="279"/>
    </row>
    <row r="11" spans="1:9" ht="90" customHeight="1">
      <c r="A11" s="280" t="s">
        <v>266</v>
      </c>
      <c r="B11" s="879" t="s">
        <v>267</v>
      </c>
      <c r="C11" s="879"/>
      <c r="D11" s="879"/>
      <c r="E11" s="879"/>
      <c r="F11" s="879"/>
      <c r="G11" s="879"/>
      <c r="H11" s="879"/>
      <c r="I11" s="879"/>
    </row>
    <row r="12" spans="1:9" ht="116.25" customHeight="1">
      <c r="A12" s="281" t="s">
        <v>268</v>
      </c>
      <c r="B12" s="1035" t="s">
        <v>269</v>
      </c>
      <c r="C12" s="1035"/>
      <c r="D12" s="1035"/>
      <c r="E12" s="1035"/>
      <c r="F12" s="1035"/>
      <c r="G12" s="1035"/>
      <c r="H12" s="1035"/>
      <c r="I12" s="1035"/>
    </row>
    <row r="13" spans="1:9" ht="15.75">
      <c r="A13" s="281"/>
      <c r="B13" s="1035"/>
      <c r="C13" s="1035"/>
      <c r="D13" s="1035"/>
      <c r="E13" s="1035"/>
      <c r="F13" s="1035"/>
      <c r="G13" s="1035"/>
    </row>
    <row r="14" spans="1:9" ht="16.5">
      <c r="A14" s="282" t="s">
        <v>160</v>
      </c>
      <c r="B14" s="283" t="str">
        <f>'Names of Bidder'!C$22&amp;"-"&amp; 'Names of Bidder'!D$22&amp;"-" &amp;'Names of Bidder'!E$22</f>
        <v>--</v>
      </c>
      <c r="C14" s="284"/>
      <c r="D14" s="285"/>
      <c r="E14" s="1"/>
      <c r="F14" s="1"/>
      <c r="G14" s="286"/>
    </row>
    <row r="15" spans="1:9" ht="16.5">
      <c r="A15" s="282" t="s">
        <v>161</v>
      </c>
      <c r="B15" s="283" t="str">
        <f>IF('Names of Bidder'!C$23=0, "", 'Names of Bidder'!C$23)</f>
        <v/>
      </c>
      <c r="C15" s="1"/>
      <c r="D15" s="285" t="s">
        <v>142</v>
      </c>
      <c r="E15" s="286" t="str">
        <f>IF('Names of Bidder'!C$19=0, "", 'Names of Bidder'!C$19)</f>
        <v/>
      </c>
      <c r="F15" s="1"/>
      <c r="G15" s="283" t="str">
        <f>'[6]Names of Bidder'!I14&amp;"-"&amp; '[6]Names of Bidder'!J14&amp;"-" &amp;'[6]Names of Bidder'!K14</f>
        <v>--</v>
      </c>
    </row>
    <row r="16" spans="1:9" ht="16.5">
      <c r="A16" s="287"/>
      <c r="B16" s="288"/>
      <c r="C16" s="4"/>
      <c r="D16" s="285" t="s">
        <v>144</v>
      </c>
      <c r="E16" s="286" t="str">
        <f>IF('Names of Bidder'!C$20=0, "", 'Names of Bidder'!C$20)</f>
        <v/>
      </c>
      <c r="F16" s="4"/>
      <c r="G16" s="4"/>
    </row>
    <row r="18" spans="1:11">
      <c r="A18" t="s">
        <v>275</v>
      </c>
    </row>
    <row r="20" spans="1:11" ht="17.25" thickBot="1">
      <c r="A20" s="299"/>
      <c r="B20" s="300" t="s">
        <v>276</v>
      </c>
      <c r="C20" s="301"/>
      <c r="D20" s="300"/>
      <c r="E20" s="277"/>
      <c r="F20" s="277"/>
      <c r="G20" s="277"/>
      <c r="H20" s="302" t="s">
        <v>290</v>
      </c>
    </row>
    <row r="21" spans="1:11" ht="16.5" thickBot="1">
      <c r="A21" s="303"/>
      <c r="B21" s="1036"/>
      <c r="C21" s="1036"/>
      <c r="D21" s="1036"/>
      <c r="E21" s="1036"/>
      <c r="F21" s="1036"/>
    </row>
    <row r="22" spans="1:11" ht="15.75">
      <c r="A22" s="304"/>
      <c r="B22" s="1037"/>
      <c r="C22" s="1037"/>
      <c r="D22" s="1037"/>
      <c r="E22" s="1037"/>
      <c r="F22" s="1037"/>
    </row>
    <row r="23" spans="1:11" ht="16.5">
      <c r="A23" s="282" t="s">
        <v>160</v>
      </c>
      <c r="B23" s="283" t="s">
        <v>255</v>
      </c>
      <c r="C23" s="305"/>
      <c r="D23" s="285"/>
      <c r="E23" s="1"/>
      <c r="F23" s="1"/>
    </row>
    <row r="24" spans="1:11" ht="16.5">
      <c r="A24" s="282" t="s">
        <v>161</v>
      </c>
      <c r="B24" s="283" t="s">
        <v>256</v>
      </c>
      <c r="C24" s="2"/>
      <c r="D24" s="285" t="s">
        <v>142</v>
      </c>
      <c r="E24" s="286" t="s">
        <v>277</v>
      </c>
      <c r="F24" s="1"/>
    </row>
    <row r="25" spans="1:11" ht="16.5">
      <c r="A25" s="287"/>
      <c r="B25" s="288"/>
      <c r="C25" s="287"/>
      <c r="D25" s="285" t="s">
        <v>144</v>
      </c>
      <c r="E25" s="286" t="s">
        <v>278</v>
      </c>
      <c r="F25" s="4"/>
    </row>
    <row r="27" spans="1:11">
      <c r="A27" t="s">
        <v>279</v>
      </c>
    </row>
    <row r="29" spans="1:11" ht="16.5">
      <c r="A29" s="306"/>
      <c r="B29" s="307" t="s">
        <v>280</v>
      </c>
      <c r="C29" s="307"/>
      <c r="D29" s="307"/>
      <c r="E29" s="308"/>
      <c r="F29" s="308"/>
      <c r="G29" s="308"/>
      <c r="H29" s="308"/>
      <c r="I29" s="308"/>
      <c r="J29" s="308"/>
      <c r="K29" s="309" t="e">
        <f>SUM(#REF!)</f>
        <v>#REF!</v>
      </c>
    </row>
    <row r="30" spans="1:11" ht="15.75">
      <c r="A30" s="304"/>
      <c r="B30" s="1038"/>
      <c r="C30" s="1039"/>
      <c r="D30" s="1039"/>
      <c r="E30" s="1039"/>
      <c r="F30" s="1039"/>
      <c r="G30" s="1039"/>
    </row>
    <row r="31" spans="1:11" ht="16.5">
      <c r="A31" s="310" t="s">
        <v>160</v>
      </c>
      <c r="B31" s="311" t="s">
        <v>255</v>
      </c>
      <c r="C31" s="312"/>
      <c r="D31" s="313"/>
      <c r="E31" s="314"/>
      <c r="F31" s="314"/>
      <c r="G31" s="4"/>
    </row>
    <row r="32" spans="1:11" ht="16.5">
      <c r="A32" s="310" t="s">
        <v>161</v>
      </c>
      <c r="B32" s="311" t="s">
        <v>256</v>
      </c>
      <c r="C32" s="314"/>
      <c r="D32" s="313" t="s">
        <v>142</v>
      </c>
      <c r="E32" s="315" t="s">
        <v>277</v>
      </c>
      <c r="F32" s="314"/>
      <c r="G32" s="4"/>
    </row>
    <row r="33" spans="1:8" ht="16.5">
      <c r="A33" s="316"/>
      <c r="B33" s="317"/>
      <c r="C33" s="318"/>
      <c r="D33" s="313" t="s">
        <v>144</v>
      </c>
      <c r="E33" s="315" t="s">
        <v>278</v>
      </c>
      <c r="F33" s="318"/>
      <c r="G33" s="4"/>
    </row>
    <row r="35" spans="1:8">
      <c r="A35" t="s">
        <v>283</v>
      </c>
    </row>
    <row r="37" spans="1:8" ht="30">
      <c r="A37" s="319" t="s">
        <v>160</v>
      </c>
      <c r="B37" s="320" t="s">
        <v>253</v>
      </c>
      <c r="C37" s="321"/>
      <c r="D37" s="975" t="s">
        <v>281</v>
      </c>
      <c r="E37" s="975"/>
      <c r="F37" s="1034"/>
    </row>
    <row r="38" spans="1:8" ht="30">
      <c r="A38" s="319" t="s">
        <v>161</v>
      </c>
      <c r="B38" s="320" t="s">
        <v>254</v>
      </c>
      <c r="C38" s="9"/>
      <c r="D38" s="975" t="s">
        <v>282</v>
      </c>
      <c r="E38" s="975"/>
      <c r="F38" s="1034"/>
    </row>
    <row r="40" spans="1:8">
      <c r="A40" t="s">
        <v>284</v>
      </c>
    </row>
    <row r="42" spans="1:8" ht="30">
      <c r="A42" s="322"/>
      <c r="B42" s="323" t="s">
        <v>285</v>
      </c>
      <c r="C42" s="323"/>
      <c r="D42" s="323"/>
      <c r="E42" s="323"/>
      <c r="F42" s="323"/>
      <c r="G42" s="323"/>
      <c r="H42" s="324" t="s">
        <v>291</v>
      </c>
    </row>
    <row r="43" spans="1:8" ht="16.5">
      <c r="A43" s="325"/>
      <c r="B43" s="326"/>
      <c r="C43" s="326"/>
      <c r="D43" s="326"/>
      <c r="E43" s="326"/>
      <c r="F43" s="326"/>
      <c r="G43" s="327"/>
    </row>
    <row r="44" spans="1:8">
      <c r="A44" s="326"/>
      <c r="B44" s="326"/>
      <c r="C44" s="326"/>
      <c r="D44" s="326"/>
      <c r="E44" s="326"/>
      <c r="F44" s="326"/>
      <c r="G44" s="328"/>
    </row>
    <row r="45" spans="1:8">
      <c r="A45" s="974"/>
      <c r="B45" s="974"/>
      <c r="C45" s="974"/>
      <c r="D45" s="974"/>
      <c r="E45" s="974"/>
      <c r="F45" s="974"/>
      <c r="G45" s="974"/>
    </row>
    <row r="46" spans="1:8">
      <c r="A46" s="329"/>
      <c r="B46" s="329"/>
      <c r="C46" s="975"/>
      <c r="D46" s="975"/>
      <c r="E46" s="975"/>
      <c r="F46" s="975"/>
      <c r="G46" s="975"/>
    </row>
    <row r="47" spans="1:8">
      <c r="A47" s="330" t="s">
        <v>160</v>
      </c>
      <c r="B47" s="331" t="s">
        <v>255</v>
      </c>
      <c r="C47" s="975" t="s">
        <v>286</v>
      </c>
      <c r="D47" s="975"/>
      <c r="E47" s="975"/>
      <c r="F47" s="975"/>
      <c r="G47" s="975"/>
    </row>
    <row r="48" spans="1:8">
      <c r="A48" s="330" t="s">
        <v>161</v>
      </c>
      <c r="B48" s="332" t="s">
        <v>256</v>
      </c>
      <c r="C48" s="975" t="s">
        <v>287</v>
      </c>
      <c r="D48" s="975"/>
      <c r="E48" s="975"/>
      <c r="F48" s="975"/>
      <c r="G48" s="975"/>
    </row>
    <row r="49" spans="1:7" ht="16.5">
      <c r="A49" s="8"/>
      <c r="B49" s="7"/>
      <c r="C49" s="975"/>
      <c r="D49" s="975"/>
      <c r="E49" s="975"/>
      <c r="F49" s="975"/>
      <c r="G49" s="975"/>
    </row>
    <row r="50" spans="1:7" ht="16.5">
      <c r="A50" s="8"/>
      <c r="B50" s="7"/>
      <c r="C50" s="326"/>
      <c r="D50" s="326"/>
      <c r="E50" s="326"/>
      <c r="F50" s="326"/>
      <c r="G50" s="326"/>
    </row>
    <row r="51" spans="1:7" ht="16.5">
      <c r="A51" s="333" t="s">
        <v>288</v>
      </c>
      <c r="B51" s="976" t="s">
        <v>289</v>
      </c>
      <c r="C51" s="976"/>
      <c r="D51" s="976"/>
      <c r="E51" s="976"/>
      <c r="F51" s="976"/>
      <c r="G51" s="334"/>
    </row>
    <row r="52" spans="1:7" ht="16.5">
      <c r="A52" s="335"/>
      <c r="B52" s="11"/>
      <c r="C52" s="11"/>
      <c r="D52" s="11"/>
      <c r="E52" s="11"/>
      <c r="F52" s="11"/>
      <c r="G52" s="11"/>
    </row>
    <row r="60" spans="1:7">
      <c r="B60" t="s">
        <v>257</v>
      </c>
    </row>
    <row r="61" spans="1:7">
      <c r="B61" t="s">
        <v>258</v>
      </c>
    </row>
  </sheetData>
  <customSheetViews>
    <customSheetView guid="{ADF3F130-0A37-42E7-A525-50C5A6B01A26}"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1211E1B9-FC37-4364-9CF0-0FFC01866726}"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ADF3F130-0A37-42E7-A525-50C5A6B01A26}" state="hidden">
      <pageMargins left="0.7" right="0.7" top="0.75" bottom="0.75" header="0.3" footer="0.3"/>
    </customSheetView>
    <customSheetView guid="{889C3D82-0A24-4765-A688-A80A782F5056}" state="hidden">
      <pageMargins left="0.7" right="0.7" top="0.75" bottom="0.75" header="0.3" footer="0.3"/>
    </customSheetView>
    <customSheetView guid="{89CB4E6A-722E-4E39-885D-E2A6D0D08321}" state="hidden">
      <pageMargins left="0.7" right="0.7" top="0.75" bottom="0.75" header="0.3" footer="0.3"/>
    </customSheetView>
    <customSheetView guid="{915C64AD-BD67-44F0-9117-5B9D998BA799}" state="hidden">
      <pageMargins left="0.7" right="0.7" top="0.75" bottom="0.75" header="0.3" footer="0.3"/>
    </customSheetView>
    <customSheetView guid="{18EA11B4-BD82-47BF-99FA-7AB19BF74D0B}" state="hidden">
      <pageMargins left="0.7" right="0.7" top="0.75" bottom="0.75" header="0.3" footer="0.3"/>
    </customSheetView>
    <customSheetView guid="{CCA37BAE-906F-43D5-9FD9-B13563E4B9D7}"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A58DB4DF-40C7-4BEB-B85E-6BD6F54941CF}" state="hidden">
      <pageMargins left="0.7" right="0.7" top="0.75" bottom="0.75" header="0.3" footer="0.3"/>
    </customSheetView>
    <customSheetView guid="{1211E1B9-FC37-4364-9CF0-0FFC01866726}"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26" hidden="1" customWidth="1"/>
    <col min="2" max="2" width="13.28515625" style="526" hidden="1" customWidth="1"/>
    <col min="3" max="3" width="0" style="526" hidden="1" customWidth="1"/>
    <col min="4" max="4" width="10.28515625" style="526" hidden="1" customWidth="1"/>
    <col min="5" max="5" width="3.42578125" style="526" hidden="1" customWidth="1"/>
    <col min="6" max="6" width="5.5703125" style="526" hidden="1" customWidth="1"/>
    <col min="7" max="7" width="11.42578125" style="526" hidden="1" customWidth="1"/>
    <col min="8" max="8" width="0" style="526" hidden="1" customWidth="1"/>
    <col min="9" max="9" width="10" style="526" hidden="1" customWidth="1"/>
    <col min="10" max="10" width="3.28515625" style="526" hidden="1" customWidth="1"/>
    <col min="11" max="11" width="5" style="526" hidden="1" customWidth="1"/>
    <col min="12" max="12" width="11.28515625" style="526" hidden="1" customWidth="1"/>
    <col min="13" max="13" width="0" style="526" hidden="1" customWidth="1"/>
    <col min="14" max="14" width="10.28515625" style="526" hidden="1" customWidth="1"/>
    <col min="15" max="15" width="3.7109375" style="526" hidden="1" customWidth="1"/>
    <col min="16" max="16" width="6.42578125" style="526" customWidth="1"/>
    <col min="17" max="17" width="14.85546875" style="526" customWidth="1"/>
    <col min="18" max="18" width="9.140625" style="526" customWidth="1"/>
    <col min="19" max="19" width="12" style="526" customWidth="1"/>
    <col min="20" max="20" width="3.28515625" style="526" hidden="1" customWidth="1"/>
    <col min="21" max="21" width="6.140625" style="526" hidden="1" customWidth="1"/>
    <col min="22" max="22" width="8.5703125" style="526" hidden="1" customWidth="1"/>
    <col min="23" max="23" width="8.42578125" style="526" hidden="1" customWidth="1"/>
    <col min="24" max="24" width="8.85546875" style="526" hidden="1" customWidth="1"/>
    <col min="25" max="116" width="0" style="526" hidden="1" customWidth="1"/>
    <col min="117" max="16384" width="9.140625" style="526"/>
  </cols>
  <sheetData>
    <row r="1" spans="1:27" ht="13.5" thickBot="1">
      <c r="A1" s="1043" t="e">
        <v>#REF!</v>
      </c>
      <c r="B1" s="1044"/>
      <c r="C1" s="507"/>
      <c r="D1" s="508"/>
      <c r="E1" s="507"/>
      <c r="F1" s="1043">
        <v>0</v>
      </c>
      <c r="G1" s="1044"/>
      <c r="H1" s="507"/>
      <c r="I1" s="508"/>
      <c r="K1" s="1043" t="e">
        <v>#REF!</v>
      </c>
      <c r="L1" s="1044"/>
      <c r="M1" s="507"/>
      <c r="N1" s="508"/>
      <c r="P1" s="1043">
        <f>'Sch-6 (After Discount)'!D28</f>
        <v>0</v>
      </c>
      <c r="Q1" s="1044"/>
      <c r="R1" s="507"/>
      <c r="S1" s="508"/>
      <c r="U1" s="529" t="e">
        <v>#REF!</v>
      </c>
    </row>
    <row r="2" spans="1:27">
      <c r="A2" s="1045"/>
      <c r="B2" s="1046"/>
      <c r="C2" s="507"/>
      <c r="D2" s="508"/>
      <c r="E2" s="507"/>
      <c r="F2" s="509"/>
      <c r="G2" s="507"/>
      <c r="H2" s="507"/>
      <c r="I2" s="508"/>
      <c r="K2" s="509"/>
      <c r="L2" s="507"/>
      <c r="M2" s="507"/>
      <c r="N2" s="508"/>
      <c r="P2" s="509"/>
      <c r="Q2" s="507"/>
      <c r="R2" s="507"/>
      <c r="S2" s="508"/>
      <c r="U2" s="529" t="e">
        <v>#REF!</v>
      </c>
    </row>
    <row r="3" spans="1:27">
      <c r="A3" s="509"/>
      <c r="B3" s="510"/>
      <c r="C3" s="510"/>
      <c r="D3" s="511"/>
      <c r="E3" s="510"/>
      <c r="F3" s="509"/>
      <c r="G3" s="510"/>
      <c r="H3" s="510"/>
      <c r="I3" s="511"/>
      <c r="K3" s="509"/>
      <c r="L3" s="510"/>
      <c r="M3" s="510"/>
      <c r="N3" s="511"/>
      <c r="P3" s="509"/>
      <c r="Q3" s="510"/>
      <c r="R3" s="510"/>
      <c r="S3" s="511"/>
      <c r="U3" s="529" t="s">
        <v>453</v>
      </c>
    </row>
    <row r="4" spans="1:27" ht="66.75" customHeight="1" thickBot="1">
      <c r="A4" s="1053" t="e">
        <f>IF(OR((A1&gt;9999999999),(A1&lt;0)),"Invalid Entry - More than 1000 crore OR -ve value",IF(A1=0, "",+CONCATENATE(#REF!,B11,D11,B10,D10,B9,D9,B8,D8,B7,D7,B6," Only")))</f>
        <v>#REF!</v>
      </c>
      <c r="B4" s="1054"/>
      <c r="C4" s="1054"/>
      <c r="D4" s="1055"/>
      <c r="E4" s="507"/>
      <c r="F4" s="1053" t="str">
        <f>IF(OR((F1&gt;9999999999),(F1&lt;0)),"Invalid Entry - More than 1000 crore OR -ve value",IF(F1=0, "",+CONCATENATE(U1, G11,I11,G10,I10,G9,I9,G8,I8,G7,I7,G6," Only")))</f>
        <v/>
      </c>
      <c r="G4" s="1054"/>
      <c r="H4" s="1054"/>
      <c r="I4" s="1055"/>
      <c r="J4" s="507"/>
      <c r="K4" s="1053" t="e">
        <f>IF(OR((K1&gt;9999999999),(K1&lt;0)),"Invalid Entry - More than 1000 crore OR -ve value",IF(K1=0, "",+CONCATENATE(U2, L11,N11,L10,N10,L9,N9,L8,N8,L7,N7,L6," Only")))</f>
        <v>#REF!</v>
      </c>
      <c r="L4" s="1054"/>
      <c r="M4" s="1054"/>
      <c r="N4" s="1055"/>
      <c r="P4" s="1053" t="str">
        <f>IF(OR((P1&gt;9999999999),(P1&lt;0)),"Invalid Entry - More than 1000 crore OR -ve value",IF(P1=0, "",+CONCATENATE(U3, Q11,S11,Q10,S10,Q9,S9,Q8,S8,Q7,S7,Q6," Only")))</f>
        <v/>
      </c>
      <c r="Q4" s="1054"/>
      <c r="R4" s="1054"/>
      <c r="S4" s="1055"/>
      <c r="U4" s="1047" t="e">
        <f>VLOOKUP(1,T28:Y43,6,FALSE)</f>
        <v>#N/A</v>
      </c>
      <c r="V4" s="1047"/>
      <c r="W4" s="1047"/>
      <c r="X4" s="1047"/>
      <c r="Y4" s="1047"/>
      <c r="Z4" s="1047"/>
      <c r="AA4" s="1047"/>
    </row>
    <row r="5" spans="1:27" ht="18.75" customHeight="1" thickBot="1">
      <c r="A5" s="509"/>
      <c r="B5" s="510"/>
      <c r="C5" s="510"/>
      <c r="D5" s="511"/>
      <c r="E5" s="510"/>
      <c r="F5" s="509"/>
      <c r="G5" s="510"/>
      <c r="H5" s="510"/>
      <c r="I5" s="511"/>
      <c r="K5" s="509"/>
      <c r="L5" s="510"/>
      <c r="M5" s="510"/>
      <c r="N5" s="511"/>
      <c r="P5" s="509"/>
      <c r="Q5" s="510"/>
      <c r="R5" s="510"/>
      <c r="S5" s="511"/>
      <c r="U5" s="1048" t="e">
        <f>VLOOKUP(1,T8:Y23,6,FALSE)</f>
        <v>#N/A</v>
      </c>
      <c r="V5" s="1049"/>
      <c r="W5" s="1049"/>
      <c r="X5" s="1049"/>
      <c r="Y5" s="1049"/>
      <c r="Z5" s="1049"/>
      <c r="AA5" s="1050"/>
    </row>
    <row r="6" spans="1:27">
      <c r="A6" s="512" t="e">
        <f>-INT(A1/100)*100+ROUND(A1,0)</f>
        <v>#REF!</v>
      </c>
      <c r="B6" s="510" t="e">
        <f t="shared" ref="B6:B11" si="0">IF(A6=0,"",LOOKUP(A6,$A$13:$A$112,$B$13:$B$112))</f>
        <v>#REF!</v>
      </c>
      <c r="C6" s="510"/>
      <c r="D6" s="513"/>
      <c r="E6" s="510"/>
      <c r="F6" s="512">
        <f>-INT(F1/100)*100+ROUND(F1,0)</f>
        <v>0</v>
      </c>
      <c r="G6" s="510" t="str">
        <f t="shared" ref="G6:G11" si="1">IF(F6=0,"",LOOKUP(F6,$A$13:$A$112,$B$13:$B$112))</f>
        <v/>
      </c>
      <c r="H6" s="510"/>
      <c r="I6" s="513"/>
      <c r="K6" s="512" t="e">
        <f>-INT(K1/100)*100+ROUND(K1,0)</f>
        <v>#REF!</v>
      </c>
      <c r="L6" s="510" t="e">
        <f t="shared" ref="L6:L11" si="2">IF(K6=0,"",LOOKUP(K6,$A$13:$A$112,$B$13:$B$112))</f>
        <v>#REF!</v>
      </c>
      <c r="M6" s="510"/>
      <c r="N6" s="513"/>
      <c r="P6" s="512">
        <f>-INT(P1/100)*100+ROUND(P1,0)</f>
        <v>0</v>
      </c>
      <c r="Q6" s="510" t="str">
        <f t="shared" ref="Q6:Q11" si="3">IF(P6=0,"",LOOKUP(P6,$A$13:$A$112,$B$13:$B$112))</f>
        <v/>
      </c>
      <c r="R6" s="510"/>
      <c r="S6" s="513"/>
    </row>
    <row r="7" spans="1:27">
      <c r="A7" s="512" t="e">
        <f>-INT(A1/1000)*10+INT(A1/100)</f>
        <v>#REF!</v>
      </c>
      <c r="B7" s="510" t="e">
        <f t="shared" si="0"/>
        <v>#REF!</v>
      </c>
      <c r="C7" s="510"/>
      <c r="D7" s="513" t="e">
        <f>+IF(B7="",""," Hundred ")</f>
        <v>#REF!</v>
      </c>
      <c r="E7" s="510"/>
      <c r="F7" s="512">
        <f>-INT(F1/1000)*10+INT(F1/100)</f>
        <v>0</v>
      </c>
      <c r="G7" s="510" t="str">
        <f t="shared" si="1"/>
        <v/>
      </c>
      <c r="H7" s="510"/>
      <c r="I7" s="513" t="str">
        <f>+IF(G7="",""," Hundred ")</f>
        <v/>
      </c>
      <c r="K7" s="512" t="e">
        <f>-INT(K1/1000)*10+INT(K1/100)</f>
        <v>#REF!</v>
      </c>
      <c r="L7" s="510" t="e">
        <f t="shared" si="2"/>
        <v>#REF!</v>
      </c>
      <c r="M7" s="510"/>
      <c r="N7" s="513" t="e">
        <f>+IF(L7="",""," Hundred ")</f>
        <v>#REF!</v>
      </c>
      <c r="P7" s="512">
        <f>-INT(P1/1000)*10+INT(P1/100)</f>
        <v>0</v>
      </c>
      <c r="Q7" s="510" t="str">
        <f t="shared" si="3"/>
        <v/>
      </c>
      <c r="R7" s="510"/>
      <c r="S7" s="513" t="str">
        <f>+IF(Q7="",""," Hundred ")</f>
        <v/>
      </c>
    </row>
    <row r="8" spans="1:27">
      <c r="A8" s="512" t="e">
        <f>-INT(A1/100000)*100+INT(A1/1000)</f>
        <v>#REF!</v>
      </c>
      <c r="B8" s="510" t="e">
        <f t="shared" si="0"/>
        <v>#REF!</v>
      </c>
      <c r="C8" s="510"/>
      <c r="D8" s="513" t="e">
        <f>IF((B8=""),IF(C8="",""," Thousand ")," Thousand ")</f>
        <v>#REF!</v>
      </c>
      <c r="E8" s="510"/>
      <c r="F8" s="512">
        <f>-INT(F1/100000)*100+INT(F1/1000)</f>
        <v>0</v>
      </c>
      <c r="G8" s="510" t="str">
        <f t="shared" si="1"/>
        <v/>
      </c>
      <c r="H8" s="510"/>
      <c r="I8" s="513" t="str">
        <f>IF((G8=""),IF(H8="",""," Thousand ")," Thousand ")</f>
        <v/>
      </c>
      <c r="K8" s="512" t="e">
        <f>-INT(K1/100000)*100+INT(K1/1000)</f>
        <v>#REF!</v>
      </c>
      <c r="L8" s="510" t="e">
        <f t="shared" si="2"/>
        <v>#REF!</v>
      </c>
      <c r="M8" s="510"/>
      <c r="N8" s="513" t="e">
        <f>IF((L8=""),IF(M8="",""," Thousand ")," Thousand ")</f>
        <v>#REF!</v>
      </c>
      <c r="P8" s="512">
        <f>-INT(P1/100000)*100+INT(P1/1000)</f>
        <v>0</v>
      </c>
      <c r="Q8" s="510" t="str">
        <f t="shared" si="3"/>
        <v/>
      </c>
      <c r="R8" s="510"/>
      <c r="S8" s="513" t="str">
        <f>IF((Q8=""),IF(R8="",""," Thousand ")," Thousand ")</f>
        <v/>
      </c>
      <c r="T8" s="530" t="e">
        <f>IF(Y8="",0, 1)</f>
        <v>#REF!</v>
      </c>
      <c r="U8" s="526">
        <v>0</v>
      </c>
      <c r="V8" s="526">
        <v>0</v>
      </c>
      <c r="W8" s="526">
        <v>0</v>
      </c>
      <c r="X8" s="526">
        <v>0</v>
      </c>
      <c r="Y8" s="531" t="e">
        <f>IF(AND($A$1=0,$F$1=0,$K$1=0,$P$1=0)," Zero only", "")</f>
        <v>#REF!</v>
      </c>
      <c r="AA8" s="526" t="s">
        <v>454</v>
      </c>
    </row>
    <row r="9" spans="1:27">
      <c r="A9" s="512" t="e">
        <f>-INT(A1/10000000)*100+INT(A1/100000)</f>
        <v>#REF!</v>
      </c>
      <c r="B9" s="510" t="e">
        <f t="shared" si="0"/>
        <v>#REF!</v>
      </c>
      <c r="C9" s="510"/>
      <c r="D9" s="513" t="e">
        <f>IF((B9=""),IF(C9="",""," Lac ")," Lac ")</f>
        <v>#REF!</v>
      </c>
      <c r="E9" s="510"/>
      <c r="F9" s="512">
        <f>-INT(F1/10000000)*100+INT(F1/100000)</f>
        <v>0</v>
      </c>
      <c r="G9" s="510" t="str">
        <f t="shared" si="1"/>
        <v/>
      </c>
      <c r="H9" s="510"/>
      <c r="I9" s="513" t="str">
        <f>IF((G9=""),IF(H9="",""," Lac ")," Lac ")</f>
        <v/>
      </c>
      <c r="K9" s="512" t="e">
        <f>-INT(K1/10000000)*100+INT(K1/100000)</f>
        <v>#REF!</v>
      </c>
      <c r="L9" s="510" t="e">
        <f t="shared" si="2"/>
        <v>#REF!</v>
      </c>
      <c r="M9" s="510"/>
      <c r="N9" s="513" t="e">
        <f>IF((L9=""),IF(M9="",""," Lac ")," Lac ")</f>
        <v>#REF!</v>
      </c>
      <c r="P9" s="512">
        <f>-INT(P1/10000000)*100+INT(P1/100000)</f>
        <v>0</v>
      </c>
      <c r="Q9" s="510" t="str">
        <f t="shared" si="3"/>
        <v/>
      </c>
      <c r="R9" s="510"/>
      <c r="S9" s="513" t="str">
        <f>IF((Q9=""),IF(R9="",""," Lac ")," Lac ")</f>
        <v/>
      </c>
      <c r="T9" s="530" t="e">
        <f t="shared" ref="T9:T23" si="4">IF(Y9="",0, 1)</f>
        <v>#REF!</v>
      </c>
      <c r="U9" s="526">
        <v>0</v>
      </c>
      <c r="V9" s="526">
        <v>0</v>
      </c>
      <c r="W9" s="526">
        <v>0</v>
      </c>
      <c r="X9" s="526">
        <v>1</v>
      </c>
      <c r="Y9" s="532" t="e">
        <f>IF(AND($A$1=0,$F$1=0,$K$1=0,$P$1&gt;0),$P$4, "")</f>
        <v>#REF!</v>
      </c>
    </row>
    <row r="10" spans="1:27">
      <c r="A10" s="512" t="e">
        <f>-INT(A1/1000000000)*100+INT(A1/10000000)</f>
        <v>#REF!</v>
      </c>
      <c r="B10" s="514" t="e">
        <f t="shared" si="0"/>
        <v>#REF!</v>
      </c>
      <c r="C10" s="510"/>
      <c r="D10" s="513" t="e">
        <f>IF((B10=""),IF(C10="",""," Crore ")," Crore ")</f>
        <v>#REF!</v>
      </c>
      <c r="E10" s="510"/>
      <c r="F10" s="512">
        <f>-INT(F1/1000000000)*100+INT(F1/10000000)</f>
        <v>0</v>
      </c>
      <c r="G10" s="514" t="str">
        <f t="shared" si="1"/>
        <v/>
      </c>
      <c r="H10" s="510"/>
      <c r="I10" s="513" t="str">
        <f>IF((G10=""),IF(H10="",""," Crore ")," Crore ")</f>
        <v/>
      </c>
      <c r="K10" s="512" t="e">
        <f>-INT(K1/1000000000)*100+INT(K1/10000000)</f>
        <v>#REF!</v>
      </c>
      <c r="L10" s="514" t="e">
        <f t="shared" si="2"/>
        <v>#REF!</v>
      </c>
      <c r="M10" s="510"/>
      <c r="N10" s="513" t="e">
        <f>IF((L10=""),IF(M10="",""," Crore ")," Crore ")</f>
        <v>#REF!</v>
      </c>
      <c r="P10" s="512">
        <f>-INT(P1/1000000000)*100+INT(P1/10000000)</f>
        <v>0</v>
      </c>
      <c r="Q10" s="514" t="str">
        <f t="shared" si="3"/>
        <v/>
      </c>
      <c r="R10" s="510"/>
      <c r="S10" s="513" t="str">
        <f>IF((Q10=""),IF(R10="",""," Crore ")," Crore ")</f>
        <v/>
      </c>
      <c r="T10" s="530" t="e">
        <f t="shared" si="4"/>
        <v>#REF!</v>
      </c>
      <c r="U10" s="526">
        <v>0</v>
      </c>
      <c r="V10" s="526">
        <v>0</v>
      </c>
      <c r="W10" s="526">
        <v>1</v>
      </c>
      <c r="X10" s="526">
        <v>0</v>
      </c>
      <c r="Y10" s="532" t="e">
        <f>IF(AND($A$1=0,$F$1=0,$K$1&gt;0,$P$1=0),$K$4, "")</f>
        <v>#REF!</v>
      </c>
    </row>
    <row r="11" spans="1:27">
      <c r="A11" s="515" t="e">
        <f>-INT(A1/10000000000)*1000+INT(A1/1000000000)</f>
        <v>#REF!</v>
      </c>
      <c r="B11" s="514" t="e">
        <f t="shared" si="0"/>
        <v>#REF!</v>
      </c>
      <c r="C11" s="510"/>
      <c r="D11" s="513" t="e">
        <f>IF((B11=""),IF(C11="",""," Hundred ")," Hundred ")</f>
        <v>#REF!</v>
      </c>
      <c r="E11" s="510"/>
      <c r="F11" s="515">
        <f>-INT(F1/10000000000)*1000+INT(F1/1000000000)</f>
        <v>0</v>
      </c>
      <c r="G11" s="514" t="str">
        <f t="shared" si="1"/>
        <v/>
      </c>
      <c r="H11" s="510"/>
      <c r="I11" s="513" t="str">
        <f>IF((G11=""),IF(H11="",""," Hundred ")," Hundred ")</f>
        <v/>
      </c>
      <c r="K11" s="515" t="e">
        <f>-INT(K1/10000000000)*1000+INT(K1/1000000000)</f>
        <v>#REF!</v>
      </c>
      <c r="L11" s="514" t="e">
        <f t="shared" si="2"/>
        <v>#REF!</v>
      </c>
      <c r="M11" s="510"/>
      <c r="N11" s="513" t="e">
        <f>IF((L11=""),IF(M11="",""," Hundred ")," Hundred ")</f>
        <v>#REF!</v>
      </c>
      <c r="P11" s="515">
        <f>-INT(P1/10000000000)*1000+INT(P1/1000000000)</f>
        <v>0</v>
      </c>
      <c r="Q11" s="514" t="str">
        <f t="shared" si="3"/>
        <v/>
      </c>
      <c r="R11" s="510"/>
      <c r="S11" s="513" t="str">
        <f>IF((Q11=""),IF(R11="",""," Hundred ")," Hundred ")</f>
        <v/>
      </c>
      <c r="T11" s="530" t="e">
        <f t="shared" si="4"/>
        <v>#REF!</v>
      </c>
      <c r="U11" s="526">
        <v>0</v>
      </c>
      <c r="V11" s="526">
        <v>0</v>
      </c>
      <c r="W11" s="526">
        <v>1</v>
      </c>
      <c r="X11" s="526">
        <v>1</v>
      </c>
      <c r="Y11" s="532" t="e">
        <f>IF(AND($A$1=0,$F$1=0,$K$1&gt;0,$P$1&gt;0),$K$4&amp;$AA$8&amp;$P$4, "")</f>
        <v>#REF!</v>
      </c>
    </row>
    <row r="12" spans="1:27">
      <c r="A12" s="516"/>
      <c r="B12" s="510"/>
      <c r="C12" s="510"/>
      <c r="D12" s="511"/>
      <c r="E12" s="510"/>
      <c r="F12" s="516"/>
      <c r="G12" s="510"/>
      <c r="H12" s="510"/>
      <c r="I12" s="511"/>
      <c r="K12" s="516"/>
      <c r="L12" s="510"/>
      <c r="M12" s="510"/>
      <c r="N12" s="511"/>
      <c r="P12" s="516"/>
      <c r="Q12" s="510"/>
      <c r="R12" s="510"/>
      <c r="S12" s="511"/>
      <c r="T12" s="530" t="e">
        <f t="shared" si="4"/>
        <v>#REF!</v>
      </c>
      <c r="U12" s="526">
        <v>0</v>
      </c>
      <c r="V12" s="526">
        <v>1</v>
      </c>
      <c r="W12" s="526">
        <v>0</v>
      </c>
      <c r="X12" s="526">
        <v>0</v>
      </c>
      <c r="Y12" s="532" t="e">
        <f>IF(AND($A$1=0,$F$1&gt;0,$K$1=0,$P$1=0),$F$4, "")</f>
        <v>#REF!</v>
      </c>
    </row>
    <row r="13" spans="1:27">
      <c r="A13" s="517">
        <v>1</v>
      </c>
      <c r="B13" s="518" t="s">
        <v>353</v>
      </c>
      <c r="C13" s="510"/>
      <c r="D13" s="511"/>
      <c r="E13" s="510"/>
      <c r="F13" s="517">
        <v>1</v>
      </c>
      <c r="G13" s="518" t="s">
        <v>353</v>
      </c>
      <c r="H13" s="510"/>
      <c r="I13" s="511"/>
      <c r="K13" s="517">
        <v>1</v>
      </c>
      <c r="L13" s="518" t="s">
        <v>353</v>
      </c>
      <c r="M13" s="510"/>
      <c r="N13" s="511"/>
      <c r="P13" s="517">
        <v>1</v>
      </c>
      <c r="Q13" s="518" t="s">
        <v>353</v>
      </c>
      <c r="R13" s="510"/>
      <c r="S13" s="511"/>
      <c r="T13" s="530" t="e">
        <f t="shared" si="4"/>
        <v>#REF!</v>
      </c>
      <c r="U13" s="526">
        <v>0</v>
      </c>
      <c r="V13" s="526">
        <v>1</v>
      </c>
      <c r="W13" s="526">
        <v>0</v>
      </c>
      <c r="X13" s="526">
        <v>1</v>
      </c>
      <c r="Y13" s="532" t="e">
        <f>IF(AND($A$1=0,$F$1&gt;0,$K$1=0,$P$1&gt;0),$F$4&amp;$AA$8&amp;$P$4, "")</f>
        <v>#REF!</v>
      </c>
    </row>
    <row r="14" spans="1:27">
      <c r="A14" s="517">
        <v>2</v>
      </c>
      <c r="B14" s="518" t="s">
        <v>354</v>
      </c>
      <c r="C14" s="510"/>
      <c r="D14" s="511"/>
      <c r="E14" s="510"/>
      <c r="F14" s="517">
        <v>2</v>
      </c>
      <c r="G14" s="518" t="s">
        <v>354</v>
      </c>
      <c r="H14" s="510"/>
      <c r="I14" s="511"/>
      <c r="K14" s="517">
        <v>2</v>
      </c>
      <c r="L14" s="518" t="s">
        <v>354</v>
      </c>
      <c r="M14" s="510"/>
      <c r="N14" s="511"/>
      <c r="P14" s="517">
        <v>2</v>
      </c>
      <c r="Q14" s="518" t="s">
        <v>354</v>
      </c>
      <c r="R14" s="510"/>
      <c r="S14" s="511"/>
      <c r="T14" s="530" t="e">
        <f t="shared" si="4"/>
        <v>#REF!</v>
      </c>
      <c r="U14" s="526">
        <v>0</v>
      </c>
      <c r="V14" s="526">
        <v>1</v>
      </c>
      <c r="W14" s="526">
        <v>1</v>
      </c>
      <c r="X14" s="526">
        <v>0</v>
      </c>
      <c r="Y14" s="532" t="e">
        <f>IF(AND($A$1=0,$F$1&gt;0,$K$1&gt;0,$P$1=0),$F$4&amp;$AA$8&amp;$K$4, "")</f>
        <v>#REF!</v>
      </c>
    </row>
    <row r="15" spans="1:27">
      <c r="A15" s="517">
        <v>3</v>
      </c>
      <c r="B15" s="518" t="s">
        <v>355</v>
      </c>
      <c r="C15" s="510"/>
      <c r="D15" s="511"/>
      <c r="E15" s="510"/>
      <c r="F15" s="517">
        <v>3</v>
      </c>
      <c r="G15" s="518" t="s">
        <v>355</v>
      </c>
      <c r="H15" s="510"/>
      <c r="I15" s="511"/>
      <c r="K15" s="517">
        <v>3</v>
      </c>
      <c r="L15" s="518" t="s">
        <v>355</v>
      </c>
      <c r="M15" s="510"/>
      <c r="N15" s="511"/>
      <c r="P15" s="517">
        <v>3</v>
      </c>
      <c r="Q15" s="518" t="s">
        <v>355</v>
      </c>
      <c r="R15" s="510"/>
      <c r="S15" s="511"/>
      <c r="T15" s="530" t="e">
        <f t="shared" si="4"/>
        <v>#REF!</v>
      </c>
      <c r="U15" s="526">
        <v>0</v>
      </c>
      <c r="V15" s="526">
        <v>1</v>
      </c>
      <c r="W15" s="526">
        <v>1</v>
      </c>
      <c r="X15" s="526">
        <v>1</v>
      </c>
      <c r="Y15" s="533" t="e">
        <f>IF(AND($A$1=0,$F$1&gt;0,$K$1&gt;0,$P$1&gt;0),$F$4&amp;$AA$8&amp;$K$4&amp;$AA$8&amp;$P$4, "")</f>
        <v>#REF!</v>
      </c>
    </row>
    <row r="16" spans="1:27">
      <c r="A16" s="517">
        <v>4</v>
      </c>
      <c r="B16" s="518" t="s">
        <v>356</v>
      </c>
      <c r="C16" s="510"/>
      <c r="D16" s="511"/>
      <c r="E16" s="510"/>
      <c r="F16" s="517">
        <v>4</v>
      </c>
      <c r="G16" s="518" t="s">
        <v>356</v>
      </c>
      <c r="H16" s="510"/>
      <c r="I16" s="511"/>
      <c r="K16" s="517">
        <v>4</v>
      </c>
      <c r="L16" s="518" t="s">
        <v>356</v>
      </c>
      <c r="M16" s="510"/>
      <c r="N16" s="511"/>
      <c r="P16" s="517">
        <v>4</v>
      </c>
      <c r="Q16" s="518" t="s">
        <v>356</v>
      </c>
      <c r="R16" s="510"/>
      <c r="S16" s="511"/>
      <c r="T16" s="530" t="e">
        <f t="shared" si="4"/>
        <v>#REF!</v>
      </c>
      <c r="U16" s="526">
        <v>1</v>
      </c>
      <c r="V16" s="526">
        <v>0</v>
      </c>
      <c r="W16" s="526">
        <v>0</v>
      </c>
      <c r="X16" s="526">
        <v>0</v>
      </c>
      <c r="Y16" s="531" t="e">
        <f>IF(AND($A$1&gt;0,$F$1=0,$K$1=0,$P$1=0), $A$4, "")</f>
        <v>#REF!</v>
      </c>
    </row>
    <row r="17" spans="1:27">
      <c r="A17" s="517">
        <v>5</v>
      </c>
      <c r="B17" s="518" t="s">
        <v>357</v>
      </c>
      <c r="C17" s="510"/>
      <c r="D17" s="511"/>
      <c r="E17" s="510"/>
      <c r="F17" s="517">
        <v>5</v>
      </c>
      <c r="G17" s="518" t="s">
        <v>357</v>
      </c>
      <c r="H17" s="510"/>
      <c r="I17" s="511"/>
      <c r="K17" s="517">
        <v>5</v>
      </c>
      <c r="L17" s="518" t="s">
        <v>357</v>
      </c>
      <c r="M17" s="510"/>
      <c r="N17" s="511"/>
      <c r="P17" s="517">
        <v>5</v>
      </c>
      <c r="Q17" s="518" t="s">
        <v>357</v>
      </c>
      <c r="R17" s="510"/>
      <c r="S17" s="511"/>
      <c r="T17" s="530" t="e">
        <f t="shared" si="4"/>
        <v>#REF!</v>
      </c>
      <c r="U17" s="526">
        <v>1</v>
      </c>
      <c r="V17" s="526">
        <v>0</v>
      </c>
      <c r="W17" s="526">
        <v>0</v>
      </c>
      <c r="X17" s="526">
        <v>1</v>
      </c>
      <c r="Y17" s="532" t="e">
        <f>IF(AND($A$1&gt;0,$F$1=0,$K$1=0,$P$1&gt;0),$A$4&amp;$AA$8&amp;$P$4, "")</f>
        <v>#REF!</v>
      </c>
    </row>
    <row r="18" spans="1:27">
      <c r="A18" s="517">
        <v>6</v>
      </c>
      <c r="B18" s="518" t="s">
        <v>358</v>
      </c>
      <c r="C18" s="510"/>
      <c r="D18" s="511"/>
      <c r="E18" s="510"/>
      <c r="F18" s="517">
        <v>6</v>
      </c>
      <c r="G18" s="518" t="s">
        <v>358</v>
      </c>
      <c r="H18" s="510"/>
      <c r="I18" s="511"/>
      <c r="K18" s="517">
        <v>6</v>
      </c>
      <c r="L18" s="518" t="s">
        <v>358</v>
      </c>
      <c r="M18" s="510"/>
      <c r="N18" s="511"/>
      <c r="P18" s="517">
        <v>6</v>
      </c>
      <c r="Q18" s="518" t="s">
        <v>358</v>
      </c>
      <c r="R18" s="510"/>
      <c r="S18" s="511"/>
      <c r="T18" s="530" t="e">
        <f t="shared" si="4"/>
        <v>#REF!</v>
      </c>
      <c r="U18" s="526">
        <v>1</v>
      </c>
      <c r="V18" s="526">
        <v>0</v>
      </c>
      <c r="W18" s="526">
        <v>1</v>
      </c>
      <c r="X18" s="526">
        <v>0</v>
      </c>
      <c r="Y18" s="532" t="e">
        <f>IF(AND($A$1&gt;0,$F$1=0,$K$1&gt;0,$P$1=0),$A$4&amp;$AA$8&amp;$K$4, "")</f>
        <v>#REF!</v>
      </c>
    </row>
    <row r="19" spans="1:27">
      <c r="A19" s="517">
        <v>7</v>
      </c>
      <c r="B19" s="518" t="s">
        <v>359</v>
      </c>
      <c r="C19" s="510"/>
      <c r="D19" s="511"/>
      <c r="E19" s="510"/>
      <c r="F19" s="517">
        <v>7</v>
      </c>
      <c r="G19" s="518" t="s">
        <v>359</v>
      </c>
      <c r="H19" s="510"/>
      <c r="I19" s="511"/>
      <c r="K19" s="517">
        <v>7</v>
      </c>
      <c r="L19" s="518" t="s">
        <v>359</v>
      </c>
      <c r="M19" s="510"/>
      <c r="N19" s="511"/>
      <c r="P19" s="517">
        <v>7</v>
      </c>
      <c r="Q19" s="518" t="s">
        <v>359</v>
      </c>
      <c r="R19" s="510"/>
      <c r="S19" s="511"/>
      <c r="T19" s="530" t="e">
        <f t="shared" si="4"/>
        <v>#REF!</v>
      </c>
      <c r="U19" s="526">
        <v>1</v>
      </c>
      <c r="V19" s="526">
        <v>0</v>
      </c>
      <c r="W19" s="526">
        <v>1</v>
      </c>
      <c r="X19" s="526">
        <v>1</v>
      </c>
      <c r="Y19" s="532" t="e">
        <f>IF(AND($A$1&gt;0,$F$1=0,$K$1&gt;0,$P$1&gt;0),$A$4&amp;$AA$8&amp;$K$4&amp;$AA$8&amp;$P$4, "")</f>
        <v>#REF!</v>
      </c>
    </row>
    <row r="20" spans="1:27">
      <c r="A20" s="517">
        <v>8</v>
      </c>
      <c r="B20" s="518" t="s">
        <v>360</v>
      </c>
      <c r="C20" s="510"/>
      <c r="D20" s="511"/>
      <c r="E20" s="510"/>
      <c r="F20" s="517">
        <v>8</v>
      </c>
      <c r="G20" s="518" t="s">
        <v>360</v>
      </c>
      <c r="H20" s="510"/>
      <c r="I20" s="511"/>
      <c r="K20" s="517">
        <v>8</v>
      </c>
      <c r="L20" s="518" t="s">
        <v>360</v>
      </c>
      <c r="M20" s="510"/>
      <c r="N20" s="511"/>
      <c r="P20" s="517">
        <v>8</v>
      </c>
      <c r="Q20" s="518" t="s">
        <v>360</v>
      </c>
      <c r="R20" s="510"/>
      <c r="S20" s="511"/>
      <c r="T20" s="530" t="e">
        <f t="shared" si="4"/>
        <v>#REF!</v>
      </c>
      <c r="U20" s="526">
        <v>1</v>
      </c>
      <c r="V20" s="526">
        <v>1</v>
      </c>
      <c r="W20" s="526">
        <v>0</v>
      </c>
      <c r="X20" s="526">
        <v>0</v>
      </c>
      <c r="Y20" s="532" t="e">
        <f>IF(AND($A$1&gt;0,$F$1&gt;0,$K$1=0,$P$1=0),$A$4&amp;$AA$8&amp;$F$4, "")</f>
        <v>#REF!</v>
      </c>
    </row>
    <row r="21" spans="1:27">
      <c r="A21" s="517">
        <v>9</v>
      </c>
      <c r="B21" s="518" t="s">
        <v>361</v>
      </c>
      <c r="C21" s="510"/>
      <c r="D21" s="511"/>
      <c r="E21" s="510"/>
      <c r="F21" s="517">
        <v>9</v>
      </c>
      <c r="G21" s="518" t="s">
        <v>361</v>
      </c>
      <c r="H21" s="510"/>
      <c r="I21" s="511"/>
      <c r="K21" s="517">
        <v>9</v>
      </c>
      <c r="L21" s="518" t="s">
        <v>361</v>
      </c>
      <c r="M21" s="510"/>
      <c r="N21" s="511"/>
      <c r="P21" s="517">
        <v>9</v>
      </c>
      <c r="Q21" s="518" t="s">
        <v>361</v>
      </c>
      <c r="R21" s="510"/>
      <c r="S21" s="511"/>
      <c r="T21" s="530" t="e">
        <f t="shared" si="4"/>
        <v>#REF!</v>
      </c>
      <c r="U21" s="526">
        <v>1</v>
      </c>
      <c r="V21" s="526">
        <v>1</v>
      </c>
      <c r="W21" s="526">
        <v>0</v>
      </c>
      <c r="X21" s="526">
        <v>1</v>
      </c>
      <c r="Y21" s="532" t="e">
        <f>IF(AND($A$1&gt;0,$F$1&gt;0,$K$1=0,$P$1&gt;0),$A$4&amp;$AA$8&amp;$F$4&amp;$AA$8&amp;$P$4, "")</f>
        <v>#REF!</v>
      </c>
    </row>
    <row r="22" spans="1:27">
      <c r="A22" s="517">
        <v>10</v>
      </c>
      <c r="B22" s="518" t="s">
        <v>362</v>
      </c>
      <c r="C22" s="510"/>
      <c r="D22" s="511"/>
      <c r="E22" s="510"/>
      <c r="F22" s="517">
        <v>10</v>
      </c>
      <c r="G22" s="518" t="s">
        <v>362</v>
      </c>
      <c r="H22" s="510"/>
      <c r="I22" s="511"/>
      <c r="K22" s="517">
        <v>10</v>
      </c>
      <c r="L22" s="518" t="s">
        <v>362</v>
      </c>
      <c r="M22" s="510"/>
      <c r="N22" s="511"/>
      <c r="P22" s="517">
        <v>10</v>
      </c>
      <c r="Q22" s="518" t="s">
        <v>362</v>
      </c>
      <c r="R22" s="510"/>
      <c r="S22" s="511"/>
      <c r="T22" s="530" t="e">
        <f t="shared" si="4"/>
        <v>#REF!</v>
      </c>
      <c r="U22" s="526">
        <v>1</v>
      </c>
      <c r="V22" s="526">
        <v>1</v>
      </c>
      <c r="W22" s="526">
        <v>1</v>
      </c>
      <c r="X22" s="526">
        <v>0</v>
      </c>
      <c r="Y22" s="532" t="e">
        <f>IF(AND($A$1&gt;0,$F$1&gt;0,$K$1&gt;0,$P$1=0),$A$4&amp;$AA$8&amp;$F$4&amp;$AA$8&amp;$K$4, "")</f>
        <v>#REF!</v>
      </c>
    </row>
    <row r="23" spans="1:27">
      <c r="A23" s="517">
        <v>11</v>
      </c>
      <c r="B23" s="518" t="s">
        <v>363</v>
      </c>
      <c r="C23" s="510"/>
      <c r="D23" s="511"/>
      <c r="E23" s="510"/>
      <c r="F23" s="517">
        <v>11</v>
      </c>
      <c r="G23" s="518" t="s">
        <v>363</v>
      </c>
      <c r="H23" s="510"/>
      <c r="I23" s="511"/>
      <c r="K23" s="517">
        <v>11</v>
      </c>
      <c r="L23" s="518" t="s">
        <v>363</v>
      </c>
      <c r="M23" s="510"/>
      <c r="N23" s="511"/>
      <c r="P23" s="517">
        <v>11</v>
      </c>
      <c r="Q23" s="518" t="s">
        <v>363</v>
      </c>
      <c r="R23" s="510"/>
      <c r="S23" s="511"/>
      <c r="T23" s="530" t="e">
        <f t="shared" si="4"/>
        <v>#REF!</v>
      </c>
      <c r="U23" s="526">
        <v>1</v>
      </c>
      <c r="V23" s="526">
        <v>1</v>
      </c>
      <c r="W23" s="526">
        <v>1</v>
      </c>
      <c r="X23" s="526">
        <v>1</v>
      </c>
      <c r="Y23" s="533" t="e">
        <f>IF(AND($A$1&gt;0,$F$1&gt;0,$K$1&gt;0,$P$1&gt;0),$A$4&amp;$AA$8&amp;$F$4&amp;$AA$8&amp;$K$4&amp;$AA$8&amp;$P$4, "")</f>
        <v>#REF!</v>
      </c>
    </row>
    <row r="24" spans="1:27">
      <c r="A24" s="517">
        <v>12</v>
      </c>
      <c r="B24" s="518" t="s">
        <v>364</v>
      </c>
      <c r="C24" s="510"/>
      <c r="D24" s="511"/>
      <c r="E24" s="510"/>
      <c r="F24" s="517">
        <v>12</v>
      </c>
      <c r="G24" s="518" t="s">
        <v>364</v>
      </c>
      <c r="H24" s="510"/>
      <c r="I24" s="511"/>
      <c r="K24" s="517">
        <v>12</v>
      </c>
      <c r="L24" s="518" t="s">
        <v>364</v>
      </c>
      <c r="M24" s="510"/>
      <c r="N24" s="511"/>
      <c r="P24" s="517">
        <v>12</v>
      </c>
      <c r="Q24" s="518" t="s">
        <v>364</v>
      </c>
      <c r="R24" s="510"/>
      <c r="S24" s="511"/>
    </row>
    <row r="25" spans="1:27">
      <c r="A25" s="517">
        <v>13</v>
      </c>
      <c r="B25" s="518" t="s">
        <v>365</v>
      </c>
      <c r="C25" s="510"/>
      <c r="D25" s="511"/>
      <c r="E25" s="510"/>
      <c r="F25" s="517">
        <v>13</v>
      </c>
      <c r="G25" s="518" t="s">
        <v>365</v>
      </c>
      <c r="H25" s="510"/>
      <c r="I25" s="511"/>
      <c r="K25" s="517">
        <v>13</v>
      </c>
      <c r="L25" s="518" t="s">
        <v>365</v>
      </c>
      <c r="M25" s="510"/>
      <c r="N25" s="511"/>
      <c r="P25" s="517">
        <v>13</v>
      </c>
      <c r="Q25" s="518" t="s">
        <v>365</v>
      </c>
      <c r="R25" s="510"/>
      <c r="S25" s="511"/>
    </row>
    <row r="26" spans="1:27">
      <c r="A26" s="517">
        <v>14</v>
      </c>
      <c r="B26" s="518" t="s">
        <v>366</v>
      </c>
      <c r="C26" s="510"/>
      <c r="D26" s="511"/>
      <c r="E26" s="510"/>
      <c r="F26" s="517">
        <v>14</v>
      </c>
      <c r="G26" s="518" t="s">
        <v>366</v>
      </c>
      <c r="H26" s="510"/>
      <c r="I26" s="511"/>
      <c r="K26" s="517">
        <v>14</v>
      </c>
      <c r="L26" s="518" t="s">
        <v>366</v>
      </c>
      <c r="M26" s="510"/>
      <c r="N26" s="511"/>
      <c r="P26" s="517">
        <v>14</v>
      </c>
      <c r="Q26" s="518" t="s">
        <v>366</v>
      </c>
      <c r="R26" s="510"/>
      <c r="S26" s="511"/>
    </row>
    <row r="27" spans="1:27">
      <c r="A27" s="517">
        <v>15</v>
      </c>
      <c r="B27" s="518" t="s">
        <v>367</v>
      </c>
      <c r="C27" s="510"/>
      <c r="D27" s="511"/>
      <c r="E27" s="510"/>
      <c r="F27" s="517">
        <v>15</v>
      </c>
      <c r="G27" s="518" t="s">
        <v>367</v>
      </c>
      <c r="H27" s="510"/>
      <c r="I27" s="511"/>
      <c r="K27" s="517">
        <v>15</v>
      </c>
      <c r="L27" s="518" t="s">
        <v>367</v>
      </c>
      <c r="M27" s="510"/>
      <c r="N27" s="511"/>
      <c r="P27" s="517">
        <v>15</v>
      </c>
      <c r="Q27" s="518" t="s">
        <v>367</v>
      </c>
      <c r="R27" s="510"/>
      <c r="S27" s="511"/>
    </row>
    <row r="28" spans="1:27">
      <c r="A28" s="517">
        <v>16</v>
      </c>
      <c r="B28" s="518" t="s">
        <v>368</v>
      </c>
      <c r="C28" s="510"/>
      <c r="D28" s="511"/>
      <c r="E28" s="510"/>
      <c r="F28" s="517">
        <v>16</v>
      </c>
      <c r="G28" s="518" t="s">
        <v>368</v>
      </c>
      <c r="H28" s="510"/>
      <c r="I28" s="511"/>
      <c r="K28" s="517">
        <v>16</v>
      </c>
      <c r="L28" s="518" t="s">
        <v>368</v>
      </c>
      <c r="M28" s="510"/>
      <c r="N28" s="511"/>
      <c r="P28" s="517">
        <v>16</v>
      </c>
      <c r="Q28" s="518" t="s">
        <v>368</v>
      </c>
      <c r="R28" s="510"/>
      <c r="S28" s="511"/>
      <c r="T28" s="530" t="e">
        <f>IF(Y28="",0, 1)</f>
        <v>#REF!</v>
      </c>
      <c r="U28" s="526">
        <v>0</v>
      </c>
      <c r="V28" s="526">
        <v>0</v>
      </c>
      <c r="W28" s="526">
        <v>0</v>
      </c>
      <c r="X28" s="526">
        <v>0</v>
      </c>
      <c r="Y28" s="531" t="e">
        <f>IF(AND($A$1=0,$F$1=0,$K$1=0,$P$1=0)," 0/-", "")</f>
        <v>#REF!</v>
      </c>
      <c r="AA28" s="526" t="s">
        <v>455</v>
      </c>
    </row>
    <row r="29" spans="1:27">
      <c r="A29" s="517">
        <v>17</v>
      </c>
      <c r="B29" s="518" t="s">
        <v>369</v>
      </c>
      <c r="C29" s="510"/>
      <c r="D29" s="511"/>
      <c r="E29" s="510"/>
      <c r="F29" s="517">
        <v>17</v>
      </c>
      <c r="G29" s="518" t="s">
        <v>369</v>
      </c>
      <c r="H29" s="510"/>
      <c r="I29" s="511"/>
      <c r="K29" s="517">
        <v>17</v>
      </c>
      <c r="L29" s="518" t="s">
        <v>369</v>
      </c>
      <c r="M29" s="510"/>
      <c r="N29" s="511"/>
      <c r="P29" s="517">
        <v>17</v>
      </c>
      <c r="Q29" s="518" t="s">
        <v>369</v>
      </c>
      <c r="R29" s="510"/>
      <c r="S29" s="511"/>
      <c r="T29" s="530" t="e">
        <f t="shared" ref="T29:T43" si="5">IF(Y29="",0, 1)</f>
        <v>#REF!</v>
      </c>
      <c r="U29" s="526">
        <v>0</v>
      </c>
      <c r="V29" s="526">
        <v>0</v>
      </c>
      <c r="W29" s="526">
        <v>0</v>
      </c>
      <c r="X29" s="526">
        <v>1</v>
      </c>
      <c r="Y29" s="532" t="e">
        <f>IF(AND($A$1=0,$F$1=0,$K$1=0,$P$1&gt;0),$U$3&amp;$P$1&amp;$AA$30, "")</f>
        <v>#REF!</v>
      </c>
      <c r="AA29" s="526" t="s">
        <v>456</v>
      </c>
    </row>
    <row r="30" spans="1:27">
      <c r="A30" s="517">
        <v>18</v>
      </c>
      <c r="B30" s="518" t="s">
        <v>370</v>
      </c>
      <c r="C30" s="510"/>
      <c r="D30" s="511"/>
      <c r="E30" s="510"/>
      <c r="F30" s="517">
        <v>18</v>
      </c>
      <c r="G30" s="518" t="s">
        <v>370</v>
      </c>
      <c r="H30" s="510"/>
      <c r="I30" s="511"/>
      <c r="K30" s="517">
        <v>18</v>
      </c>
      <c r="L30" s="518" t="s">
        <v>370</v>
      </c>
      <c r="M30" s="510"/>
      <c r="N30" s="511"/>
      <c r="P30" s="517">
        <v>18</v>
      </c>
      <c r="Q30" s="518" t="s">
        <v>370</v>
      </c>
      <c r="R30" s="510"/>
      <c r="S30" s="511"/>
      <c r="T30" s="530" t="e">
        <f t="shared" si="5"/>
        <v>#REF!</v>
      </c>
      <c r="U30" s="526">
        <v>0</v>
      </c>
      <c r="V30" s="526">
        <v>0</v>
      </c>
      <c r="W30" s="526">
        <v>1</v>
      </c>
      <c r="X30" s="526">
        <v>0</v>
      </c>
      <c r="Y30" s="532" t="e">
        <f>IF(AND($A$1=0,$F$1=0,$K$1&gt;0,$P$1=0),$U$2&amp;$K$1&amp;$AA$30, "")</f>
        <v>#REF!</v>
      </c>
      <c r="AA30" s="526" t="s">
        <v>457</v>
      </c>
    </row>
    <row r="31" spans="1:27">
      <c r="A31" s="517">
        <v>19</v>
      </c>
      <c r="B31" s="518" t="s">
        <v>371</v>
      </c>
      <c r="C31" s="510"/>
      <c r="D31" s="511"/>
      <c r="E31" s="510"/>
      <c r="F31" s="517">
        <v>19</v>
      </c>
      <c r="G31" s="518" t="s">
        <v>371</v>
      </c>
      <c r="H31" s="510"/>
      <c r="I31" s="511"/>
      <c r="K31" s="517">
        <v>19</v>
      </c>
      <c r="L31" s="518" t="s">
        <v>371</v>
      </c>
      <c r="M31" s="510"/>
      <c r="N31" s="511"/>
      <c r="P31" s="517">
        <v>19</v>
      </c>
      <c r="Q31" s="518" t="s">
        <v>371</v>
      </c>
      <c r="R31" s="510"/>
      <c r="S31" s="511"/>
      <c r="T31" s="530" t="e">
        <f t="shared" si="5"/>
        <v>#REF!</v>
      </c>
      <c r="U31" s="526">
        <v>0</v>
      </c>
      <c r="V31" s="526">
        <v>0</v>
      </c>
      <c r="W31" s="526">
        <v>1</v>
      </c>
      <c r="X31" s="526">
        <v>1</v>
      </c>
      <c r="Y31" s="532" t="e">
        <f>IF(AND($A$1=0,$F$1=0,$K$1&gt;0,$P$1&gt;0),$U$2&amp;$K$1&amp;$AA$29&amp;$U$3&amp;$P$1&amp;$AA$30, "")</f>
        <v>#REF!</v>
      </c>
    </row>
    <row r="32" spans="1:27">
      <c r="A32" s="517">
        <v>20</v>
      </c>
      <c r="B32" s="518" t="s">
        <v>372</v>
      </c>
      <c r="C32" s="510"/>
      <c r="D32" s="511"/>
      <c r="E32" s="510"/>
      <c r="F32" s="517">
        <v>20</v>
      </c>
      <c r="G32" s="518" t="s">
        <v>372</v>
      </c>
      <c r="H32" s="510"/>
      <c r="I32" s="511"/>
      <c r="K32" s="517">
        <v>20</v>
      </c>
      <c r="L32" s="518" t="s">
        <v>372</v>
      </c>
      <c r="M32" s="510"/>
      <c r="N32" s="511"/>
      <c r="P32" s="517">
        <v>20</v>
      </c>
      <c r="Q32" s="518" t="s">
        <v>372</v>
      </c>
      <c r="R32" s="510"/>
      <c r="S32" s="511"/>
      <c r="T32" s="530" t="e">
        <f t="shared" si="5"/>
        <v>#REF!</v>
      </c>
      <c r="U32" s="526">
        <v>0</v>
      </c>
      <c r="V32" s="526">
        <v>1</v>
      </c>
      <c r="W32" s="526">
        <v>0</v>
      </c>
      <c r="X32" s="526">
        <v>0</v>
      </c>
      <c r="Y32" s="532" t="e">
        <f>IF(AND($A$1=0,$F$1&gt;0,$K$1=0,$P$1=0),$U$1&amp;$F$1&amp;$AA$30, "")</f>
        <v>#REF!</v>
      </c>
    </row>
    <row r="33" spans="1:25">
      <c r="A33" s="517">
        <v>21</v>
      </c>
      <c r="B33" s="518" t="s">
        <v>373</v>
      </c>
      <c r="C33" s="510"/>
      <c r="D33" s="511"/>
      <c r="E33" s="510"/>
      <c r="F33" s="517">
        <v>21</v>
      </c>
      <c r="G33" s="518" t="s">
        <v>373</v>
      </c>
      <c r="H33" s="510"/>
      <c r="I33" s="511"/>
      <c r="K33" s="517">
        <v>21</v>
      </c>
      <c r="L33" s="518" t="s">
        <v>373</v>
      </c>
      <c r="M33" s="510"/>
      <c r="N33" s="511"/>
      <c r="P33" s="517">
        <v>21</v>
      </c>
      <c r="Q33" s="518" t="s">
        <v>373</v>
      </c>
      <c r="R33" s="510"/>
      <c r="S33" s="511"/>
      <c r="T33" s="530" t="e">
        <f t="shared" si="5"/>
        <v>#REF!</v>
      </c>
      <c r="U33" s="526">
        <v>0</v>
      </c>
      <c r="V33" s="526">
        <v>1</v>
      </c>
      <c r="W33" s="526">
        <v>0</v>
      </c>
      <c r="X33" s="526">
        <v>1</v>
      </c>
      <c r="Y33" s="532" t="e">
        <f>IF(AND($A$1=0,$F$1&gt;0,$K$1=0,$P$1&gt;0),$U$1&amp;$F$1&amp;$AA$29&amp;$U$3&amp;$P$1&amp;$AA$30, "")</f>
        <v>#REF!</v>
      </c>
    </row>
    <row r="34" spans="1:25">
      <c r="A34" s="517">
        <v>22</v>
      </c>
      <c r="B34" s="518" t="s">
        <v>374</v>
      </c>
      <c r="C34" s="510"/>
      <c r="D34" s="511"/>
      <c r="E34" s="510"/>
      <c r="F34" s="517">
        <v>22</v>
      </c>
      <c r="G34" s="518" t="s">
        <v>374</v>
      </c>
      <c r="H34" s="510"/>
      <c r="I34" s="511"/>
      <c r="K34" s="517">
        <v>22</v>
      </c>
      <c r="L34" s="518" t="s">
        <v>374</v>
      </c>
      <c r="M34" s="510"/>
      <c r="N34" s="511"/>
      <c r="P34" s="517">
        <v>22</v>
      </c>
      <c r="Q34" s="518" t="s">
        <v>374</v>
      </c>
      <c r="R34" s="510"/>
      <c r="S34" s="511"/>
      <c r="T34" s="530" t="e">
        <f t="shared" si="5"/>
        <v>#REF!</v>
      </c>
      <c r="U34" s="526">
        <v>0</v>
      </c>
      <c r="V34" s="526">
        <v>1</v>
      </c>
      <c r="W34" s="526">
        <v>1</v>
      </c>
      <c r="X34" s="526">
        <v>0</v>
      </c>
      <c r="Y34" s="532" t="e">
        <f>IF(AND($A$1=0,$F$1&gt;0,$K$1&gt;0,$P$1=0),$U$1&amp;$F$1&amp;$AA$29&amp;$U$2&amp;$K$1, "")</f>
        <v>#REF!</v>
      </c>
    </row>
    <row r="35" spans="1:25">
      <c r="A35" s="517">
        <v>23</v>
      </c>
      <c r="B35" s="518" t="s">
        <v>375</v>
      </c>
      <c r="C35" s="510"/>
      <c r="D35" s="511"/>
      <c r="E35" s="510"/>
      <c r="F35" s="517">
        <v>23</v>
      </c>
      <c r="G35" s="518" t="s">
        <v>375</v>
      </c>
      <c r="H35" s="510"/>
      <c r="I35" s="511"/>
      <c r="K35" s="517">
        <v>23</v>
      </c>
      <c r="L35" s="518" t="s">
        <v>375</v>
      </c>
      <c r="M35" s="510"/>
      <c r="N35" s="511"/>
      <c r="P35" s="517">
        <v>23</v>
      </c>
      <c r="Q35" s="518" t="s">
        <v>375</v>
      </c>
      <c r="R35" s="510"/>
      <c r="S35" s="511"/>
      <c r="T35" s="530" t="e">
        <f t="shared" si="5"/>
        <v>#REF!</v>
      </c>
      <c r="U35" s="526">
        <v>0</v>
      </c>
      <c r="V35" s="526">
        <v>1</v>
      </c>
      <c r="W35" s="526">
        <v>1</v>
      </c>
      <c r="X35" s="526">
        <v>1</v>
      </c>
      <c r="Y35" s="533" t="e">
        <f>IF(AND($A$1=0,$F$1&gt;0,$K$1&gt;0,$P$1&gt;0),$U$1&amp;$F$1&amp;$AA$29&amp;$U$2&amp;$K$1&amp;$AA$29&amp;$U$3&amp;$P$1&amp;$AA$30, "")</f>
        <v>#REF!</v>
      </c>
    </row>
    <row r="36" spans="1:25">
      <c r="A36" s="517">
        <v>24</v>
      </c>
      <c r="B36" s="518" t="s">
        <v>376</v>
      </c>
      <c r="C36" s="510"/>
      <c r="D36" s="511"/>
      <c r="E36" s="510"/>
      <c r="F36" s="517">
        <v>24</v>
      </c>
      <c r="G36" s="518" t="s">
        <v>376</v>
      </c>
      <c r="H36" s="510"/>
      <c r="I36" s="511"/>
      <c r="K36" s="517">
        <v>24</v>
      </c>
      <c r="L36" s="518" t="s">
        <v>376</v>
      </c>
      <c r="M36" s="510"/>
      <c r="N36" s="511"/>
      <c r="P36" s="517">
        <v>24</v>
      </c>
      <c r="Q36" s="518" t="s">
        <v>376</v>
      </c>
      <c r="R36" s="510"/>
      <c r="S36" s="511"/>
      <c r="T36" s="530" t="e">
        <f t="shared" si="5"/>
        <v>#REF!</v>
      </c>
      <c r="U36" s="526">
        <v>1</v>
      </c>
      <c r="V36" s="526">
        <v>0</v>
      </c>
      <c r="W36" s="526">
        <v>0</v>
      </c>
      <c r="X36" s="526">
        <v>0</v>
      </c>
      <c r="Y36" s="531" t="e">
        <f>IF(AND($A$1&gt;0,$F$1=0,$K$1=0,$P$1=0),#REF!&amp; $A$1&amp;$AA$30, "")</f>
        <v>#REF!</v>
      </c>
    </row>
    <row r="37" spans="1:25">
      <c r="A37" s="517">
        <v>25</v>
      </c>
      <c r="B37" s="518" t="s">
        <v>377</v>
      </c>
      <c r="C37" s="510"/>
      <c r="D37" s="511"/>
      <c r="E37" s="510"/>
      <c r="F37" s="517">
        <v>25</v>
      </c>
      <c r="G37" s="518" t="s">
        <v>377</v>
      </c>
      <c r="H37" s="510"/>
      <c r="I37" s="511"/>
      <c r="K37" s="517">
        <v>25</v>
      </c>
      <c r="L37" s="518" t="s">
        <v>377</v>
      </c>
      <c r="M37" s="510"/>
      <c r="N37" s="511"/>
      <c r="P37" s="517">
        <v>25</v>
      </c>
      <c r="Q37" s="518" t="s">
        <v>377</v>
      </c>
      <c r="R37" s="510"/>
      <c r="S37" s="511"/>
      <c r="T37" s="530" t="e">
        <f t="shared" si="5"/>
        <v>#REF!</v>
      </c>
      <c r="U37" s="526">
        <v>1</v>
      </c>
      <c r="V37" s="526">
        <v>0</v>
      </c>
      <c r="W37" s="526">
        <v>0</v>
      </c>
      <c r="X37" s="526">
        <v>1</v>
      </c>
      <c r="Y37" s="532" t="e">
        <f>IF(AND($A$1&gt;0,$F$1=0,$K$1=0,$P$1&gt;0),#REF!&amp;$A$1&amp;$AA$29&amp;$U$3&amp;$P$1&amp;$AA$30, "")</f>
        <v>#REF!</v>
      </c>
    </row>
    <row r="38" spans="1:25">
      <c r="A38" s="517">
        <v>26</v>
      </c>
      <c r="B38" s="518" t="s">
        <v>378</v>
      </c>
      <c r="C38" s="510"/>
      <c r="D38" s="511"/>
      <c r="E38" s="510"/>
      <c r="F38" s="517">
        <v>26</v>
      </c>
      <c r="G38" s="518" t="s">
        <v>378</v>
      </c>
      <c r="H38" s="510"/>
      <c r="I38" s="511"/>
      <c r="K38" s="517">
        <v>26</v>
      </c>
      <c r="L38" s="518" t="s">
        <v>378</v>
      </c>
      <c r="M38" s="510"/>
      <c r="N38" s="511"/>
      <c r="P38" s="517">
        <v>26</v>
      </c>
      <c r="Q38" s="518" t="s">
        <v>378</v>
      </c>
      <c r="R38" s="510"/>
      <c r="S38" s="511"/>
      <c r="T38" s="530" t="e">
        <f t="shared" si="5"/>
        <v>#REF!</v>
      </c>
      <c r="U38" s="526">
        <v>1</v>
      </c>
      <c r="V38" s="526">
        <v>0</v>
      </c>
      <c r="W38" s="526">
        <v>1</v>
      </c>
      <c r="X38" s="526">
        <v>0</v>
      </c>
      <c r="Y38" s="532" t="e">
        <f>IF(AND($A$1&gt;0,$F$1=0,$K$1&gt;0,$P$1=0),#REF!&amp;$A$1&amp;$AA$29&amp;$U$2&amp;$K$1, "")</f>
        <v>#REF!</v>
      </c>
    </row>
    <row r="39" spans="1:25">
      <c r="A39" s="517">
        <v>27</v>
      </c>
      <c r="B39" s="518" t="s">
        <v>379</v>
      </c>
      <c r="C39" s="510"/>
      <c r="D39" s="511"/>
      <c r="E39" s="510"/>
      <c r="F39" s="517">
        <v>27</v>
      </c>
      <c r="G39" s="518" t="s">
        <v>379</v>
      </c>
      <c r="H39" s="510"/>
      <c r="I39" s="511"/>
      <c r="K39" s="517">
        <v>27</v>
      </c>
      <c r="L39" s="518" t="s">
        <v>379</v>
      </c>
      <c r="M39" s="510"/>
      <c r="N39" s="511"/>
      <c r="P39" s="517">
        <v>27</v>
      </c>
      <c r="Q39" s="518" t="s">
        <v>379</v>
      </c>
      <c r="R39" s="510"/>
      <c r="S39" s="511"/>
      <c r="T39" s="530" t="e">
        <f t="shared" si="5"/>
        <v>#REF!</v>
      </c>
      <c r="U39" s="526">
        <v>1</v>
      </c>
      <c r="V39" s="526">
        <v>0</v>
      </c>
      <c r="W39" s="526">
        <v>1</v>
      </c>
      <c r="X39" s="526">
        <v>1</v>
      </c>
      <c r="Y39" s="532" t="e">
        <f>IF(AND($A$1&gt;0,$F$1=0,$K$1&gt;0,$P$1&gt;0),#REF!&amp;$A$1&amp;$AA$29&amp;$U$2&amp;$K$1&amp;$AA$29&amp;$U$3&amp;$P$1&amp;$AA$30, "")</f>
        <v>#REF!</v>
      </c>
    </row>
    <row r="40" spans="1:25">
      <c r="A40" s="517">
        <v>28</v>
      </c>
      <c r="B40" s="518" t="s">
        <v>380</v>
      </c>
      <c r="C40" s="510"/>
      <c r="D40" s="511"/>
      <c r="E40" s="510"/>
      <c r="F40" s="517">
        <v>28</v>
      </c>
      <c r="G40" s="518" t="s">
        <v>380</v>
      </c>
      <c r="H40" s="510"/>
      <c r="I40" s="511"/>
      <c r="K40" s="517">
        <v>28</v>
      </c>
      <c r="L40" s="518" t="s">
        <v>380</v>
      </c>
      <c r="M40" s="510"/>
      <c r="N40" s="511"/>
      <c r="P40" s="517">
        <v>28</v>
      </c>
      <c r="Q40" s="518" t="s">
        <v>380</v>
      </c>
      <c r="R40" s="510"/>
      <c r="S40" s="511"/>
      <c r="T40" s="530" t="e">
        <f t="shared" si="5"/>
        <v>#REF!</v>
      </c>
      <c r="U40" s="526">
        <v>1</v>
      </c>
      <c r="V40" s="526">
        <v>1</v>
      </c>
      <c r="W40" s="526">
        <v>0</v>
      </c>
      <c r="X40" s="526">
        <v>0</v>
      </c>
      <c r="Y40" s="532" t="e">
        <f>IF(AND($A$1&gt;0,$F$1&gt;0,$K$1=0,$P$1=0),#REF!&amp;$A$1&amp;$AA$29&amp;$U$1&amp;$F$1, "")</f>
        <v>#REF!</v>
      </c>
    </row>
    <row r="41" spans="1:25">
      <c r="A41" s="517">
        <v>29</v>
      </c>
      <c r="B41" s="518" t="s">
        <v>381</v>
      </c>
      <c r="C41" s="510"/>
      <c r="D41" s="511"/>
      <c r="E41" s="510"/>
      <c r="F41" s="517">
        <v>29</v>
      </c>
      <c r="G41" s="518" t="s">
        <v>381</v>
      </c>
      <c r="H41" s="510"/>
      <c r="I41" s="511"/>
      <c r="K41" s="517">
        <v>29</v>
      </c>
      <c r="L41" s="518" t="s">
        <v>381</v>
      </c>
      <c r="M41" s="510"/>
      <c r="N41" s="511"/>
      <c r="P41" s="517">
        <v>29</v>
      </c>
      <c r="Q41" s="518" t="s">
        <v>381</v>
      </c>
      <c r="R41" s="510"/>
      <c r="S41" s="511"/>
      <c r="T41" s="530" t="e">
        <f t="shared" si="5"/>
        <v>#REF!</v>
      </c>
      <c r="U41" s="526">
        <v>1</v>
      </c>
      <c r="V41" s="526">
        <v>1</v>
      </c>
      <c r="W41" s="526">
        <v>0</v>
      </c>
      <c r="X41" s="526">
        <v>1</v>
      </c>
      <c r="Y41" s="532" t="e">
        <f>IF(AND($A$1&gt;0,$F$1&gt;0,$K$1=0,$P$1&gt;0),#REF!&amp;$A$1&amp;$AA$29&amp;$U$1&amp;$F$1&amp;$AA$29&amp;$U$3&amp;$P$1&amp;$AA$30, "")</f>
        <v>#REF!</v>
      </c>
    </row>
    <row r="42" spans="1:25">
      <c r="A42" s="517">
        <v>30</v>
      </c>
      <c r="B42" s="518" t="s">
        <v>382</v>
      </c>
      <c r="C42" s="510"/>
      <c r="D42" s="511"/>
      <c r="E42" s="510"/>
      <c r="F42" s="517">
        <v>30</v>
      </c>
      <c r="G42" s="518" t="s">
        <v>382</v>
      </c>
      <c r="H42" s="510"/>
      <c r="I42" s="511"/>
      <c r="K42" s="517">
        <v>30</v>
      </c>
      <c r="L42" s="518" t="s">
        <v>382</v>
      </c>
      <c r="M42" s="510"/>
      <c r="N42" s="511"/>
      <c r="P42" s="517">
        <v>30</v>
      </c>
      <c r="Q42" s="518" t="s">
        <v>382</v>
      </c>
      <c r="R42" s="510"/>
      <c r="S42" s="511"/>
      <c r="T42" s="530" t="e">
        <f t="shared" si="5"/>
        <v>#REF!</v>
      </c>
      <c r="U42" s="526">
        <v>1</v>
      </c>
      <c r="V42" s="526">
        <v>1</v>
      </c>
      <c r="W42" s="526">
        <v>1</v>
      </c>
      <c r="X42" s="526">
        <v>0</v>
      </c>
      <c r="Y42" s="532" t="e">
        <f>IF(AND($A$1&gt;0,$F$1&gt;0,$K$1&gt;0,$P$1=0),#REF!&amp;$A$1&amp;$AA$29&amp;$U$1&amp;$F$1&amp;$AA$29&amp;$U$2&amp;$K$1, "")</f>
        <v>#REF!</v>
      </c>
    </row>
    <row r="43" spans="1:25">
      <c r="A43" s="517">
        <v>31</v>
      </c>
      <c r="B43" s="518" t="s">
        <v>383</v>
      </c>
      <c r="C43" s="510"/>
      <c r="D43" s="511"/>
      <c r="E43" s="510"/>
      <c r="F43" s="517">
        <v>31</v>
      </c>
      <c r="G43" s="518" t="s">
        <v>383</v>
      </c>
      <c r="H43" s="510"/>
      <c r="I43" s="511"/>
      <c r="K43" s="517">
        <v>31</v>
      </c>
      <c r="L43" s="518" t="s">
        <v>383</v>
      </c>
      <c r="M43" s="510"/>
      <c r="N43" s="511"/>
      <c r="P43" s="517">
        <v>31</v>
      </c>
      <c r="Q43" s="518" t="s">
        <v>383</v>
      </c>
      <c r="R43" s="510"/>
      <c r="S43" s="511"/>
      <c r="T43" s="530" t="e">
        <f t="shared" si="5"/>
        <v>#REF!</v>
      </c>
      <c r="U43" s="526">
        <v>1</v>
      </c>
      <c r="V43" s="526">
        <v>1</v>
      </c>
      <c r="W43" s="526">
        <v>1</v>
      </c>
      <c r="X43" s="526">
        <v>1</v>
      </c>
      <c r="Y43" s="533" t="e">
        <f>IF(AND($A$1&gt;0,$F$1&gt;0,$K$1&gt;0,$P$1&gt;0),#REF!&amp;$A$1&amp;$AA$29&amp;$U$1&amp;$F$1&amp;$AA$29&amp;$U$2&amp;$K$1&amp;$AA$29&amp;$U$3&amp;$P$1&amp;$AA$30, "")</f>
        <v>#REF!</v>
      </c>
    </row>
    <row r="44" spans="1:25">
      <c r="A44" s="517">
        <v>32</v>
      </c>
      <c r="B44" s="518" t="s">
        <v>384</v>
      </c>
      <c r="C44" s="510"/>
      <c r="D44" s="511"/>
      <c r="E44" s="510"/>
      <c r="F44" s="517">
        <v>32</v>
      </c>
      <c r="G44" s="518" t="s">
        <v>384</v>
      </c>
      <c r="H44" s="510"/>
      <c r="I44" s="511"/>
      <c r="K44" s="517">
        <v>32</v>
      </c>
      <c r="L44" s="518" t="s">
        <v>384</v>
      </c>
      <c r="M44" s="510"/>
      <c r="N44" s="511"/>
      <c r="P44" s="517">
        <v>32</v>
      </c>
      <c r="Q44" s="518" t="s">
        <v>384</v>
      </c>
      <c r="R44" s="510"/>
      <c r="S44" s="511"/>
    </row>
    <row r="45" spans="1:25">
      <c r="A45" s="517">
        <v>33</v>
      </c>
      <c r="B45" s="518" t="s">
        <v>385</v>
      </c>
      <c r="C45" s="510"/>
      <c r="D45" s="511"/>
      <c r="E45" s="510"/>
      <c r="F45" s="517">
        <v>33</v>
      </c>
      <c r="G45" s="518" t="s">
        <v>385</v>
      </c>
      <c r="H45" s="510"/>
      <c r="I45" s="511"/>
      <c r="K45" s="517">
        <v>33</v>
      </c>
      <c r="L45" s="518" t="s">
        <v>385</v>
      </c>
      <c r="M45" s="510"/>
      <c r="N45" s="511"/>
      <c r="P45" s="517">
        <v>33</v>
      </c>
      <c r="Q45" s="518" t="s">
        <v>385</v>
      </c>
      <c r="R45" s="510"/>
      <c r="S45" s="511"/>
    </row>
    <row r="46" spans="1:25">
      <c r="A46" s="517">
        <v>34</v>
      </c>
      <c r="B46" s="518" t="s">
        <v>386</v>
      </c>
      <c r="C46" s="510"/>
      <c r="D46" s="511"/>
      <c r="E46" s="510"/>
      <c r="F46" s="517">
        <v>34</v>
      </c>
      <c r="G46" s="518" t="s">
        <v>386</v>
      </c>
      <c r="H46" s="510"/>
      <c r="I46" s="511"/>
      <c r="K46" s="517">
        <v>34</v>
      </c>
      <c r="L46" s="518" t="s">
        <v>386</v>
      </c>
      <c r="M46" s="510"/>
      <c r="N46" s="511"/>
      <c r="P46" s="517">
        <v>34</v>
      </c>
      <c r="Q46" s="518" t="s">
        <v>386</v>
      </c>
      <c r="R46" s="510"/>
      <c r="S46" s="511"/>
    </row>
    <row r="47" spans="1:25">
      <c r="A47" s="517">
        <v>35</v>
      </c>
      <c r="B47" s="518" t="s">
        <v>387</v>
      </c>
      <c r="C47" s="510"/>
      <c r="D47" s="511"/>
      <c r="E47" s="510"/>
      <c r="F47" s="517">
        <v>35</v>
      </c>
      <c r="G47" s="518" t="s">
        <v>387</v>
      </c>
      <c r="H47" s="510"/>
      <c r="I47" s="511"/>
      <c r="K47" s="517">
        <v>35</v>
      </c>
      <c r="L47" s="518" t="s">
        <v>387</v>
      </c>
      <c r="M47" s="510"/>
      <c r="N47" s="511"/>
      <c r="P47" s="517">
        <v>35</v>
      </c>
      <c r="Q47" s="518" t="s">
        <v>387</v>
      </c>
      <c r="R47" s="510"/>
      <c r="S47" s="511"/>
    </row>
    <row r="48" spans="1:25">
      <c r="A48" s="517">
        <v>36</v>
      </c>
      <c r="B48" s="518" t="s">
        <v>388</v>
      </c>
      <c r="C48" s="510"/>
      <c r="D48" s="511"/>
      <c r="E48" s="510"/>
      <c r="F48" s="517">
        <v>36</v>
      </c>
      <c r="G48" s="518" t="s">
        <v>388</v>
      </c>
      <c r="H48" s="510"/>
      <c r="I48" s="511"/>
      <c r="K48" s="517">
        <v>36</v>
      </c>
      <c r="L48" s="518" t="s">
        <v>388</v>
      </c>
      <c r="M48" s="510"/>
      <c r="N48" s="511"/>
      <c r="P48" s="517">
        <v>36</v>
      </c>
      <c r="Q48" s="518" t="s">
        <v>388</v>
      </c>
      <c r="R48" s="510"/>
      <c r="S48" s="511"/>
    </row>
    <row r="49" spans="1:19">
      <c r="A49" s="517">
        <v>37</v>
      </c>
      <c r="B49" s="518" t="s">
        <v>389</v>
      </c>
      <c r="C49" s="510"/>
      <c r="D49" s="511"/>
      <c r="E49" s="510"/>
      <c r="F49" s="517">
        <v>37</v>
      </c>
      <c r="G49" s="518" t="s">
        <v>389</v>
      </c>
      <c r="H49" s="510"/>
      <c r="I49" s="511"/>
      <c r="K49" s="517">
        <v>37</v>
      </c>
      <c r="L49" s="518" t="s">
        <v>389</v>
      </c>
      <c r="M49" s="510"/>
      <c r="N49" s="511"/>
      <c r="P49" s="517">
        <v>37</v>
      </c>
      <c r="Q49" s="518" t="s">
        <v>389</v>
      </c>
      <c r="R49" s="510"/>
      <c r="S49" s="511"/>
    </row>
    <row r="50" spans="1:19">
      <c r="A50" s="517">
        <v>38</v>
      </c>
      <c r="B50" s="518" t="s">
        <v>390</v>
      </c>
      <c r="C50" s="510"/>
      <c r="D50" s="511"/>
      <c r="E50" s="510"/>
      <c r="F50" s="517">
        <v>38</v>
      </c>
      <c r="G50" s="518" t="s">
        <v>390</v>
      </c>
      <c r="H50" s="510"/>
      <c r="I50" s="511"/>
      <c r="K50" s="517">
        <v>38</v>
      </c>
      <c r="L50" s="518" t="s">
        <v>390</v>
      </c>
      <c r="M50" s="510"/>
      <c r="N50" s="511"/>
      <c r="P50" s="517">
        <v>38</v>
      </c>
      <c r="Q50" s="518" t="s">
        <v>390</v>
      </c>
      <c r="R50" s="510"/>
      <c r="S50" s="511"/>
    </row>
    <row r="51" spans="1:19">
      <c r="A51" s="517">
        <v>39</v>
      </c>
      <c r="B51" s="518" t="s">
        <v>391</v>
      </c>
      <c r="C51" s="510"/>
      <c r="D51" s="511"/>
      <c r="E51" s="510"/>
      <c r="F51" s="517">
        <v>39</v>
      </c>
      <c r="G51" s="518" t="s">
        <v>391</v>
      </c>
      <c r="H51" s="510"/>
      <c r="I51" s="511"/>
      <c r="K51" s="517">
        <v>39</v>
      </c>
      <c r="L51" s="518" t="s">
        <v>391</v>
      </c>
      <c r="M51" s="510"/>
      <c r="N51" s="511"/>
      <c r="P51" s="517">
        <v>39</v>
      </c>
      <c r="Q51" s="518" t="s">
        <v>391</v>
      </c>
      <c r="R51" s="510"/>
      <c r="S51" s="511"/>
    </row>
    <row r="52" spans="1:19">
      <c r="A52" s="517">
        <v>40</v>
      </c>
      <c r="B52" s="518" t="s">
        <v>392</v>
      </c>
      <c r="C52" s="510"/>
      <c r="D52" s="511"/>
      <c r="E52" s="510"/>
      <c r="F52" s="517">
        <v>40</v>
      </c>
      <c r="G52" s="518" t="s">
        <v>392</v>
      </c>
      <c r="H52" s="510"/>
      <c r="I52" s="511"/>
      <c r="K52" s="517">
        <v>40</v>
      </c>
      <c r="L52" s="518" t="s">
        <v>392</v>
      </c>
      <c r="M52" s="510"/>
      <c r="N52" s="511"/>
      <c r="P52" s="517">
        <v>40</v>
      </c>
      <c r="Q52" s="518" t="s">
        <v>392</v>
      </c>
      <c r="R52" s="510"/>
      <c r="S52" s="511"/>
    </row>
    <row r="53" spans="1:19">
      <c r="A53" s="517">
        <v>41</v>
      </c>
      <c r="B53" s="518" t="s">
        <v>393</v>
      </c>
      <c r="C53" s="510"/>
      <c r="D53" s="511"/>
      <c r="E53" s="510"/>
      <c r="F53" s="517">
        <v>41</v>
      </c>
      <c r="G53" s="518" t="s">
        <v>393</v>
      </c>
      <c r="H53" s="510"/>
      <c r="I53" s="511"/>
      <c r="K53" s="517">
        <v>41</v>
      </c>
      <c r="L53" s="518" t="s">
        <v>393</v>
      </c>
      <c r="M53" s="510"/>
      <c r="N53" s="511"/>
      <c r="P53" s="517">
        <v>41</v>
      </c>
      <c r="Q53" s="518" t="s">
        <v>393</v>
      </c>
      <c r="R53" s="510"/>
      <c r="S53" s="511"/>
    </row>
    <row r="54" spans="1:19">
      <c r="A54" s="517">
        <v>42</v>
      </c>
      <c r="B54" s="518" t="s">
        <v>394</v>
      </c>
      <c r="C54" s="510"/>
      <c r="D54" s="511"/>
      <c r="E54" s="510"/>
      <c r="F54" s="517">
        <v>42</v>
      </c>
      <c r="G54" s="518" t="s">
        <v>394</v>
      </c>
      <c r="H54" s="510"/>
      <c r="I54" s="511"/>
      <c r="K54" s="517">
        <v>42</v>
      </c>
      <c r="L54" s="518" t="s">
        <v>394</v>
      </c>
      <c r="M54" s="510"/>
      <c r="N54" s="511"/>
      <c r="P54" s="517">
        <v>42</v>
      </c>
      <c r="Q54" s="518" t="s">
        <v>394</v>
      </c>
      <c r="R54" s="510"/>
      <c r="S54" s="511"/>
    </row>
    <row r="55" spans="1:19">
      <c r="A55" s="517">
        <v>43</v>
      </c>
      <c r="B55" s="518" t="s">
        <v>395</v>
      </c>
      <c r="C55" s="510"/>
      <c r="D55" s="511"/>
      <c r="E55" s="510"/>
      <c r="F55" s="517">
        <v>43</v>
      </c>
      <c r="G55" s="518" t="s">
        <v>395</v>
      </c>
      <c r="H55" s="510"/>
      <c r="I55" s="511"/>
      <c r="K55" s="517">
        <v>43</v>
      </c>
      <c r="L55" s="518" t="s">
        <v>395</v>
      </c>
      <c r="M55" s="510"/>
      <c r="N55" s="511"/>
      <c r="P55" s="517">
        <v>43</v>
      </c>
      <c r="Q55" s="518" t="s">
        <v>395</v>
      </c>
      <c r="R55" s="510"/>
      <c r="S55" s="511"/>
    </row>
    <row r="56" spans="1:19">
      <c r="A56" s="517">
        <v>44</v>
      </c>
      <c r="B56" s="518" t="s">
        <v>396</v>
      </c>
      <c r="C56" s="510"/>
      <c r="D56" s="511"/>
      <c r="E56" s="510"/>
      <c r="F56" s="517">
        <v>44</v>
      </c>
      <c r="G56" s="518" t="s">
        <v>396</v>
      </c>
      <c r="H56" s="510"/>
      <c r="I56" s="511"/>
      <c r="K56" s="517">
        <v>44</v>
      </c>
      <c r="L56" s="518" t="s">
        <v>396</v>
      </c>
      <c r="M56" s="510"/>
      <c r="N56" s="511"/>
      <c r="P56" s="517">
        <v>44</v>
      </c>
      <c r="Q56" s="518" t="s">
        <v>396</v>
      </c>
      <c r="R56" s="510"/>
      <c r="S56" s="511"/>
    </row>
    <row r="57" spans="1:19">
      <c r="A57" s="517">
        <v>45</v>
      </c>
      <c r="B57" s="518" t="s">
        <v>397</v>
      </c>
      <c r="C57" s="510"/>
      <c r="D57" s="511"/>
      <c r="E57" s="510"/>
      <c r="F57" s="517">
        <v>45</v>
      </c>
      <c r="G57" s="518" t="s">
        <v>397</v>
      </c>
      <c r="H57" s="510"/>
      <c r="I57" s="511"/>
      <c r="K57" s="517">
        <v>45</v>
      </c>
      <c r="L57" s="518" t="s">
        <v>397</v>
      </c>
      <c r="M57" s="510"/>
      <c r="N57" s="511"/>
      <c r="P57" s="517">
        <v>45</v>
      </c>
      <c r="Q57" s="518" t="s">
        <v>397</v>
      </c>
      <c r="R57" s="510"/>
      <c r="S57" s="511"/>
    </row>
    <row r="58" spans="1:19">
      <c r="A58" s="517">
        <v>46</v>
      </c>
      <c r="B58" s="518" t="s">
        <v>398</v>
      </c>
      <c r="C58" s="510"/>
      <c r="D58" s="511"/>
      <c r="E58" s="510"/>
      <c r="F58" s="517">
        <v>46</v>
      </c>
      <c r="G58" s="518" t="s">
        <v>398</v>
      </c>
      <c r="H58" s="510"/>
      <c r="I58" s="511"/>
      <c r="K58" s="517">
        <v>46</v>
      </c>
      <c r="L58" s="518" t="s">
        <v>398</v>
      </c>
      <c r="M58" s="510"/>
      <c r="N58" s="511"/>
      <c r="P58" s="517">
        <v>46</v>
      </c>
      <c r="Q58" s="518" t="s">
        <v>398</v>
      </c>
      <c r="R58" s="510"/>
      <c r="S58" s="511"/>
    </row>
    <row r="59" spans="1:19">
      <c r="A59" s="517">
        <v>47</v>
      </c>
      <c r="B59" s="518" t="s">
        <v>399</v>
      </c>
      <c r="C59" s="510"/>
      <c r="D59" s="511"/>
      <c r="E59" s="510"/>
      <c r="F59" s="517">
        <v>47</v>
      </c>
      <c r="G59" s="518" t="s">
        <v>399</v>
      </c>
      <c r="H59" s="510"/>
      <c r="I59" s="511"/>
      <c r="K59" s="517">
        <v>47</v>
      </c>
      <c r="L59" s="518" t="s">
        <v>399</v>
      </c>
      <c r="M59" s="510"/>
      <c r="N59" s="511"/>
      <c r="P59" s="517">
        <v>47</v>
      </c>
      <c r="Q59" s="518" t="s">
        <v>399</v>
      </c>
      <c r="R59" s="510"/>
      <c r="S59" s="511"/>
    </row>
    <row r="60" spans="1:19">
      <c r="A60" s="517">
        <v>48</v>
      </c>
      <c r="B60" s="518" t="s">
        <v>400</v>
      </c>
      <c r="C60" s="510"/>
      <c r="D60" s="511"/>
      <c r="E60" s="510"/>
      <c r="F60" s="517">
        <v>48</v>
      </c>
      <c r="G60" s="518" t="s">
        <v>400</v>
      </c>
      <c r="H60" s="510"/>
      <c r="I60" s="511"/>
      <c r="K60" s="517">
        <v>48</v>
      </c>
      <c r="L60" s="518" t="s">
        <v>400</v>
      </c>
      <c r="M60" s="510"/>
      <c r="N60" s="511"/>
      <c r="P60" s="517">
        <v>48</v>
      </c>
      <c r="Q60" s="518" t="s">
        <v>400</v>
      </c>
      <c r="R60" s="510"/>
      <c r="S60" s="511"/>
    </row>
    <row r="61" spans="1:19">
      <c r="A61" s="517">
        <v>49</v>
      </c>
      <c r="B61" s="518" t="s">
        <v>401</v>
      </c>
      <c r="C61" s="510"/>
      <c r="D61" s="511"/>
      <c r="E61" s="510"/>
      <c r="F61" s="517">
        <v>49</v>
      </c>
      <c r="G61" s="518" t="s">
        <v>401</v>
      </c>
      <c r="H61" s="510"/>
      <c r="I61" s="511"/>
      <c r="K61" s="517">
        <v>49</v>
      </c>
      <c r="L61" s="518" t="s">
        <v>401</v>
      </c>
      <c r="M61" s="510"/>
      <c r="N61" s="511"/>
      <c r="P61" s="517">
        <v>49</v>
      </c>
      <c r="Q61" s="518" t="s">
        <v>401</v>
      </c>
      <c r="R61" s="510"/>
      <c r="S61" s="511"/>
    </row>
    <row r="62" spans="1:19">
      <c r="A62" s="517">
        <v>50</v>
      </c>
      <c r="B62" s="518" t="s">
        <v>402</v>
      </c>
      <c r="C62" s="510"/>
      <c r="D62" s="511"/>
      <c r="E62" s="510"/>
      <c r="F62" s="517">
        <v>50</v>
      </c>
      <c r="G62" s="518" t="s">
        <v>402</v>
      </c>
      <c r="H62" s="510"/>
      <c r="I62" s="511"/>
      <c r="K62" s="517">
        <v>50</v>
      </c>
      <c r="L62" s="518" t="s">
        <v>402</v>
      </c>
      <c r="M62" s="510"/>
      <c r="N62" s="511"/>
      <c r="P62" s="517">
        <v>50</v>
      </c>
      <c r="Q62" s="518" t="s">
        <v>402</v>
      </c>
      <c r="R62" s="510"/>
      <c r="S62" s="511"/>
    </row>
    <row r="63" spans="1:19">
      <c r="A63" s="517">
        <v>51</v>
      </c>
      <c r="B63" s="518" t="s">
        <v>403</v>
      </c>
      <c r="C63" s="510"/>
      <c r="D63" s="511"/>
      <c r="E63" s="510"/>
      <c r="F63" s="517">
        <v>51</v>
      </c>
      <c r="G63" s="518" t="s">
        <v>403</v>
      </c>
      <c r="H63" s="510"/>
      <c r="I63" s="511"/>
      <c r="K63" s="517">
        <v>51</v>
      </c>
      <c r="L63" s="518" t="s">
        <v>403</v>
      </c>
      <c r="M63" s="510"/>
      <c r="N63" s="511"/>
      <c r="P63" s="517">
        <v>51</v>
      </c>
      <c r="Q63" s="518" t="s">
        <v>403</v>
      </c>
      <c r="R63" s="510"/>
      <c r="S63" s="511"/>
    </row>
    <row r="64" spans="1:19">
      <c r="A64" s="517">
        <v>52</v>
      </c>
      <c r="B64" s="518" t="s">
        <v>404</v>
      </c>
      <c r="C64" s="510"/>
      <c r="D64" s="511"/>
      <c r="E64" s="510"/>
      <c r="F64" s="517">
        <v>52</v>
      </c>
      <c r="G64" s="518" t="s">
        <v>404</v>
      </c>
      <c r="H64" s="510"/>
      <c r="I64" s="511"/>
      <c r="K64" s="517">
        <v>52</v>
      </c>
      <c r="L64" s="518" t="s">
        <v>404</v>
      </c>
      <c r="M64" s="510"/>
      <c r="N64" s="511"/>
      <c r="P64" s="517">
        <v>52</v>
      </c>
      <c r="Q64" s="518" t="s">
        <v>404</v>
      </c>
      <c r="R64" s="510"/>
      <c r="S64" s="511"/>
    </row>
    <row r="65" spans="1:19">
      <c r="A65" s="517">
        <v>53</v>
      </c>
      <c r="B65" s="518" t="s">
        <v>405</v>
      </c>
      <c r="C65" s="510"/>
      <c r="D65" s="511"/>
      <c r="E65" s="510"/>
      <c r="F65" s="517">
        <v>53</v>
      </c>
      <c r="G65" s="518" t="s">
        <v>405</v>
      </c>
      <c r="H65" s="510"/>
      <c r="I65" s="511"/>
      <c r="K65" s="517">
        <v>53</v>
      </c>
      <c r="L65" s="518" t="s">
        <v>405</v>
      </c>
      <c r="M65" s="510"/>
      <c r="N65" s="511"/>
      <c r="P65" s="517">
        <v>53</v>
      </c>
      <c r="Q65" s="518" t="s">
        <v>405</v>
      </c>
      <c r="R65" s="510"/>
      <c r="S65" s="511"/>
    </row>
    <row r="66" spans="1:19">
      <c r="A66" s="517">
        <v>54</v>
      </c>
      <c r="B66" s="518" t="s">
        <v>406</v>
      </c>
      <c r="C66" s="510"/>
      <c r="D66" s="511"/>
      <c r="E66" s="510"/>
      <c r="F66" s="517">
        <v>54</v>
      </c>
      <c r="G66" s="518" t="s">
        <v>406</v>
      </c>
      <c r="H66" s="510"/>
      <c r="I66" s="511"/>
      <c r="K66" s="517">
        <v>54</v>
      </c>
      <c r="L66" s="518" t="s">
        <v>406</v>
      </c>
      <c r="M66" s="510"/>
      <c r="N66" s="511"/>
      <c r="P66" s="517">
        <v>54</v>
      </c>
      <c r="Q66" s="518" t="s">
        <v>406</v>
      </c>
      <c r="R66" s="510"/>
      <c r="S66" s="511"/>
    </row>
    <row r="67" spans="1:19">
      <c r="A67" s="517">
        <v>55</v>
      </c>
      <c r="B67" s="518" t="s">
        <v>407</v>
      </c>
      <c r="C67" s="510"/>
      <c r="D67" s="511"/>
      <c r="E67" s="510"/>
      <c r="F67" s="517">
        <v>55</v>
      </c>
      <c r="G67" s="518" t="s">
        <v>407</v>
      </c>
      <c r="H67" s="510"/>
      <c r="I67" s="511"/>
      <c r="K67" s="517">
        <v>55</v>
      </c>
      <c r="L67" s="518" t="s">
        <v>407</v>
      </c>
      <c r="M67" s="510"/>
      <c r="N67" s="511"/>
      <c r="P67" s="517">
        <v>55</v>
      </c>
      <c r="Q67" s="518" t="s">
        <v>407</v>
      </c>
      <c r="R67" s="510"/>
      <c r="S67" s="511"/>
    </row>
    <row r="68" spans="1:19">
      <c r="A68" s="517">
        <v>56</v>
      </c>
      <c r="B68" s="518" t="s">
        <v>408</v>
      </c>
      <c r="C68" s="510"/>
      <c r="D68" s="511"/>
      <c r="E68" s="510"/>
      <c r="F68" s="517">
        <v>56</v>
      </c>
      <c r="G68" s="518" t="s">
        <v>408</v>
      </c>
      <c r="H68" s="510"/>
      <c r="I68" s="511"/>
      <c r="K68" s="517">
        <v>56</v>
      </c>
      <c r="L68" s="518" t="s">
        <v>408</v>
      </c>
      <c r="M68" s="510"/>
      <c r="N68" s="511"/>
      <c r="P68" s="517">
        <v>56</v>
      </c>
      <c r="Q68" s="518" t="s">
        <v>408</v>
      </c>
      <c r="R68" s="510"/>
      <c r="S68" s="511"/>
    </row>
    <row r="69" spans="1:19">
      <c r="A69" s="517">
        <v>57</v>
      </c>
      <c r="B69" s="518" t="s">
        <v>409</v>
      </c>
      <c r="C69" s="510"/>
      <c r="D69" s="511"/>
      <c r="E69" s="510"/>
      <c r="F69" s="517">
        <v>57</v>
      </c>
      <c r="G69" s="518" t="s">
        <v>409</v>
      </c>
      <c r="H69" s="510"/>
      <c r="I69" s="511"/>
      <c r="K69" s="517">
        <v>57</v>
      </c>
      <c r="L69" s="518" t="s">
        <v>409</v>
      </c>
      <c r="M69" s="510"/>
      <c r="N69" s="511"/>
      <c r="P69" s="517">
        <v>57</v>
      </c>
      <c r="Q69" s="518" t="s">
        <v>409</v>
      </c>
      <c r="R69" s="510"/>
      <c r="S69" s="511"/>
    </row>
    <row r="70" spans="1:19">
      <c r="A70" s="517">
        <v>58</v>
      </c>
      <c r="B70" s="518" t="s">
        <v>410</v>
      </c>
      <c r="C70" s="510"/>
      <c r="D70" s="511"/>
      <c r="E70" s="510"/>
      <c r="F70" s="517">
        <v>58</v>
      </c>
      <c r="G70" s="518" t="s">
        <v>410</v>
      </c>
      <c r="H70" s="510"/>
      <c r="I70" s="511"/>
      <c r="K70" s="517">
        <v>58</v>
      </c>
      <c r="L70" s="518" t="s">
        <v>410</v>
      </c>
      <c r="M70" s="510"/>
      <c r="N70" s="511"/>
      <c r="P70" s="517">
        <v>58</v>
      </c>
      <c r="Q70" s="518" t="s">
        <v>410</v>
      </c>
      <c r="R70" s="510"/>
      <c r="S70" s="511"/>
    </row>
    <row r="71" spans="1:19">
      <c r="A71" s="517">
        <v>59</v>
      </c>
      <c r="B71" s="518" t="s">
        <v>411</v>
      </c>
      <c r="C71" s="510"/>
      <c r="D71" s="511"/>
      <c r="E71" s="510"/>
      <c r="F71" s="517">
        <v>59</v>
      </c>
      <c r="G71" s="518" t="s">
        <v>411</v>
      </c>
      <c r="H71" s="510"/>
      <c r="I71" s="511"/>
      <c r="K71" s="517">
        <v>59</v>
      </c>
      <c r="L71" s="518" t="s">
        <v>411</v>
      </c>
      <c r="M71" s="510"/>
      <c r="N71" s="511"/>
      <c r="P71" s="517">
        <v>59</v>
      </c>
      <c r="Q71" s="518" t="s">
        <v>411</v>
      </c>
      <c r="R71" s="510"/>
      <c r="S71" s="511"/>
    </row>
    <row r="72" spans="1:19">
      <c r="A72" s="517">
        <v>60</v>
      </c>
      <c r="B72" s="518" t="s">
        <v>412</v>
      </c>
      <c r="C72" s="510"/>
      <c r="D72" s="511"/>
      <c r="E72" s="510"/>
      <c r="F72" s="517">
        <v>60</v>
      </c>
      <c r="G72" s="518" t="s">
        <v>412</v>
      </c>
      <c r="H72" s="510"/>
      <c r="I72" s="511"/>
      <c r="K72" s="517">
        <v>60</v>
      </c>
      <c r="L72" s="518" t="s">
        <v>412</v>
      </c>
      <c r="M72" s="510"/>
      <c r="N72" s="511"/>
      <c r="P72" s="517">
        <v>60</v>
      </c>
      <c r="Q72" s="518" t="s">
        <v>412</v>
      </c>
      <c r="R72" s="510"/>
      <c r="S72" s="511"/>
    </row>
    <row r="73" spans="1:19">
      <c r="A73" s="517">
        <v>61</v>
      </c>
      <c r="B73" s="518" t="s">
        <v>413</v>
      </c>
      <c r="C73" s="510"/>
      <c r="D73" s="511"/>
      <c r="E73" s="510"/>
      <c r="F73" s="517">
        <v>61</v>
      </c>
      <c r="G73" s="518" t="s">
        <v>413</v>
      </c>
      <c r="H73" s="510"/>
      <c r="I73" s="511"/>
      <c r="K73" s="517">
        <v>61</v>
      </c>
      <c r="L73" s="518" t="s">
        <v>413</v>
      </c>
      <c r="M73" s="510"/>
      <c r="N73" s="511"/>
      <c r="P73" s="517">
        <v>61</v>
      </c>
      <c r="Q73" s="518" t="s">
        <v>413</v>
      </c>
      <c r="R73" s="510"/>
      <c r="S73" s="511"/>
    </row>
    <row r="74" spans="1:19">
      <c r="A74" s="517">
        <v>62</v>
      </c>
      <c r="B74" s="518" t="s">
        <v>414</v>
      </c>
      <c r="C74" s="510"/>
      <c r="D74" s="511"/>
      <c r="E74" s="510"/>
      <c r="F74" s="517">
        <v>62</v>
      </c>
      <c r="G74" s="518" t="s">
        <v>414</v>
      </c>
      <c r="H74" s="510"/>
      <c r="I74" s="511"/>
      <c r="K74" s="517">
        <v>62</v>
      </c>
      <c r="L74" s="518" t="s">
        <v>414</v>
      </c>
      <c r="M74" s="510"/>
      <c r="N74" s="511"/>
      <c r="P74" s="517">
        <v>62</v>
      </c>
      <c r="Q74" s="518" t="s">
        <v>414</v>
      </c>
      <c r="R74" s="510"/>
      <c r="S74" s="511"/>
    </row>
    <row r="75" spans="1:19">
      <c r="A75" s="517">
        <v>63</v>
      </c>
      <c r="B75" s="518" t="s">
        <v>415</v>
      </c>
      <c r="C75" s="510"/>
      <c r="D75" s="511"/>
      <c r="E75" s="510"/>
      <c r="F75" s="517">
        <v>63</v>
      </c>
      <c r="G75" s="518" t="s">
        <v>415</v>
      </c>
      <c r="H75" s="510"/>
      <c r="I75" s="511"/>
      <c r="K75" s="517">
        <v>63</v>
      </c>
      <c r="L75" s="518" t="s">
        <v>415</v>
      </c>
      <c r="M75" s="510"/>
      <c r="N75" s="511"/>
      <c r="P75" s="517">
        <v>63</v>
      </c>
      <c r="Q75" s="518" t="s">
        <v>415</v>
      </c>
      <c r="R75" s="510"/>
      <c r="S75" s="511"/>
    </row>
    <row r="76" spans="1:19">
      <c r="A76" s="517">
        <v>64</v>
      </c>
      <c r="B76" s="518" t="s">
        <v>416</v>
      </c>
      <c r="C76" s="510"/>
      <c r="D76" s="511"/>
      <c r="E76" s="510"/>
      <c r="F76" s="517">
        <v>64</v>
      </c>
      <c r="G76" s="518" t="s">
        <v>416</v>
      </c>
      <c r="H76" s="510"/>
      <c r="I76" s="511"/>
      <c r="K76" s="517">
        <v>64</v>
      </c>
      <c r="L76" s="518" t="s">
        <v>416</v>
      </c>
      <c r="M76" s="510"/>
      <c r="N76" s="511"/>
      <c r="P76" s="517">
        <v>64</v>
      </c>
      <c r="Q76" s="518" t="s">
        <v>416</v>
      </c>
      <c r="R76" s="510"/>
      <c r="S76" s="511"/>
    </row>
    <row r="77" spans="1:19">
      <c r="A77" s="517">
        <v>65</v>
      </c>
      <c r="B77" s="518" t="s">
        <v>417</v>
      </c>
      <c r="C77" s="510"/>
      <c r="D77" s="511"/>
      <c r="E77" s="510"/>
      <c r="F77" s="517">
        <v>65</v>
      </c>
      <c r="G77" s="518" t="s">
        <v>417</v>
      </c>
      <c r="H77" s="510"/>
      <c r="I77" s="511"/>
      <c r="K77" s="517">
        <v>65</v>
      </c>
      <c r="L77" s="518" t="s">
        <v>417</v>
      </c>
      <c r="M77" s="510"/>
      <c r="N77" s="511"/>
      <c r="P77" s="517">
        <v>65</v>
      </c>
      <c r="Q77" s="518" t="s">
        <v>417</v>
      </c>
      <c r="R77" s="510"/>
      <c r="S77" s="511"/>
    </row>
    <row r="78" spans="1:19">
      <c r="A78" s="517">
        <v>66</v>
      </c>
      <c r="B78" s="518" t="s">
        <v>418</v>
      </c>
      <c r="C78" s="510"/>
      <c r="D78" s="511"/>
      <c r="E78" s="510"/>
      <c r="F78" s="517">
        <v>66</v>
      </c>
      <c r="G78" s="518" t="s">
        <v>418</v>
      </c>
      <c r="H78" s="510"/>
      <c r="I78" s="511"/>
      <c r="K78" s="517">
        <v>66</v>
      </c>
      <c r="L78" s="518" t="s">
        <v>418</v>
      </c>
      <c r="M78" s="510"/>
      <c r="N78" s="511"/>
      <c r="P78" s="517">
        <v>66</v>
      </c>
      <c r="Q78" s="518" t="s">
        <v>418</v>
      </c>
      <c r="R78" s="510"/>
      <c r="S78" s="511"/>
    </row>
    <row r="79" spans="1:19">
      <c r="A79" s="517">
        <v>67</v>
      </c>
      <c r="B79" s="518" t="s">
        <v>419</v>
      </c>
      <c r="C79" s="510"/>
      <c r="D79" s="511"/>
      <c r="E79" s="510"/>
      <c r="F79" s="517">
        <v>67</v>
      </c>
      <c r="G79" s="518" t="s">
        <v>419</v>
      </c>
      <c r="H79" s="510"/>
      <c r="I79" s="511"/>
      <c r="K79" s="517">
        <v>67</v>
      </c>
      <c r="L79" s="518" t="s">
        <v>419</v>
      </c>
      <c r="M79" s="510"/>
      <c r="N79" s="511"/>
      <c r="P79" s="517">
        <v>67</v>
      </c>
      <c r="Q79" s="518" t="s">
        <v>419</v>
      </c>
      <c r="R79" s="510"/>
      <c r="S79" s="511"/>
    </row>
    <row r="80" spans="1:19">
      <c r="A80" s="517">
        <v>68</v>
      </c>
      <c r="B80" s="518" t="s">
        <v>420</v>
      </c>
      <c r="C80" s="510"/>
      <c r="D80" s="511"/>
      <c r="E80" s="510"/>
      <c r="F80" s="517">
        <v>68</v>
      </c>
      <c r="G80" s="518" t="s">
        <v>420</v>
      </c>
      <c r="H80" s="510"/>
      <c r="I80" s="511"/>
      <c r="K80" s="517">
        <v>68</v>
      </c>
      <c r="L80" s="518" t="s">
        <v>420</v>
      </c>
      <c r="M80" s="510"/>
      <c r="N80" s="511"/>
      <c r="P80" s="517">
        <v>68</v>
      </c>
      <c r="Q80" s="518" t="s">
        <v>420</v>
      </c>
      <c r="R80" s="510"/>
      <c r="S80" s="511"/>
    </row>
    <row r="81" spans="1:19">
      <c r="A81" s="517">
        <v>69</v>
      </c>
      <c r="B81" s="518" t="s">
        <v>421</v>
      </c>
      <c r="C81" s="510"/>
      <c r="D81" s="511"/>
      <c r="E81" s="510"/>
      <c r="F81" s="517">
        <v>69</v>
      </c>
      <c r="G81" s="518" t="s">
        <v>421</v>
      </c>
      <c r="H81" s="510"/>
      <c r="I81" s="511"/>
      <c r="K81" s="517">
        <v>69</v>
      </c>
      <c r="L81" s="518" t="s">
        <v>421</v>
      </c>
      <c r="M81" s="510"/>
      <c r="N81" s="511"/>
      <c r="P81" s="517">
        <v>69</v>
      </c>
      <c r="Q81" s="518" t="s">
        <v>421</v>
      </c>
      <c r="R81" s="510"/>
      <c r="S81" s="511"/>
    </row>
    <row r="82" spans="1:19">
      <c r="A82" s="517">
        <v>70</v>
      </c>
      <c r="B82" s="518" t="s">
        <v>422</v>
      </c>
      <c r="C82" s="510"/>
      <c r="D82" s="511"/>
      <c r="E82" s="510"/>
      <c r="F82" s="517">
        <v>70</v>
      </c>
      <c r="G82" s="518" t="s">
        <v>422</v>
      </c>
      <c r="H82" s="510"/>
      <c r="I82" s="511"/>
      <c r="K82" s="517">
        <v>70</v>
      </c>
      <c r="L82" s="518" t="s">
        <v>422</v>
      </c>
      <c r="M82" s="510"/>
      <c r="N82" s="511"/>
      <c r="P82" s="517">
        <v>70</v>
      </c>
      <c r="Q82" s="518" t="s">
        <v>422</v>
      </c>
      <c r="R82" s="510"/>
      <c r="S82" s="511"/>
    </row>
    <row r="83" spans="1:19">
      <c r="A83" s="517">
        <v>71</v>
      </c>
      <c r="B83" s="518" t="s">
        <v>423</v>
      </c>
      <c r="C83" s="510"/>
      <c r="D83" s="511"/>
      <c r="E83" s="510"/>
      <c r="F83" s="517">
        <v>71</v>
      </c>
      <c r="G83" s="518" t="s">
        <v>423</v>
      </c>
      <c r="H83" s="510"/>
      <c r="I83" s="511"/>
      <c r="K83" s="517">
        <v>71</v>
      </c>
      <c r="L83" s="518" t="s">
        <v>423</v>
      </c>
      <c r="M83" s="510"/>
      <c r="N83" s="511"/>
      <c r="P83" s="517">
        <v>71</v>
      </c>
      <c r="Q83" s="518" t="s">
        <v>423</v>
      </c>
      <c r="R83" s="510"/>
      <c r="S83" s="511"/>
    </row>
    <row r="84" spans="1:19">
      <c r="A84" s="517">
        <v>72</v>
      </c>
      <c r="B84" s="518" t="s">
        <v>424</v>
      </c>
      <c r="C84" s="510"/>
      <c r="D84" s="511"/>
      <c r="E84" s="510"/>
      <c r="F84" s="517">
        <v>72</v>
      </c>
      <c r="G84" s="518" t="s">
        <v>424</v>
      </c>
      <c r="H84" s="510"/>
      <c r="I84" s="511"/>
      <c r="K84" s="517">
        <v>72</v>
      </c>
      <c r="L84" s="518" t="s">
        <v>424</v>
      </c>
      <c r="M84" s="510"/>
      <c r="N84" s="511"/>
      <c r="P84" s="517">
        <v>72</v>
      </c>
      <c r="Q84" s="518" t="s">
        <v>424</v>
      </c>
      <c r="R84" s="510"/>
      <c r="S84" s="511"/>
    </row>
    <row r="85" spans="1:19">
      <c r="A85" s="517">
        <v>73</v>
      </c>
      <c r="B85" s="518" t="s">
        <v>425</v>
      </c>
      <c r="C85" s="510"/>
      <c r="D85" s="511"/>
      <c r="E85" s="510"/>
      <c r="F85" s="517">
        <v>73</v>
      </c>
      <c r="G85" s="518" t="s">
        <v>425</v>
      </c>
      <c r="H85" s="510"/>
      <c r="I85" s="511"/>
      <c r="K85" s="517">
        <v>73</v>
      </c>
      <c r="L85" s="518" t="s">
        <v>425</v>
      </c>
      <c r="M85" s="510"/>
      <c r="N85" s="511"/>
      <c r="P85" s="517">
        <v>73</v>
      </c>
      <c r="Q85" s="518" t="s">
        <v>425</v>
      </c>
      <c r="R85" s="510"/>
      <c r="S85" s="511"/>
    </row>
    <row r="86" spans="1:19">
      <c r="A86" s="517">
        <v>74</v>
      </c>
      <c r="B86" s="518" t="s">
        <v>426</v>
      </c>
      <c r="C86" s="510"/>
      <c r="D86" s="511"/>
      <c r="E86" s="510"/>
      <c r="F86" s="517">
        <v>74</v>
      </c>
      <c r="G86" s="518" t="s">
        <v>426</v>
      </c>
      <c r="H86" s="510"/>
      <c r="I86" s="511"/>
      <c r="K86" s="517">
        <v>74</v>
      </c>
      <c r="L86" s="518" t="s">
        <v>426</v>
      </c>
      <c r="M86" s="510"/>
      <c r="N86" s="511"/>
      <c r="P86" s="517">
        <v>74</v>
      </c>
      <c r="Q86" s="518" t="s">
        <v>426</v>
      </c>
      <c r="R86" s="510"/>
      <c r="S86" s="511"/>
    </row>
    <row r="87" spans="1:19">
      <c r="A87" s="517">
        <v>75</v>
      </c>
      <c r="B87" s="518" t="s">
        <v>427</v>
      </c>
      <c r="C87" s="510"/>
      <c r="D87" s="511"/>
      <c r="E87" s="510"/>
      <c r="F87" s="517">
        <v>75</v>
      </c>
      <c r="G87" s="518" t="s">
        <v>427</v>
      </c>
      <c r="H87" s="510"/>
      <c r="I87" s="511"/>
      <c r="K87" s="517">
        <v>75</v>
      </c>
      <c r="L87" s="518" t="s">
        <v>427</v>
      </c>
      <c r="M87" s="510"/>
      <c r="N87" s="511"/>
      <c r="P87" s="517">
        <v>75</v>
      </c>
      <c r="Q87" s="518" t="s">
        <v>427</v>
      </c>
      <c r="R87" s="510"/>
      <c r="S87" s="511"/>
    </row>
    <row r="88" spans="1:19">
      <c r="A88" s="517">
        <v>76</v>
      </c>
      <c r="B88" s="518" t="s">
        <v>428</v>
      </c>
      <c r="C88" s="510"/>
      <c r="D88" s="511"/>
      <c r="E88" s="510"/>
      <c r="F88" s="517">
        <v>76</v>
      </c>
      <c r="G88" s="518" t="s">
        <v>428</v>
      </c>
      <c r="H88" s="510"/>
      <c r="I88" s="511"/>
      <c r="K88" s="517">
        <v>76</v>
      </c>
      <c r="L88" s="518" t="s">
        <v>428</v>
      </c>
      <c r="M88" s="510"/>
      <c r="N88" s="511"/>
      <c r="P88" s="517">
        <v>76</v>
      </c>
      <c r="Q88" s="518" t="s">
        <v>428</v>
      </c>
      <c r="R88" s="510"/>
      <c r="S88" s="511"/>
    </row>
    <row r="89" spans="1:19">
      <c r="A89" s="517">
        <v>77</v>
      </c>
      <c r="B89" s="518" t="s">
        <v>429</v>
      </c>
      <c r="C89" s="510"/>
      <c r="D89" s="511"/>
      <c r="E89" s="510"/>
      <c r="F89" s="517">
        <v>77</v>
      </c>
      <c r="G89" s="518" t="s">
        <v>429</v>
      </c>
      <c r="H89" s="510"/>
      <c r="I89" s="511"/>
      <c r="K89" s="517">
        <v>77</v>
      </c>
      <c r="L89" s="518" t="s">
        <v>429</v>
      </c>
      <c r="M89" s="510"/>
      <c r="N89" s="511"/>
      <c r="P89" s="517">
        <v>77</v>
      </c>
      <c r="Q89" s="518" t="s">
        <v>429</v>
      </c>
      <c r="R89" s="510"/>
      <c r="S89" s="511"/>
    </row>
    <row r="90" spans="1:19">
      <c r="A90" s="517">
        <v>78</v>
      </c>
      <c r="B90" s="518" t="s">
        <v>430</v>
      </c>
      <c r="C90" s="510"/>
      <c r="D90" s="511"/>
      <c r="E90" s="510"/>
      <c r="F90" s="517">
        <v>78</v>
      </c>
      <c r="G90" s="518" t="s">
        <v>430</v>
      </c>
      <c r="H90" s="510"/>
      <c r="I90" s="511"/>
      <c r="K90" s="517">
        <v>78</v>
      </c>
      <c r="L90" s="518" t="s">
        <v>430</v>
      </c>
      <c r="M90" s="510"/>
      <c r="N90" s="511"/>
      <c r="P90" s="517">
        <v>78</v>
      </c>
      <c r="Q90" s="518" t="s">
        <v>430</v>
      </c>
      <c r="R90" s="510"/>
      <c r="S90" s="511"/>
    </row>
    <row r="91" spans="1:19">
      <c r="A91" s="517">
        <v>79</v>
      </c>
      <c r="B91" s="518" t="s">
        <v>431</v>
      </c>
      <c r="C91" s="510"/>
      <c r="D91" s="511"/>
      <c r="E91" s="510"/>
      <c r="F91" s="517">
        <v>79</v>
      </c>
      <c r="G91" s="518" t="s">
        <v>431</v>
      </c>
      <c r="H91" s="510"/>
      <c r="I91" s="511"/>
      <c r="K91" s="517">
        <v>79</v>
      </c>
      <c r="L91" s="518" t="s">
        <v>431</v>
      </c>
      <c r="M91" s="510"/>
      <c r="N91" s="511"/>
      <c r="P91" s="517">
        <v>79</v>
      </c>
      <c r="Q91" s="518" t="s">
        <v>431</v>
      </c>
      <c r="R91" s="510"/>
      <c r="S91" s="511"/>
    </row>
    <row r="92" spans="1:19">
      <c r="A92" s="517">
        <v>80</v>
      </c>
      <c r="B92" s="518" t="s">
        <v>432</v>
      </c>
      <c r="C92" s="510"/>
      <c r="D92" s="511"/>
      <c r="E92" s="510"/>
      <c r="F92" s="517">
        <v>80</v>
      </c>
      <c r="G92" s="518" t="s">
        <v>432</v>
      </c>
      <c r="H92" s="510"/>
      <c r="I92" s="511"/>
      <c r="K92" s="517">
        <v>80</v>
      </c>
      <c r="L92" s="518" t="s">
        <v>432</v>
      </c>
      <c r="M92" s="510"/>
      <c r="N92" s="511"/>
      <c r="P92" s="517">
        <v>80</v>
      </c>
      <c r="Q92" s="518" t="s">
        <v>432</v>
      </c>
      <c r="R92" s="510"/>
      <c r="S92" s="511"/>
    </row>
    <row r="93" spans="1:19">
      <c r="A93" s="517">
        <v>81</v>
      </c>
      <c r="B93" s="518" t="s">
        <v>433</v>
      </c>
      <c r="C93" s="510"/>
      <c r="D93" s="511"/>
      <c r="E93" s="510"/>
      <c r="F93" s="517">
        <v>81</v>
      </c>
      <c r="G93" s="518" t="s">
        <v>433</v>
      </c>
      <c r="H93" s="510"/>
      <c r="I93" s="511"/>
      <c r="K93" s="517">
        <v>81</v>
      </c>
      <c r="L93" s="518" t="s">
        <v>433</v>
      </c>
      <c r="M93" s="510"/>
      <c r="N93" s="511"/>
      <c r="P93" s="517">
        <v>81</v>
      </c>
      <c r="Q93" s="518" t="s">
        <v>433</v>
      </c>
      <c r="R93" s="510"/>
      <c r="S93" s="511"/>
    </row>
    <row r="94" spans="1:19">
      <c r="A94" s="517">
        <v>82</v>
      </c>
      <c r="B94" s="518" t="s">
        <v>434</v>
      </c>
      <c r="C94" s="510"/>
      <c r="D94" s="511"/>
      <c r="E94" s="510"/>
      <c r="F94" s="517">
        <v>82</v>
      </c>
      <c r="G94" s="518" t="s">
        <v>434</v>
      </c>
      <c r="H94" s="510"/>
      <c r="I94" s="511"/>
      <c r="K94" s="517">
        <v>82</v>
      </c>
      <c r="L94" s="518" t="s">
        <v>434</v>
      </c>
      <c r="M94" s="510"/>
      <c r="N94" s="511"/>
      <c r="P94" s="517">
        <v>82</v>
      </c>
      <c r="Q94" s="518" t="s">
        <v>434</v>
      </c>
      <c r="R94" s="510"/>
      <c r="S94" s="511"/>
    </row>
    <row r="95" spans="1:19">
      <c r="A95" s="517">
        <v>83</v>
      </c>
      <c r="B95" s="518" t="s">
        <v>435</v>
      </c>
      <c r="C95" s="510"/>
      <c r="D95" s="511"/>
      <c r="E95" s="510"/>
      <c r="F95" s="517">
        <v>83</v>
      </c>
      <c r="G95" s="518" t="s">
        <v>435</v>
      </c>
      <c r="H95" s="510"/>
      <c r="I95" s="511"/>
      <c r="K95" s="517">
        <v>83</v>
      </c>
      <c r="L95" s="518" t="s">
        <v>435</v>
      </c>
      <c r="M95" s="510"/>
      <c r="N95" s="511"/>
      <c r="P95" s="517">
        <v>83</v>
      </c>
      <c r="Q95" s="518" t="s">
        <v>435</v>
      </c>
      <c r="R95" s="510"/>
      <c r="S95" s="511"/>
    </row>
    <row r="96" spans="1:19">
      <c r="A96" s="517">
        <v>84</v>
      </c>
      <c r="B96" s="518" t="s">
        <v>436</v>
      </c>
      <c r="C96" s="510"/>
      <c r="D96" s="511"/>
      <c r="E96" s="510"/>
      <c r="F96" s="517">
        <v>84</v>
      </c>
      <c r="G96" s="518" t="s">
        <v>436</v>
      </c>
      <c r="H96" s="510"/>
      <c r="I96" s="511"/>
      <c r="K96" s="517">
        <v>84</v>
      </c>
      <c r="L96" s="518" t="s">
        <v>436</v>
      </c>
      <c r="M96" s="510"/>
      <c r="N96" s="511"/>
      <c r="P96" s="517">
        <v>84</v>
      </c>
      <c r="Q96" s="518" t="s">
        <v>436</v>
      </c>
      <c r="R96" s="510"/>
      <c r="S96" s="511"/>
    </row>
    <row r="97" spans="1:19">
      <c r="A97" s="517">
        <v>85</v>
      </c>
      <c r="B97" s="518" t="s">
        <v>437</v>
      </c>
      <c r="C97" s="510"/>
      <c r="D97" s="511"/>
      <c r="E97" s="510"/>
      <c r="F97" s="517">
        <v>85</v>
      </c>
      <c r="G97" s="518" t="s">
        <v>437</v>
      </c>
      <c r="H97" s="510"/>
      <c r="I97" s="511"/>
      <c r="K97" s="517">
        <v>85</v>
      </c>
      <c r="L97" s="518" t="s">
        <v>437</v>
      </c>
      <c r="M97" s="510"/>
      <c r="N97" s="511"/>
      <c r="P97" s="517">
        <v>85</v>
      </c>
      <c r="Q97" s="518" t="s">
        <v>437</v>
      </c>
      <c r="R97" s="510"/>
      <c r="S97" s="511"/>
    </row>
    <row r="98" spans="1:19">
      <c r="A98" s="517">
        <v>86</v>
      </c>
      <c r="B98" s="518" t="s">
        <v>438</v>
      </c>
      <c r="C98" s="510"/>
      <c r="D98" s="511"/>
      <c r="E98" s="510"/>
      <c r="F98" s="517">
        <v>86</v>
      </c>
      <c r="G98" s="518" t="s">
        <v>438</v>
      </c>
      <c r="H98" s="510"/>
      <c r="I98" s="511"/>
      <c r="K98" s="517">
        <v>86</v>
      </c>
      <c r="L98" s="518" t="s">
        <v>438</v>
      </c>
      <c r="M98" s="510"/>
      <c r="N98" s="511"/>
      <c r="P98" s="517">
        <v>86</v>
      </c>
      <c r="Q98" s="518" t="s">
        <v>438</v>
      </c>
      <c r="R98" s="510"/>
      <c r="S98" s="511"/>
    </row>
    <row r="99" spans="1:19">
      <c r="A99" s="517">
        <v>87</v>
      </c>
      <c r="B99" s="518" t="s">
        <v>439</v>
      </c>
      <c r="C99" s="510"/>
      <c r="D99" s="511"/>
      <c r="E99" s="510"/>
      <c r="F99" s="517">
        <v>87</v>
      </c>
      <c r="G99" s="518" t="s">
        <v>439</v>
      </c>
      <c r="H99" s="510"/>
      <c r="I99" s="511"/>
      <c r="K99" s="517">
        <v>87</v>
      </c>
      <c r="L99" s="518" t="s">
        <v>439</v>
      </c>
      <c r="M99" s="510"/>
      <c r="N99" s="511"/>
      <c r="P99" s="517">
        <v>87</v>
      </c>
      <c r="Q99" s="518" t="s">
        <v>439</v>
      </c>
      <c r="R99" s="510"/>
      <c r="S99" s="511"/>
    </row>
    <row r="100" spans="1:19">
      <c r="A100" s="517">
        <v>88</v>
      </c>
      <c r="B100" s="518" t="s">
        <v>440</v>
      </c>
      <c r="C100" s="510"/>
      <c r="D100" s="511"/>
      <c r="E100" s="510"/>
      <c r="F100" s="517">
        <v>88</v>
      </c>
      <c r="G100" s="518" t="s">
        <v>440</v>
      </c>
      <c r="H100" s="510"/>
      <c r="I100" s="511"/>
      <c r="K100" s="517">
        <v>88</v>
      </c>
      <c r="L100" s="518" t="s">
        <v>440</v>
      </c>
      <c r="M100" s="510"/>
      <c r="N100" s="511"/>
      <c r="P100" s="517">
        <v>88</v>
      </c>
      <c r="Q100" s="518" t="s">
        <v>440</v>
      </c>
      <c r="R100" s="510"/>
      <c r="S100" s="511"/>
    </row>
    <row r="101" spans="1:19">
      <c r="A101" s="517">
        <v>89</v>
      </c>
      <c r="B101" s="518" t="s">
        <v>441</v>
      </c>
      <c r="C101" s="510"/>
      <c r="D101" s="511"/>
      <c r="E101" s="510"/>
      <c r="F101" s="517">
        <v>89</v>
      </c>
      <c r="G101" s="518" t="s">
        <v>441</v>
      </c>
      <c r="H101" s="510"/>
      <c r="I101" s="511"/>
      <c r="K101" s="517">
        <v>89</v>
      </c>
      <c r="L101" s="518" t="s">
        <v>441</v>
      </c>
      <c r="M101" s="510"/>
      <c r="N101" s="511"/>
      <c r="P101" s="517">
        <v>89</v>
      </c>
      <c r="Q101" s="518" t="s">
        <v>441</v>
      </c>
      <c r="R101" s="510"/>
      <c r="S101" s="511"/>
    </row>
    <row r="102" spans="1:19">
      <c r="A102" s="517">
        <v>90</v>
      </c>
      <c r="B102" s="518" t="s">
        <v>442</v>
      </c>
      <c r="C102" s="510"/>
      <c r="D102" s="511"/>
      <c r="E102" s="510"/>
      <c r="F102" s="517">
        <v>90</v>
      </c>
      <c r="G102" s="518" t="s">
        <v>442</v>
      </c>
      <c r="H102" s="510"/>
      <c r="I102" s="511"/>
      <c r="K102" s="517">
        <v>90</v>
      </c>
      <c r="L102" s="518" t="s">
        <v>442</v>
      </c>
      <c r="M102" s="510"/>
      <c r="N102" s="511"/>
      <c r="P102" s="517">
        <v>90</v>
      </c>
      <c r="Q102" s="518" t="s">
        <v>442</v>
      </c>
      <c r="R102" s="510"/>
      <c r="S102" s="511"/>
    </row>
    <row r="103" spans="1:19">
      <c r="A103" s="517">
        <v>91</v>
      </c>
      <c r="B103" s="518" t="s">
        <v>443</v>
      </c>
      <c r="C103" s="510"/>
      <c r="D103" s="511"/>
      <c r="E103" s="510"/>
      <c r="F103" s="517">
        <v>91</v>
      </c>
      <c r="G103" s="518" t="s">
        <v>443</v>
      </c>
      <c r="H103" s="510"/>
      <c r="I103" s="511"/>
      <c r="K103" s="517">
        <v>91</v>
      </c>
      <c r="L103" s="518" t="s">
        <v>443</v>
      </c>
      <c r="M103" s="510"/>
      <c r="N103" s="511"/>
      <c r="P103" s="517">
        <v>91</v>
      </c>
      <c r="Q103" s="518" t="s">
        <v>443</v>
      </c>
      <c r="R103" s="510"/>
      <c r="S103" s="511"/>
    </row>
    <row r="104" spans="1:19">
      <c r="A104" s="517">
        <v>92</v>
      </c>
      <c r="B104" s="518" t="s">
        <v>444</v>
      </c>
      <c r="C104" s="510"/>
      <c r="D104" s="511"/>
      <c r="E104" s="510"/>
      <c r="F104" s="517">
        <v>92</v>
      </c>
      <c r="G104" s="518" t="s">
        <v>444</v>
      </c>
      <c r="H104" s="510"/>
      <c r="I104" s="511"/>
      <c r="K104" s="517">
        <v>92</v>
      </c>
      <c r="L104" s="518" t="s">
        <v>444</v>
      </c>
      <c r="M104" s="510"/>
      <c r="N104" s="511"/>
      <c r="P104" s="517">
        <v>92</v>
      </c>
      <c r="Q104" s="518" t="s">
        <v>444</v>
      </c>
      <c r="R104" s="510"/>
      <c r="S104" s="511"/>
    </row>
    <row r="105" spans="1:19">
      <c r="A105" s="517">
        <v>93</v>
      </c>
      <c r="B105" s="518" t="s">
        <v>445</v>
      </c>
      <c r="C105" s="510"/>
      <c r="D105" s="511"/>
      <c r="E105" s="510"/>
      <c r="F105" s="517">
        <v>93</v>
      </c>
      <c r="G105" s="518" t="s">
        <v>445</v>
      </c>
      <c r="H105" s="510"/>
      <c r="I105" s="511"/>
      <c r="K105" s="517">
        <v>93</v>
      </c>
      <c r="L105" s="518" t="s">
        <v>445</v>
      </c>
      <c r="M105" s="510"/>
      <c r="N105" s="511"/>
      <c r="P105" s="517">
        <v>93</v>
      </c>
      <c r="Q105" s="518" t="s">
        <v>445</v>
      </c>
      <c r="R105" s="510"/>
      <c r="S105" s="511"/>
    </row>
    <row r="106" spans="1:19">
      <c r="A106" s="517">
        <v>94</v>
      </c>
      <c r="B106" s="518" t="s">
        <v>446</v>
      </c>
      <c r="C106" s="510"/>
      <c r="D106" s="511"/>
      <c r="E106" s="510"/>
      <c r="F106" s="517">
        <v>94</v>
      </c>
      <c r="G106" s="518" t="s">
        <v>446</v>
      </c>
      <c r="H106" s="510"/>
      <c r="I106" s="511"/>
      <c r="K106" s="517">
        <v>94</v>
      </c>
      <c r="L106" s="518" t="s">
        <v>446</v>
      </c>
      <c r="M106" s="510"/>
      <c r="N106" s="511"/>
      <c r="P106" s="517">
        <v>94</v>
      </c>
      <c r="Q106" s="518" t="s">
        <v>446</v>
      </c>
      <c r="R106" s="510"/>
      <c r="S106" s="511"/>
    </row>
    <row r="107" spans="1:19">
      <c r="A107" s="517">
        <v>95</v>
      </c>
      <c r="B107" s="518" t="s">
        <v>447</v>
      </c>
      <c r="C107" s="510"/>
      <c r="D107" s="511"/>
      <c r="E107" s="510"/>
      <c r="F107" s="517">
        <v>95</v>
      </c>
      <c r="G107" s="518" t="s">
        <v>447</v>
      </c>
      <c r="H107" s="510"/>
      <c r="I107" s="511"/>
      <c r="K107" s="517">
        <v>95</v>
      </c>
      <c r="L107" s="518" t="s">
        <v>447</v>
      </c>
      <c r="M107" s="510"/>
      <c r="N107" s="511"/>
      <c r="P107" s="517">
        <v>95</v>
      </c>
      <c r="Q107" s="518" t="s">
        <v>447</v>
      </c>
      <c r="R107" s="510"/>
      <c r="S107" s="511"/>
    </row>
    <row r="108" spans="1:19">
      <c r="A108" s="517">
        <v>96</v>
      </c>
      <c r="B108" s="518" t="s">
        <v>448</v>
      </c>
      <c r="C108" s="510"/>
      <c r="D108" s="511"/>
      <c r="E108" s="510"/>
      <c r="F108" s="517">
        <v>96</v>
      </c>
      <c r="G108" s="518" t="s">
        <v>448</v>
      </c>
      <c r="H108" s="510"/>
      <c r="I108" s="511"/>
      <c r="K108" s="517">
        <v>96</v>
      </c>
      <c r="L108" s="518" t="s">
        <v>448</v>
      </c>
      <c r="M108" s="510"/>
      <c r="N108" s="511"/>
      <c r="P108" s="517">
        <v>96</v>
      </c>
      <c r="Q108" s="518" t="s">
        <v>448</v>
      </c>
      <c r="R108" s="510"/>
      <c r="S108" s="511"/>
    </row>
    <row r="109" spans="1:19">
      <c r="A109" s="517">
        <v>97</v>
      </c>
      <c r="B109" s="518" t="s">
        <v>449</v>
      </c>
      <c r="C109" s="510"/>
      <c r="D109" s="511"/>
      <c r="E109" s="510"/>
      <c r="F109" s="517">
        <v>97</v>
      </c>
      <c r="G109" s="518" t="s">
        <v>449</v>
      </c>
      <c r="H109" s="510"/>
      <c r="I109" s="511"/>
      <c r="K109" s="517">
        <v>97</v>
      </c>
      <c r="L109" s="518" t="s">
        <v>449</v>
      </c>
      <c r="M109" s="510"/>
      <c r="N109" s="511"/>
      <c r="P109" s="517">
        <v>97</v>
      </c>
      <c r="Q109" s="518" t="s">
        <v>449</v>
      </c>
      <c r="R109" s="510"/>
      <c r="S109" s="511"/>
    </row>
    <row r="110" spans="1:19">
      <c r="A110" s="517">
        <v>98</v>
      </c>
      <c r="B110" s="518" t="s">
        <v>450</v>
      </c>
      <c r="C110" s="510"/>
      <c r="D110" s="511"/>
      <c r="E110" s="510"/>
      <c r="F110" s="517">
        <v>98</v>
      </c>
      <c r="G110" s="518" t="s">
        <v>450</v>
      </c>
      <c r="H110" s="510"/>
      <c r="I110" s="511"/>
      <c r="K110" s="517">
        <v>98</v>
      </c>
      <c r="L110" s="518" t="s">
        <v>450</v>
      </c>
      <c r="M110" s="510"/>
      <c r="N110" s="511"/>
      <c r="P110" s="517">
        <v>98</v>
      </c>
      <c r="Q110" s="518" t="s">
        <v>450</v>
      </c>
      <c r="R110" s="510"/>
      <c r="S110" s="511"/>
    </row>
    <row r="111" spans="1:19">
      <c r="A111" s="517">
        <v>99</v>
      </c>
      <c r="B111" s="518" t="s">
        <v>451</v>
      </c>
      <c r="C111" s="510"/>
      <c r="D111" s="511"/>
      <c r="E111" s="510"/>
      <c r="F111" s="517">
        <v>99</v>
      </c>
      <c r="G111" s="518" t="s">
        <v>451</v>
      </c>
      <c r="H111" s="510"/>
      <c r="I111" s="511"/>
      <c r="K111" s="517">
        <v>99</v>
      </c>
      <c r="L111" s="518" t="s">
        <v>451</v>
      </c>
      <c r="M111" s="510"/>
      <c r="N111" s="511"/>
      <c r="P111" s="517">
        <v>99</v>
      </c>
      <c r="Q111" s="518" t="s">
        <v>451</v>
      </c>
      <c r="R111" s="510"/>
      <c r="S111" s="511"/>
    </row>
    <row r="112" spans="1:19" ht="13.5" thickBot="1">
      <c r="A112" s="519">
        <v>100</v>
      </c>
      <c r="B112" s="520" t="s">
        <v>452</v>
      </c>
      <c r="C112" s="521"/>
      <c r="D112" s="522"/>
      <c r="E112" s="510"/>
      <c r="F112" s="519">
        <v>100</v>
      </c>
      <c r="G112" s="520" t="s">
        <v>452</v>
      </c>
      <c r="H112" s="521"/>
      <c r="I112" s="522"/>
      <c r="K112" s="519">
        <v>100</v>
      </c>
      <c r="L112" s="520" t="s">
        <v>452</v>
      </c>
      <c r="M112" s="521"/>
      <c r="N112" s="522"/>
      <c r="P112" s="519">
        <v>100</v>
      </c>
      <c r="Q112" s="520" t="s">
        <v>452</v>
      </c>
      <c r="R112" s="521"/>
      <c r="S112" s="522"/>
    </row>
    <row r="118" spans="1:4">
      <c r="A118" s="534" t="s">
        <v>458</v>
      </c>
    </row>
    <row r="119" spans="1:4" ht="13.5" thickBot="1"/>
    <row r="120" spans="1:4" ht="13.5" thickBot="1">
      <c r="A120" s="523"/>
      <c r="B120" s="524"/>
      <c r="C120" s="524"/>
      <c r="D120" s="525"/>
    </row>
    <row r="121" spans="1:4" ht="13.5" thickBot="1">
      <c r="A121" s="527"/>
      <c r="D121" s="528"/>
    </row>
    <row r="122" spans="1:4" ht="15.75" thickBot="1">
      <c r="A122" s="1051" t="e">
        <v>#REF!</v>
      </c>
      <c r="B122" s="1052"/>
      <c r="C122" s="507"/>
      <c r="D122" s="508"/>
    </row>
    <row r="123" spans="1:4">
      <c r="A123" s="1045"/>
      <c r="B123" s="1046"/>
      <c r="C123" s="507"/>
      <c r="D123" s="508"/>
    </row>
    <row r="124" spans="1:4">
      <c r="A124" s="509"/>
      <c r="B124" s="510"/>
      <c r="C124" s="510"/>
      <c r="D124" s="511"/>
    </row>
    <row r="125" spans="1:4">
      <c r="A125" s="1053" t="e">
        <f>IF(OR((A122&gt;9999999999),(A122&lt;0)),"Invalid Entry - More than 1000 crore OR -ve value",IF(A122=0, "",+CONCATENATE(U121,B132,D132,B131,D131,B130,D130,B129,D129,B128,D128,B127," Only")))</f>
        <v>#REF!</v>
      </c>
      <c r="B125" s="1054"/>
      <c r="C125" s="1054"/>
      <c r="D125" s="1055"/>
    </row>
    <row r="126" spans="1:4">
      <c r="A126" s="509"/>
      <c r="B126" s="510"/>
      <c r="C126" s="510"/>
      <c r="D126" s="511"/>
    </row>
    <row r="127" spans="1:4">
      <c r="A127" s="512" t="e">
        <f>-INT(A122/100)*100+ROUND(A122,0)</f>
        <v>#REF!</v>
      </c>
      <c r="B127" s="510" t="e">
        <f t="shared" ref="B127:B132" si="6">IF(A127=0,"",LOOKUP(A127,$A$13:$A$112,$B$13:$B$112))</f>
        <v>#REF!</v>
      </c>
      <c r="C127" s="510"/>
      <c r="D127" s="513"/>
    </row>
    <row r="128" spans="1:4">
      <c r="A128" s="512" t="e">
        <f>-INT(A122/1000)*10+INT(A122/100)</f>
        <v>#REF!</v>
      </c>
      <c r="B128" s="510" t="e">
        <f t="shared" si="6"/>
        <v>#REF!</v>
      </c>
      <c r="C128" s="510"/>
      <c r="D128" s="513" t="e">
        <f>+IF(B128="",""," Hundred ")</f>
        <v>#REF!</v>
      </c>
    </row>
    <row r="129" spans="1:4">
      <c r="A129" s="512" t="e">
        <f>-INT(A122/100000)*100+INT(A122/1000)</f>
        <v>#REF!</v>
      </c>
      <c r="B129" s="510" t="e">
        <f t="shared" si="6"/>
        <v>#REF!</v>
      </c>
      <c r="C129" s="510"/>
      <c r="D129" s="513" t="e">
        <f>IF((B129=""),IF(C129="",""," Thousand ")," Thousand ")</f>
        <v>#REF!</v>
      </c>
    </row>
    <row r="130" spans="1:4">
      <c r="A130" s="512" t="e">
        <f>-INT(A122/10000000)*100+INT(A122/100000)</f>
        <v>#REF!</v>
      </c>
      <c r="B130" s="510" t="e">
        <f t="shared" si="6"/>
        <v>#REF!</v>
      </c>
      <c r="C130" s="510"/>
      <c r="D130" s="513" t="e">
        <f>IF((B130=""),IF(C130="",""," Lac ")," Lac ")</f>
        <v>#REF!</v>
      </c>
    </row>
    <row r="131" spans="1:4">
      <c r="A131" s="512" t="e">
        <f>-INT(A122/1000000000)*100+INT(A122/10000000)</f>
        <v>#REF!</v>
      </c>
      <c r="B131" s="514" t="e">
        <f t="shared" si="6"/>
        <v>#REF!</v>
      </c>
      <c r="C131" s="510"/>
      <c r="D131" s="513" t="e">
        <f>IF((B131=""),IF(C131="",""," Crore ")," Crore ")</f>
        <v>#REF!</v>
      </c>
    </row>
    <row r="132" spans="1:4">
      <c r="A132" s="515" t="e">
        <f>-INT(A122/10000000000)*1000+INT(A122/1000000000)</f>
        <v>#REF!</v>
      </c>
      <c r="B132" s="514" t="e">
        <f t="shared" si="6"/>
        <v>#REF!</v>
      </c>
      <c r="C132" s="510"/>
      <c r="D132" s="513" t="e">
        <f>IF((B132=""),IF(C132="",""," Hundred ")," Hundred ")</f>
        <v>#REF!</v>
      </c>
    </row>
    <row r="133" spans="1:4">
      <c r="A133" s="516"/>
      <c r="B133" s="510"/>
      <c r="C133" s="510"/>
      <c r="D133" s="511"/>
    </row>
    <row r="134" spans="1:4">
      <c r="A134" s="517">
        <v>1</v>
      </c>
      <c r="B134" s="518" t="s">
        <v>353</v>
      </c>
      <c r="C134" s="510"/>
      <c r="D134" s="511"/>
    </row>
    <row r="135" spans="1:4">
      <c r="A135" s="517">
        <v>2</v>
      </c>
      <c r="B135" s="518" t="s">
        <v>354</v>
      </c>
      <c r="C135" s="510"/>
      <c r="D135" s="511"/>
    </row>
    <row r="136" spans="1:4">
      <c r="A136" s="517">
        <v>3</v>
      </c>
      <c r="B136" s="518" t="s">
        <v>355</v>
      </c>
      <c r="C136" s="510"/>
      <c r="D136" s="511"/>
    </row>
    <row r="137" spans="1:4">
      <c r="A137" s="517">
        <v>4</v>
      </c>
      <c r="B137" s="518" t="s">
        <v>356</v>
      </c>
      <c r="C137" s="510"/>
      <c r="D137" s="511"/>
    </row>
    <row r="138" spans="1:4">
      <c r="A138" s="517">
        <v>5</v>
      </c>
      <c r="B138" s="518" t="s">
        <v>357</v>
      </c>
      <c r="C138" s="510"/>
      <c r="D138" s="511"/>
    </row>
    <row r="139" spans="1:4">
      <c r="A139" s="517">
        <v>6</v>
      </c>
      <c r="B139" s="518" t="s">
        <v>358</v>
      </c>
      <c r="C139" s="510"/>
      <c r="D139" s="511"/>
    </row>
    <row r="140" spans="1:4">
      <c r="A140" s="517">
        <v>7</v>
      </c>
      <c r="B140" s="518" t="s">
        <v>359</v>
      </c>
      <c r="C140" s="510"/>
      <c r="D140" s="511"/>
    </row>
    <row r="141" spans="1:4">
      <c r="A141" s="517">
        <v>8</v>
      </c>
      <c r="B141" s="518" t="s">
        <v>360</v>
      </c>
      <c r="C141" s="510"/>
      <c r="D141" s="511"/>
    </row>
    <row r="142" spans="1:4">
      <c r="A142" s="517">
        <v>9</v>
      </c>
      <c r="B142" s="518" t="s">
        <v>361</v>
      </c>
      <c r="C142" s="510"/>
      <c r="D142" s="511"/>
    </row>
    <row r="143" spans="1:4">
      <c r="A143" s="517">
        <v>10</v>
      </c>
      <c r="B143" s="518" t="s">
        <v>362</v>
      </c>
      <c r="C143" s="510"/>
      <c r="D143" s="511"/>
    </row>
    <row r="144" spans="1:4">
      <c r="A144" s="517">
        <v>11</v>
      </c>
      <c r="B144" s="518" t="s">
        <v>363</v>
      </c>
      <c r="C144" s="510"/>
      <c r="D144" s="511"/>
    </row>
    <row r="145" spans="1:4">
      <c r="A145" s="517">
        <v>12</v>
      </c>
      <c r="B145" s="518" t="s">
        <v>364</v>
      </c>
      <c r="C145" s="510"/>
      <c r="D145" s="511"/>
    </row>
    <row r="146" spans="1:4">
      <c r="A146" s="517">
        <v>13</v>
      </c>
      <c r="B146" s="518" t="s">
        <v>365</v>
      </c>
      <c r="C146" s="510"/>
      <c r="D146" s="511"/>
    </row>
    <row r="147" spans="1:4">
      <c r="A147" s="517">
        <v>14</v>
      </c>
      <c r="B147" s="518" t="s">
        <v>366</v>
      </c>
      <c r="C147" s="510"/>
      <c r="D147" s="511"/>
    </row>
    <row r="148" spans="1:4">
      <c r="A148" s="517">
        <v>15</v>
      </c>
      <c r="B148" s="518" t="s">
        <v>367</v>
      </c>
      <c r="C148" s="510"/>
      <c r="D148" s="511"/>
    </row>
    <row r="149" spans="1:4">
      <c r="A149" s="517">
        <v>16</v>
      </c>
      <c r="B149" s="518" t="s">
        <v>368</v>
      </c>
      <c r="C149" s="510"/>
      <c r="D149" s="511"/>
    </row>
    <row r="150" spans="1:4">
      <c r="A150" s="517">
        <v>17</v>
      </c>
      <c r="B150" s="518" t="s">
        <v>369</v>
      </c>
      <c r="C150" s="510"/>
      <c r="D150" s="511"/>
    </row>
    <row r="151" spans="1:4">
      <c r="A151" s="517">
        <v>18</v>
      </c>
      <c r="B151" s="518" t="s">
        <v>370</v>
      </c>
      <c r="C151" s="510"/>
      <c r="D151" s="511"/>
    </row>
    <row r="152" spans="1:4">
      <c r="A152" s="517">
        <v>19</v>
      </c>
      <c r="B152" s="518" t="s">
        <v>371</v>
      </c>
      <c r="C152" s="510"/>
      <c r="D152" s="511"/>
    </row>
    <row r="153" spans="1:4">
      <c r="A153" s="517">
        <v>20</v>
      </c>
      <c r="B153" s="518" t="s">
        <v>372</v>
      </c>
      <c r="C153" s="510"/>
      <c r="D153" s="511"/>
    </row>
    <row r="154" spans="1:4">
      <c r="A154" s="517">
        <v>21</v>
      </c>
      <c r="B154" s="518" t="s">
        <v>373</v>
      </c>
      <c r="C154" s="510"/>
      <c r="D154" s="511"/>
    </row>
    <row r="155" spans="1:4">
      <c r="A155" s="517">
        <v>22</v>
      </c>
      <c r="B155" s="518" t="s">
        <v>374</v>
      </c>
      <c r="C155" s="510"/>
      <c r="D155" s="511"/>
    </row>
    <row r="156" spans="1:4">
      <c r="A156" s="517">
        <v>23</v>
      </c>
      <c r="B156" s="518" t="s">
        <v>375</v>
      </c>
      <c r="C156" s="510"/>
      <c r="D156" s="511"/>
    </row>
    <row r="157" spans="1:4">
      <c r="A157" s="517">
        <v>24</v>
      </c>
      <c r="B157" s="518" t="s">
        <v>376</v>
      </c>
      <c r="C157" s="510"/>
      <c r="D157" s="511"/>
    </row>
    <row r="158" spans="1:4">
      <c r="A158" s="517">
        <v>25</v>
      </c>
      <c r="B158" s="518" t="s">
        <v>377</v>
      </c>
      <c r="C158" s="510"/>
      <c r="D158" s="511"/>
    </row>
    <row r="159" spans="1:4">
      <c r="A159" s="517">
        <v>26</v>
      </c>
      <c r="B159" s="518" t="s">
        <v>378</v>
      </c>
      <c r="C159" s="510"/>
      <c r="D159" s="511"/>
    </row>
    <row r="160" spans="1:4">
      <c r="A160" s="517">
        <v>27</v>
      </c>
      <c r="B160" s="518" t="s">
        <v>379</v>
      </c>
      <c r="C160" s="510"/>
      <c r="D160" s="511"/>
    </row>
    <row r="161" spans="1:4">
      <c r="A161" s="517">
        <v>28</v>
      </c>
      <c r="B161" s="518" t="s">
        <v>380</v>
      </c>
      <c r="C161" s="510"/>
      <c r="D161" s="511"/>
    </row>
    <row r="162" spans="1:4">
      <c r="A162" s="517">
        <v>29</v>
      </c>
      <c r="B162" s="518" t="s">
        <v>381</v>
      </c>
      <c r="C162" s="510"/>
      <c r="D162" s="511"/>
    </row>
    <row r="163" spans="1:4">
      <c r="A163" s="517">
        <v>30</v>
      </c>
      <c r="B163" s="518" t="s">
        <v>382</v>
      </c>
      <c r="C163" s="510"/>
      <c r="D163" s="511"/>
    </row>
    <row r="164" spans="1:4">
      <c r="A164" s="517">
        <v>31</v>
      </c>
      <c r="B164" s="518" t="s">
        <v>383</v>
      </c>
      <c r="C164" s="510"/>
      <c r="D164" s="511"/>
    </row>
    <row r="165" spans="1:4">
      <c r="A165" s="517">
        <v>32</v>
      </c>
      <c r="B165" s="518" t="s">
        <v>384</v>
      </c>
      <c r="C165" s="510"/>
      <c r="D165" s="511"/>
    </row>
    <row r="166" spans="1:4">
      <c r="A166" s="517">
        <v>33</v>
      </c>
      <c r="B166" s="518" t="s">
        <v>385</v>
      </c>
      <c r="C166" s="510"/>
      <c r="D166" s="511"/>
    </row>
    <row r="167" spans="1:4">
      <c r="A167" s="517">
        <v>34</v>
      </c>
      <c r="B167" s="518" t="s">
        <v>386</v>
      </c>
      <c r="C167" s="510"/>
      <c r="D167" s="511"/>
    </row>
    <row r="168" spans="1:4">
      <c r="A168" s="517">
        <v>35</v>
      </c>
      <c r="B168" s="518" t="s">
        <v>387</v>
      </c>
      <c r="C168" s="510"/>
      <c r="D168" s="511"/>
    </row>
    <row r="169" spans="1:4">
      <c r="A169" s="517">
        <v>36</v>
      </c>
      <c r="B169" s="518" t="s">
        <v>388</v>
      </c>
      <c r="C169" s="510"/>
      <c r="D169" s="511"/>
    </row>
    <row r="170" spans="1:4">
      <c r="A170" s="517">
        <v>37</v>
      </c>
      <c r="B170" s="518" t="s">
        <v>389</v>
      </c>
      <c r="C170" s="510"/>
      <c r="D170" s="511"/>
    </row>
    <row r="171" spans="1:4">
      <c r="A171" s="517">
        <v>38</v>
      </c>
      <c r="B171" s="518" t="s">
        <v>390</v>
      </c>
      <c r="C171" s="510"/>
      <c r="D171" s="511"/>
    </row>
    <row r="172" spans="1:4">
      <c r="A172" s="517">
        <v>39</v>
      </c>
      <c r="B172" s="518" t="s">
        <v>391</v>
      </c>
      <c r="C172" s="510"/>
      <c r="D172" s="511"/>
    </row>
    <row r="173" spans="1:4">
      <c r="A173" s="517">
        <v>40</v>
      </c>
      <c r="B173" s="518" t="s">
        <v>392</v>
      </c>
      <c r="C173" s="510"/>
      <c r="D173" s="511"/>
    </row>
    <row r="174" spans="1:4">
      <c r="A174" s="517">
        <v>41</v>
      </c>
      <c r="B174" s="518" t="s">
        <v>393</v>
      </c>
      <c r="C174" s="510"/>
      <c r="D174" s="511"/>
    </row>
    <row r="175" spans="1:4">
      <c r="A175" s="517">
        <v>42</v>
      </c>
      <c r="B175" s="518" t="s">
        <v>394</v>
      </c>
      <c r="C175" s="510"/>
      <c r="D175" s="511"/>
    </row>
    <row r="176" spans="1:4">
      <c r="A176" s="517">
        <v>43</v>
      </c>
      <c r="B176" s="518" t="s">
        <v>395</v>
      </c>
      <c r="C176" s="510"/>
      <c r="D176" s="511"/>
    </row>
    <row r="177" spans="1:4">
      <c r="A177" s="517">
        <v>44</v>
      </c>
      <c r="B177" s="518" t="s">
        <v>396</v>
      </c>
      <c r="C177" s="510"/>
      <c r="D177" s="511"/>
    </row>
    <row r="178" spans="1:4">
      <c r="A178" s="517">
        <v>45</v>
      </c>
      <c r="B178" s="518" t="s">
        <v>397</v>
      </c>
      <c r="C178" s="510"/>
      <c r="D178" s="511"/>
    </row>
    <row r="179" spans="1:4">
      <c r="A179" s="517">
        <v>46</v>
      </c>
      <c r="B179" s="518" t="s">
        <v>398</v>
      </c>
      <c r="C179" s="510"/>
      <c r="D179" s="511"/>
    </row>
    <row r="180" spans="1:4">
      <c r="A180" s="517">
        <v>47</v>
      </c>
      <c r="B180" s="518" t="s">
        <v>399</v>
      </c>
      <c r="C180" s="510"/>
      <c r="D180" s="511"/>
    </row>
    <row r="181" spans="1:4">
      <c r="A181" s="517">
        <v>48</v>
      </c>
      <c r="B181" s="518" t="s">
        <v>400</v>
      </c>
      <c r="C181" s="510"/>
      <c r="D181" s="511"/>
    </row>
    <row r="182" spans="1:4">
      <c r="A182" s="517">
        <v>49</v>
      </c>
      <c r="B182" s="518" t="s">
        <v>401</v>
      </c>
      <c r="C182" s="510"/>
      <c r="D182" s="511"/>
    </row>
    <row r="183" spans="1:4">
      <c r="A183" s="517">
        <v>50</v>
      </c>
      <c r="B183" s="518" t="s">
        <v>402</v>
      </c>
      <c r="C183" s="510"/>
      <c r="D183" s="511"/>
    </row>
    <row r="184" spans="1:4">
      <c r="A184" s="517">
        <v>51</v>
      </c>
      <c r="B184" s="518" t="s">
        <v>403</v>
      </c>
      <c r="C184" s="510"/>
      <c r="D184" s="511"/>
    </row>
    <row r="185" spans="1:4">
      <c r="A185" s="517">
        <v>52</v>
      </c>
      <c r="B185" s="518" t="s">
        <v>404</v>
      </c>
      <c r="C185" s="510"/>
      <c r="D185" s="511"/>
    </row>
    <row r="186" spans="1:4">
      <c r="A186" s="517">
        <v>53</v>
      </c>
      <c r="B186" s="518" t="s">
        <v>405</v>
      </c>
      <c r="C186" s="510"/>
      <c r="D186" s="511"/>
    </row>
    <row r="187" spans="1:4">
      <c r="A187" s="517">
        <v>54</v>
      </c>
      <c r="B187" s="518" t="s">
        <v>406</v>
      </c>
      <c r="C187" s="510"/>
      <c r="D187" s="511"/>
    </row>
    <row r="188" spans="1:4">
      <c r="A188" s="517">
        <v>55</v>
      </c>
      <c r="B188" s="518" t="s">
        <v>407</v>
      </c>
      <c r="C188" s="510"/>
      <c r="D188" s="511"/>
    </row>
    <row r="189" spans="1:4">
      <c r="A189" s="517">
        <v>56</v>
      </c>
      <c r="B189" s="518" t="s">
        <v>408</v>
      </c>
      <c r="C189" s="510"/>
      <c r="D189" s="511"/>
    </row>
    <row r="190" spans="1:4">
      <c r="A190" s="517">
        <v>57</v>
      </c>
      <c r="B190" s="518" t="s">
        <v>409</v>
      </c>
      <c r="C190" s="510"/>
      <c r="D190" s="511"/>
    </row>
    <row r="191" spans="1:4">
      <c r="A191" s="517">
        <v>58</v>
      </c>
      <c r="B191" s="518" t="s">
        <v>410</v>
      </c>
      <c r="C191" s="510"/>
      <c r="D191" s="511"/>
    </row>
    <row r="192" spans="1:4">
      <c r="A192" s="517">
        <v>59</v>
      </c>
      <c r="B192" s="518" t="s">
        <v>411</v>
      </c>
      <c r="C192" s="510"/>
      <c r="D192" s="511"/>
    </row>
    <row r="193" spans="1:4">
      <c r="A193" s="517">
        <v>60</v>
      </c>
      <c r="B193" s="518" t="s">
        <v>412</v>
      </c>
      <c r="C193" s="510"/>
      <c r="D193" s="511"/>
    </row>
    <row r="194" spans="1:4">
      <c r="A194" s="517">
        <v>61</v>
      </c>
      <c r="B194" s="518" t="s">
        <v>413</v>
      </c>
      <c r="C194" s="510"/>
      <c r="D194" s="511"/>
    </row>
    <row r="195" spans="1:4">
      <c r="A195" s="517">
        <v>62</v>
      </c>
      <c r="B195" s="518" t="s">
        <v>414</v>
      </c>
      <c r="C195" s="510"/>
      <c r="D195" s="511"/>
    </row>
    <row r="196" spans="1:4">
      <c r="A196" s="517">
        <v>63</v>
      </c>
      <c r="B196" s="518" t="s">
        <v>415</v>
      </c>
      <c r="C196" s="510"/>
      <c r="D196" s="511"/>
    </row>
    <row r="197" spans="1:4">
      <c r="A197" s="517">
        <v>64</v>
      </c>
      <c r="B197" s="518" t="s">
        <v>416</v>
      </c>
      <c r="C197" s="510"/>
      <c r="D197" s="511"/>
    </row>
    <row r="198" spans="1:4">
      <c r="A198" s="517">
        <v>65</v>
      </c>
      <c r="B198" s="518" t="s">
        <v>417</v>
      </c>
      <c r="C198" s="510"/>
      <c r="D198" s="511"/>
    </row>
    <row r="199" spans="1:4">
      <c r="A199" s="517">
        <v>66</v>
      </c>
      <c r="B199" s="518" t="s">
        <v>418</v>
      </c>
      <c r="C199" s="510"/>
      <c r="D199" s="511"/>
    </row>
    <row r="200" spans="1:4">
      <c r="A200" s="517">
        <v>67</v>
      </c>
      <c r="B200" s="518" t="s">
        <v>419</v>
      </c>
      <c r="C200" s="510"/>
      <c r="D200" s="511"/>
    </row>
    <row r="201" spans="1:4">
      <c r="A201" s="517">
        <v>68</v>
      </c>
      <c r="B201" s="518" t="s">
        <v>420</v>
      </c>
      <c r="C201" s="510"/>
      <c r="D201" s="511"/>
    </row>
    <row r="202" spans="1:4">
      <c r="A202" s="517">
        <v>69</v>
      </c>
      <c r="B202" s="518" t="s">
        <v>421</v>
      </c>
      <c r="C202" s="510"/>
      <c r="D202" s="511"/>
    </row>
    <row r="203" spans="1:4">
      <c r="A203" s="517">
        <v>70</v>
      </c>
      <c r="B203" s="518" t="s">
        <v>422</v>
      </c>
      <c r="C203" s="510"/>
      <c r="D203" s="511"/>
    </row>
    <row r="204" spans="1:4">
      <c r="A204" s="517">
        <v>71</v>
      </c>
      <c r="B204" s="518" t="s">
        <v>423</v>
      </c>
      <c r="C204" s="510"/>
      <c r="D204" s="511"/>
    </row>
    <row r="205" spans="1:4">
      <c r="A205" s="517">
        <v>72</v>
      </c>
      <c r="B205" s="518" t="s">
        <v>424</v>
      </c>
      <c r="C205" s="510"/>
      <c r="D205" s="511"/>
    </row>
    <row r="206" spans="1:4">
      <c r="A206" s="517">
        <v>73</v>
      </c>
      <c r="B206" s="518" t="s">
        <v>425</v>
      </c>
      <c r="C206" s="510"/>
      <c r="D206" s="511"/>
    </row>
    <row r="207" spans="1:4">
      <c r="A207" s="517">
        <v>74</v>
      </c>
      <c r="B207" s="518" t="s">
        <v>426</v>
      </c>
      <c r="C207" s="510"/>
      <c r="D207" s="511"/>
    </row>
    <row r="208" spans="1:4">
      <c r="A208" s="517">
        <v>75</v>
      </c>
      <c r="B208" s="518" t="s">
        <v>427</v>
      </c>
      <c r="C208" s="510"/>
      <c r="D208" s="511"/>
    </row>
    <row r="209" spans="1:4">
      <c r="A209" s="517">
        <v>76</v>
      </c>
      <c r="B209" s="518" t="s">
        <v>428</v>
      </c>
      <c r="C209" s="510"/>
      <c r="D209" s="511"/>
    </row>
    <row r="210" spans="1:4">
      <c r="A210" s="517">
        <v>77</v>
      </c>
      <c r="B210" s="518" t="s">
        <v>429</v>
      </c>
      <c r="C210" s="510"/>
      <c r="D210" s="511"/>
    </row>
    <row r="211" spans="1:4">
      <c r="A211" s="517">
        <v>78</v>
      </c>
      <c r="B211" s="518" t="s">
        <v>430</v>
      </c>
      <c r="C211" s="510"/>
      <c r="D211" s="511"/>
    </row>
    <row r="212" spans="1:4">
      <c r="A212" s="517">
        <v>79</v>
      </c>
      <c r="B212" s="518" t="s">
        <v>431</v>
      </c>
      <c r="C212" s="510"/>
      <c r="D212" s="511"/>
    </row>
    <row r="213" spans="1:4">
      <c r="A213" s="517">
        <v>80</v>
      </c>
      <c r="B213" s="518" t="s">
        <v>432</v>
      </c>
      <c r="C213" s="510"/>
      <c r="D213" s="511"/>
    </row>
    <row r="214" spans="1:4">
      <c r="A214" s="517">
        <v>81</v>
      </c>
      <c r="B214" s="518" t="s">
        <v>433</v>
      </c>
      <c r="C214" s="510"/>
      <c r="D214" s="511"/>
    </row>
    <row r="215" spans="1:4">
      <c r="A215" s="517">
        <v>82</v>
      </c>
      <c r="B215" s="518" t="s">
        <v>434</v>
      </c>
      <c r="C215" s="510"/>
      <c r="D215" s="511"/>
    </row>
    <row r="216" spans="1:4">
      <c r="A216" s="517">
        <v>83</v>
      </c>
      <c r="B216" s="518" t="s">
        <v>435</v>
      </c>
      <c r="C216" s="510"/>
      <c r="D216" s="511"/>
    </row>
    <row r="217" spans="1:4">
      <c r="A217" s="517">
        <v>84</v>
      </c>
      <c r="B217" s="518" t="s">
        <v>436</v>
      </c>
      <c r="C217" s="510"/>
      <c r="D217" s="511"/>
    </row>
    <row r="218" spans="1:4">
      <c r="A218" s="517">
        <v>85</v>
      </c>
      <c r="B218" s="518" t="s">
        <v>437</v>
      </c>
      <c r="C218" s="510"/>
      <c r="D218" s="511"/>
    </row>
    <row r="219" spans="1:4">
      <c r="A219" s="517">
        <v>86</v>
      </c>
      <c r="B219" s="518" t="s">
        <v>438</v>
      </c>
      <c r="C219" s="510"/>
      <c r="D219" s="511"/>
    </row>
    <row r="220" spans="1:4">
      <c r="A220" s="517">
        <v>87</v>
      </c>
      <c r="B220" s="518" t="s">
        <v>439</v>
      </c>
      <c r="C220" s="510"/>
      <c r="D220" s="511"/>
    </row>
    <row r="221" spans="1:4">
      <c r="A221" s="517">
        <v>88</v>
      </c>
      <c r="B221" s="518" t="s">
        <v>440</v>
      </c>
      <c r="C221" s="510"/>
      <c r="D221" s="511"/>
    </row>
    <row r="222" spans="1:4">
      <c r="A222" s="517">
        <v>89</v>
      </c>
      <c r="B222" s="518" t="s">
        <v>441</v>
      </c>
      <c r="C222" s="510"/>
      <c r="D222" s="511"/>
    </row>
    <row r="223" spans="1:4">
      <c r="A223" s="517">
        <v>90</v>
      </c>
      <c r="B223" s="518" t="s">
        <v>442</v>
      </c>
      <c r="C223" s="510"/>
      <c r="D223" s="511"/>
    </row>
    <row r="224" spans="1:4">
      <c r="A224" s="517">
        <v>91</v>
      </c>
      <c r="B224" s="518" t="s">
        <v>443</v>
      </c>
      <c r="C224" s="510"/>
      <c r="D224" s="511"/>
    </row>
    <row r="225" spans="1:4">
      <c r="A225" s="517">
        <v>92</v>
      </c>
      <c r="B225" s="518" t="s">
        <v>444</v>
      </c>
      <c r="C225" s="510"/>
      <c r="D225" s="511"/>
    </row>
    <row r="226" spans="1:4">
      <c r="A226" s="517">
        <v>93</v>
      </c>
      <c r="B226" s="518" t="s">
        <v>445</v>
      </c>
      <c r="C226" s="510"/>
      <c r="D226" s="511"/>
    </row>
    <row r="227" spans="1:4">
      <c r="A227" s="517">
        <v>94</v>
      </c>
      <c r="B227" s="518" t="s">
        <v>446</v>
      </c>
      <c r="C227" s="510"/>
      <c r="D227" s="511"/>
    </row>
    <row r="228" spans="1:4">
      <c r="A228" s="517">
        <v>95</v>
      </c>
      <c r="B228" s="518" t="s">
        <v>447</v>
      </c>
      <c r="C228" s="510"/>
      <c r="D228" s="511"/>
    </row>
    <row r="229" spans="1:4">
      <c r="A229" s="517">
        <v>96</v>
      </c>
      <c r="B229" s="518" t="s">
        <v>448</v>
      </c>
      <c r="C229" s="510"/>
      <c r="D229" s="511"/>
    </row>
    <row r="230" spans="1:4">
      <c r="A230" s="517">
        <v>97</v>
      </c>
      <c r="B230" s="518" t="s">
        <v>449</v>
      </c>
      <c r="C230" s="510"/>
      <c r="D230" s="511"/>
    </row>
    <row r="231" spans="1:4">
      <c r="A231" s="517">
        <v>98</v>
      </c>
      <c r="B231" s="518" t="s">
        <v>450</v>
      </c>
      <c r="C231" s="510"/>
      <c r="D231" s="511"/>
    </row>
    <row r="232" spans="1:4">
      <c r="A232" s="517">
        <v>99</v>
      </c>
      <c r="B232" s="518" t="s">
        <v>451</v>
      </c>
      <c r="C232" s="510"/>
      <c r="D232" s="511"/>
    </row>
    <row r="233" spans="1:4" ht="13.5" thickBot="1">
      <c r="A233" s="519">
        <v>100</v>
      </c>
      <c r="B233" s="520" t="s">
        <v>452</v>
      </c>
      <c r="C233" s="521"/>
      <c r="D233" s="522"/>
    </row>
  </sheetData>
  <sheetProtection selectLockedCells="1"/>
  <customSheetViews>
    <customSheetView guid="{ADF3F130-0A37-42E7-A525-50C5A6B01A26}" hiddenColumns="1" state="hidden" topLeftCell="P1">
      <selection activeCell="DT28" sqref="DT28"/>
      <pageMargins left="0.75" right="0.75" top="1" bottom="1" header="0.5" footer="0.5"/>
      <pageSetup orientation="portrait" r:id="rId1"/>
      <headerFooter alignWithMargins="0"/>
    </customSheetView>
    <customSheetView guid="{889C3D82-0A24-4765-A688-A80A782F5056}" hiddenColumns="1" state="hidden" topLeftCell="P1">
      <selection activeCell="DT28" sqref="DT28"/>
      <pageMargins left="0.75" right="0.75" top="1" bottom="1" header="0.5" footer="0.5"/>
      <pageSetup orientation="portrait" r:id="rId2"/>
      <headerFooter alignWithMargins="0"/>
    </customSheetView>
    <customSheetView guid="{89CB4E6A-722E-4E39-885D-E2A6D0D08321}" hiddenColumns="1" state="hidden" topLeftCell="P1">
      <selection activeCell="DT28" sqref="DT28"/>
      <pageMargins left="0.75" right="0.75" top="1" bottom="1" header="0.5" footer="0.5"/>
      <pageSetup orientation="portrait" r:id="rId3"/>
      <headerFooter alignWithMargins="0"/>
    </customSheetView>
    <customSheetView guid="{915C64AD-BD67-44F0-9117-5B9D998BA799}" hiddenColumns="1" state="hidden" topLeftCell="P1">
      <selection activeCell="DT28" sqref="DT28"/>
      <pageMargins left="0.75" right="0.75" top="1" bottom="1" header="0.5" footer="0.5"/>
      <pageSetup orientation="portrait" r:id="rId4"/>
      <headerFooter alignWithMargins="0"/>
    </customSheetView>
    <customSheetView guid="{18EA11B4-BD82-47BF-99FA-7AB19BF74D0B}" hiddenColumns="1" state="hidden" topLeftCell="P1">
      <selection activeCell="DT28" sqref="DT28"/>
      <pageMargins left="0.75" right="0.75" top="1" bottom="1" header="0.5" footer="0.5"/>
      <pageSetup orientation="portrait" r:id="rId5"/>
      <headerFooter alignWithMargins="0"/>
    </customSheetView>
    <customSheetView guid="{CCA37BAE-906F-43D5-9FD9-B13563E4B9D7}" hiddenColumns="1" state="hidden" topLeftCell="P1">
      <selection activeCell="DT28" sqref="DT28"/>
      <pageMargins left="0.75" right="0.75" top="1" bottom="1" header="0.5" footer="0.5"/>
      <pageSetup orientation="portrait" r:id="rId6"/>
      <headerFooter alignWithMargins="0"/>
    </customSheetView>
    <customSheetView guid="{99CA2F10-F926-46DC-8609-4EAE5B9F3585}" hiddenColumns="1" state="hidden" topLeftCell="P1">
      <selection activeCell="DT28" sqref="DT28"/>
      <pageMargins left="0.75" right="0.75" top="1" bottom="1" header="0.5" footer="0.5"/>
      <pageSetup orientation="portrait" r:id="rId7"/>
      <headerFooter alignWithMargins="0"/>
    </customSheetView>
    <customSheetView guid="{A58DB4DF-40C7-4BEB-B85E-6BD6F54941CF}" hiddenColumns="1" state="hidden" topLeftCell="P1">
      <selection activeCell="DT28" sqref="DT28"/>
      <pageMargins left="0.75" right="0.75" top="1" bottom="1" header="0.5" footer="0.5"/>
      <pageSetup orientation="portrait" r:id="rId8"/>
      <headerFooter alignWithMargins="0"/>
    </customSheetView>
    <customSheetView guid="{1211E1B9-FC37-4364-9CF0-0FFC01866726}" hiddenColumns="1" state="hidden" topLeftCell="P1">
      <selection activeCell="DT28" sqref="DT28"/>
      <pageMargins left="0.75" right="0.75" top="1" bottom="1" header="0.5" footer="0.5"/>
      <pageSetup orientation="portrait" r:id="rId9"/>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44"/>
    <col min="2" max="2" width="9.140625" style="45"/>
    <col min="3" max="3" width="83" style="45" customWidth="1"/>
    <col min="4" max="4" width="75.5703125" style="44" customWidth="1"/>
    <col min="5" max="16384" width="9.140625" style="43"/>
  </cols>
  <sheetData>
    <row r="1" spans="1:11" ht="45" customHeight="1">
      <c r="A1" s="832" t="s">
        <v>336</v>
      </c>
      <c r="B1" s="832"/>
      <c r="C1" s="832"/>
      <c r="D1" s="41"/>
      <c r="E1" s="42"/>
      <c r="F1" s="42"/>
      <c r="G1" s="42"/>
      <c r="H1" s="42"/>
      <c r="I1" s="42"/>
      <c r="J1" s="42"/>
      <c r="K1" s="42"/>
    </row>
    <row r="2" spans="1:11" ht="18" customHeight="1">
      <c r="D2" s="17"/>
      <c r="E2" s="46"/>
      <c r="F2" s="46"/>
      <c r="G2" s="46"/>
      <c r="H2" s="46"/>
      <c r="I2" s="46"/>
      <c r="J2" s="46"/>
      <c r="K2" s="46"/>
    </row>
    <row r="3" spans="1:11" ht="18" customHeight="1">
      <c r="A3" s="47" t="s">
        <v>53</v>
      </c>
      <c r="B3" s="45" t="s">
        <v>54</v>
      </c>
      <c r="D3" s="48"/>
      <c r="E3" s="49"/>
      <c r="F3" s="49"/>
      <c r="G3" s="49"/>
      <c r="H3" s="49"/>
      <c r="I3" s="49"/>
      <c r="J3" s="49"/>
      <c r="K3" s="49"/>
    </row>
    <row r="4" spans="1:11" ht="18" customHeight="1">
      <c r="B4" s="50" t="s">
        <v>55</v>
      </c>
      <c r="C4" s="51" t="s">
        <v>56</v>
      </c>
      <c r="D4" s="48"/>
      <c r="E4" s="49"/>
      <c r="F4" s="49"/>
      <c r="G4" s="49"/>
      <c r="H4" s="49"/>
      <c r="I4" s="49"/>
      <c r="J4" s="49"/>
      <c r="K4" s="49"/>
    </row>
    <row r="5" spans="1:11" ht="38.1" customHeight="1">
      <c r="B5" s="50" t="s">
        <v>57</v>
      </c>
      <c r="C5" s="51" t="s">
        <v>58</v>
      </c>
      <c r="D5" s="48"/>
      <c r="E5" s="49"/>
      <c r="F5" s="49"/>
      <c r="G5" s="49"/>
      <c r="H5" s="49"/>
      <c r="I5" s="49"/>
      <c r="J5" s="49"/>
      <c r="K5" s="49"/>
    </row>
    <row r="6" spans="1:11" ht="18" customHeight="1">
      <c r="B6" s="50" t="s">
        <v>59</v>
      </c>
      <c r="C6" s="51" t="s">
        <v>60</v>
      </c>
      <c r="D6" s="48"/>
      <c r="E6" s="49"/>
      <c r="F6" s="49"/>
      <c r="G6" s="49"/>
      <c r="H6" s="49"/>
      <c r="I6" s="49"/>
      <c r="J6" s="49"/>
      <c r="K6" s="49"/>
    </row>
    <row r="7" spans="1:11" ht="18" customHeight="1">
      <c r="B7" s="50" t="s">
        <v>61</v>
      </c>
      <c r="C7" s="51" t="s">
        <v>62</v>
      </c>
      <c r="D7" s="48"/>
      <c r="E7" s="49"/>
      <c r="F7" s="49"/>
      <c r="G7" s="49"/>
      <c r="H7" s="49"/>
      <c r="I7" s="49"/>
      <c r="J7" s="49"/>
      <c r="K7" s="49"/>
    </row>
    <row r="8" spans="1:11" ht="18" customHeight="1">
      <c r="B8" s="50" t="s">
        <v>63</v>
      </c>
      <c r="C8" s="51" t="s">
        <v>64</v>
      </c>
      <c r="D8" s="48"/>
      <c r="E8" s="49"/>
      <c r="F8" s="49"/>
      <c r="G8" s="49"/>
      <c r="H8" s="49"/>
      <c r="I8" s="49"/>
      <c r="J8" s="49"/>
      <c r="K8" s="49"/>
    </row>
    <row r="9" spans="1:11" ht="18" customHeight="1">
      <c r="B9" s="50" t="s">
        <v>65</v>
      </c>
      <c r="C9" s="51" t="s">
        <v>66</v>
      </c>
      <c r="D9" s="48"/>
      <c r="E9" s="49"/>
      <c r="F9" s="49"/>
      <c r="G9" s="49"/>
      <c r="H9" s="49"/>
      <c r="I9" s="49"/>
      <c r="J9" s="49"/>
      <c r="K9" s="49"/>
    </row>
    <row r="10" spans="1:11" ht="18" customHeight="1">
      <c r="B10" s="50"/>
      <c r="C10" s="51"/>
      <c r="D10" s="48"/>
      <c r="E10" s="49"/>
      <c r="F10" s="49"/>
      <c r="G10" s="49"/>
      <c r="H10" s="49"/>
      <c r="I10" s="49"/>
      <c r="J10" s="49"/>
      <c r="K10" s="49"/>
    </row>
    <row r="11" spans="1:11" ht="18" customHeight="1">
      <c r="A11" s="47" t="s">
        <v>67</v>
      </c>
      <c r="B11" s="45" t="s">
        <v>68</v>
      </c>
      <c r="D11" s="48"/>
      <c r="E11" s="49"/>
      <c r="F11" s="49"/>
      <c r="G11" s="49"/>
      <c r="H11" s="49"/>
      <c r="I11" s="49"/>
      <c r="J11" s="49"/>
      <c r="K11" s="49"/>
    </row>
    <row r="12" spans="1:11" ht="18" customHeight="1">
      <c r="B12" s="831" t="s">
        <v>69</v>
      </c>
      <c r="C12" s="831"/>
      <c r="D12" s="52"/>
      <c r="E12" s="49"/>
      <c r="F12" s="49"/>
      <c r="G12" s="49"/>
      <c r="H12" s="49"/>
      <c r="I12" s="49"/>
      <c r="J12" s="49"/>
      <c r="K12" s="49"/>
    </row>
    <row r="13" spans="1:11" ht="18" customHeight="1">
      <c r="B13" s="53"/>
      <c r="C13" s="51" t="s">
        <v>70</v>
      </c>
      <c r="D13" s="48"/>
      <c r="E13" s="49"/>
      <c r="F13" s="49"/>
      <c r="G13" s="49"/>
      <c r="H13" s="49"/>
      <c r="I13" s="49"/>
      <c r="J13" s="49"/>
      <c r="K13" s="49"/>
    </row>
    <row r="14" spans="1:11" ht="18" customHeight="1">
      <c r="B14" s="831" t="s">
        <v>71</v>
      </c>
      <c r="C14" s="831"/>
      <c r="D14" s="52"/>
      <c r="E14" s="49"/>
      <c r="F14" s="49"/>
      <c r="G14" s="49"/>
      <c r="H14" s="49"/>
      <c r="I14" s="49"/>
      <c r="J14" s="49"/>
      <c r="K14" s="49"/>
    </row>
    <row r="15" spans="1:11" ht="38.1" customHeight="1">
      <c r="B15" s="54" t="s">
        <v>72</v>
      </c>
      <c r="C15" s="51" t="s">
        <v>73</v>
      </c>
      <c r="D15" s="48"/>
      <c r="E15" s="49"/>
      <c r="F15" s="49"/>
      <c r="G15" s="49"/>
      <c r="H15" s="49"/>
      <c r="I15" s="49"/>
      <c r="J15" s="49"/>
      <c r="K15" s="49"/>
    </row>
    <row r="16" spans="1:11" ht="36" customHeight="1">
      <c r="B16" s="54" t="s">
        <v>72</v>
      </c>
      <c r="C16" s="51" t="s">
        <v>74</v>
      </c>
      <c r="D16" s="48"/>
      <c r="E16" s="49"/>
      <c r="F16" s="49"/>
      <c r="G16" s="49"/>
      <c r="H16" s="49"/>
      <c r="I16" s="49"/>
      <c r="J16" s="49"/>
      <c r="K16" s="49"/>
    </row>
    <row r="17" spans="2:11" ht="42" customHeight="1">
      <c r="B17" s="54" t="s">
        <v>72</v>
      </c>
      <c r="C17" s="51" t="s">
        <v>75</v>
      </c>
      <c r="D17" s="48"/>
      <c r="E17" s="49"/>
      <c r="F17" s="49"/>
      <c r="G17" s="49"/>
      <c r="H17" s="49"/>
      <c r="I17" s="49"/>
      <c r="J17" s="49"/>
      <c r="K17" s="49"/>
    </row>
    <row r="18" spans="2:11" ht="18" customHeight="1">
      <c r="B18" s="54" t="s">
        <v>72</v>
      </c>
      <c r="C18" s="51" t="s">
        <v>76</v>
      </c>
      <c r="D18" s="48"/>
      <c r="E18" s="49"/>
      <c r="F18" s="49"/>
      <c r="G18" s="49"/>
      <c r="H18" s="49"/>
      <c r="I18" s="49"/>
      <c r="J18" s="49"/>
      <c r="K18" s="49"/>
    </row>
    <row r="19" spans="2:11" ht="18" customHeight="1">
      <c r="B19" s="54" t="s">
        <v>72</v>
      </c>
      <c r="C19" s="55" t="s">
        <v>77</v>
      </c>
      <c r="D19" s="48"/>
      <c r="E19" s="49"/>
      <c r="F19" s="49"/>
      <c r="G19" s="49"/>
      <c r="H19" s="49"/>
      <c r="I19" s="49"/>
      <c r="J19" s="49"/>
      <c r="K19" s="49"/>
    </row>
    <row r="20" spans="2:11" ht="18" customHeight="1">
      <c r="B20" s="54" t="s">
        <v>72</v>
      </c>
      <c r="C20" s="51" t="s">
        <v>78</v>
      </c>
      <c r="D20" s="48"/>
      <c r="E20" s="49"/>
      <c r="F20" s="49"/>
      <c r="G20" s="49"/>
      <c r="H20" s="49"/>
      <c r="I20" s="49"/>
      <c r="J20" s="49"/>
      <c r="K20" s="49"/>
    </row>
    <row r="21" spans="2:11" ht="18" customHeight="1">
      <c r="B21" s="831" t="s">
        <v>79</v>
      </c>
      <c r="C21" s="831"/>
      <c r="D21" s="52"/>
      <c r="E21" s="49"/>
      <c r="F21" s="49"/>
      <c r="G21" s="49"/>
      <c r="H21" s="49"/>
      <c r="I21" s="49"/>
      <c r="J21" s="49"/>
      <c r="K21" s="49"/>
    </row>
    <row r="22" spans="2:11" ht="54" customHeight="1">
      <c r="B22" s="54" t="s">
        <v>72</v>
      </c>
      <c r="C22" s="51" t="s">
        <v>80</v>
      </c>
      <c r="D22" s="48"/>
      <c r="E22" s="49"/>
      <c r="F22" s="49"/>
      <c r="G22" s="49"/>
      <c r="H22" s="49"/>
      <c r="I22" s="49"/>
      <c r="J22" s="49"/>
      <c r="K22" s="49"/>
    </row>
    <row r="23" spans="2:11" ht="54" customHeight="1">
      <c r="B23" s="54" t="s">
        <v>72</v>
      </c>
      <c r="C23" s="51" t="s">
        <v>81</v>
      </c>
      <c r="D23" s="48"/>
      <c r="E23" s="49"/>
      <c r="F23" s="49"/>
      <c r="G23" s="49"/>
      <c r="H23" s="49"/>
      <c r="I23" s="49"/>
      <c r="J23" s="49"/>
      <c r="K23" s="49"/>
    </row>
    <row r="24" spans="2:11" ht="57.6" customHeight="1">
      <c r="B24" s="54" t="s">
        <v>72</v>
      </c>
      <c r="C24" s="51" t="s">
        <v>82</v>
      </c>
      <c r="D24" s="48"/>
      <c r="E24" s="49"/>
      <c r="F24" s="49"/>
      <c r="G24" s="49"/>
      <c r="H24" s="49"/>
      <c r="I24" s="49"/>
      <c r="J24" s="49"/>
      <c r="K24" s="49"/>
    </row>
    <row r="25" spans="2:11" ht="18" customHeight="1">
      <c r="B25" s="54" t="s">
        <v>72</v>
      </c>
      <c r="C25" s="51" t="s">
        <v>83</v>
      </c>
      <c r="D25" s="48"/>
      <c r="E25" s="49"/>
      <c r="F25" s="49"/>
      <c r="G25" s="49"/>
      <c r="H25" s="49"/>
      <c r="I25" s="49"/>
      <c r="J25" s="49"/>
      <c r="K25" s="49"/>
    </row>
    <row r="26" spans="2:11" ht="38.1" customHeight="1">
      <c r="B26" s="54" t="s">
        <v>72</v>
      </c>
      <c r="C26" s="51" t="s">
        <v>84</v>
      </c>
      <c r="D26" s="48"/>
      <c r="E26" s="49"/>
      <c r="F26" s="49"/>
      <c r="G26" s="49"/>
      <c r="H26" s="49"/>
      <c r="I26" s="49"/>
      <c r="J26" s="49"/>
      <c r="K26" s="49"/>
    </row>
    <row r="27" spans="2:11" ht="18" customHeight="1">
      <c r="B27" s="831" t="s">
        <v>85</v>
      </c>
      <c r="C27" s="831"/>
      <c r="D27" s="52"/>
      <c r="E27" s="49"/>
      <c r="F27" s="49"/>
      <c r="G27" s="49"/>
      <c r="H27" s="49"/>
      <c r="I27" s="49"/>
      <c r="J27" s="49"/>
      <c r="K27" s="49"/>
    </row>
    <row r="28" spans="2:11" ht="54" customHeight="1">
      <c r="B28" s="54" t="s">
        <v>72</v>
      </c>
      <c r="C28" s="51" t="s">
        <v>80</v>
      </c>
      <c r="D28" s="48"/>
      <c r="E28" s="49"/>
      <c r="F28" s="49"/>
      <c r="G28" s="49"/>
      <c r="H28" s="49"/>
      <c r="I28" s="49"/>
      <c r="J28" s="49"/>
      <c r="K28" s="49"/>
    </row>
    <row r="29" spans="2:11" ht="18" customHeight="1">
      <c r="B29" s="54" t="s">
        <v>72</v>
      </c>
      <c r="C29" s="51" t="s">
        <v>83</v>
      </c>
      <c r="D29" s="48"/>
      <c r="E29" s="49"/>
      <c r="F29" s="49"/>
      <c r="G29" s="49"/>
      <c r="H29" s="49"/>
      <c r="I29" s="49"/>
      <c r="J29" s="49"/>
      <c r="K29" s="49"/>
    </row>
    <row r="30" spans="2:11" ht="18" customHeight="1">
      <c r="B30" s="831" t="s">
        <v>86</v>
      </c>
      <c r="C30" s="831"/>
      <c r="D30" s="52"/>
    </row>
    <row r="31" spans="2:11" ht="54" customHeight="1">
      <c r="B31" s="54" t="s">
        <v>72</v>
      </c>
      <c r="C31" s="51" t="s">
        <v>80</v>
      </c>
      <c r="D31" s="48"/>
      <c r="E31" s="49"/>
      <c r="F31" s="49"/>
      <c r="G31" s="49"/>
      <c r="H31" s="49"/>
      <c r="I31" s="49"/>
      <c r="J31" s="49"/>
      <c r="K31" s="49"/>
    </row>
    <row r="32" spans="2:11" ht="18" customHeight="1">
      <c r="B32" s="54" t="s">
        <v>72</v>
      </c>
      <c r="C32" s="51" t="s">
        <v>83</v>
      </c>
      <c r="D32" s="48"/>
    </row>
    <row r="33" spans="2:11" ht="18" customHeight="1">
      <c r="B33" s="831" t="s">
        <v>87</v>
      </c>
      <c r="C33" s="831"/>
      <c r="D33" s="52"/>
    </row>
    <row r="34" spans="2:11" ht="18" customHeight="1">
      <c r="B34" s="54" t="s">
        <v>72</v>
      </c>
      <c r="C34" s="51" t="s">
        <v>88</v>
      </c>
      <c r="D34" s="48"/>
    </row>
    <row r="35" spans="2:11" ht="18" customHeight="1">
      <c r="B35" s="831" t="s">
        <v>89</v>
      </c>
      <c r="C35" s="831"/>
      <c r="D35" s="52"/>
    </row>
    <row r="36" spans="2:11" ht="66.599999999999994" customHeight="1">
      <c r="B36" s="54" t="s">
        <v>72</v>
      </c>
      <c r="C36" s="51" t="s">
        <v>90</v>
      </c>
      <c r="D36" s="48"/>
      <c r="E36" s="49"/>
      <c r="F36" s="49"/>
      <c r="G36" s="49"/>
      <c r="H36" s="49"/>
      <c r="I36" s="49"/>
      <c r="J36" s="49"/>
      <c r="K36" s="49"/>
    </row>
    <row r="37" spans="2:11" ht="146.1" customHeight="1">
      <c r="B37" s="54" t="s">
        <v>72</v>
      </c>
      <c r="C37" s="51" t="s">
        <v>91</v>
      </c>
      <c r="D37" s="48"/>
      <c r="E37" s="49"/>
      <c r="F37" s="49"/>
      <c r="G37" s="49"/>
      <c r="H37" s="49"/>
      <c r="I37" s="49"/>
      <c r="J37" s="49"/>
      <c r="K37" s="49"/>
    </row>
    <row r="38" spans="2:11" ht="164.1" customHeight="1">
      <c r="B38" s="54" t="s">
        <v>72</v>
      </c>
      <c r="C38" s="51" t="s">
        <v>92</v>
      </c>
      <c r="D38" s="48"/>
      <c r="E38" s="49"/>
      <c r="F38" s="49"/>
      <c r="G38" s="49"/>
      <c r="H38" s="49"/>
      <c r="I38" s="49"/>
      <c r="J38" s="49"/>
      <c r="K38" s="49"/>
    </row>
    <row r="39" spans="2:11" ht="75.95" customHeight="1">
      <c r="B39" s="54" t="s">
        <v>72</v>
      </c>
      <c r="C39" s="51" t="s">
        <v>93</v>
      </c>
      <c r="D39" s="48"/>
      <c r="E39" s="49"/>
      <c r="F39" s="49"/>
      <c r="G39" s="49"/>
      <c r="H39" s="49"/>
      <c r="I39" s="49"/>
      <c r="J39" s="49"/>
      <c r="K39" s="49"/>
    </row>
    <row r="40" spans="2:11" ht="38.1" customHeight="1">
      <c r="B40" s="54" t="s">
        <v>72</v>
      </c>
      <c r="C40" s="51" t="s">
        <v>94</v>
      </c>
    </row>
    <row r="41" spans="2:11" ht="18" customHeight="1">
      <c r="B41" s="831" t="s">
        <v>95</v>
      </c>
      <c r="C41" s="831"/>
    </row>
    <row r="42" spans="2:11" ht="38.1" customHeight="1">
      <c r="B42" s="54" t="s">
        <v>72</v>
      </c>
      <c r="C42" s="51" t="s">
        <v>96</v>
      </c>
    </row>
    <row r="43" spans="2:11" ht="18" customHeight="1">
      <c r="B43" s="54" t="s">
        <v>72</v>
      </c>
      <c r="C43" s="56" t="s">
        <v>97</v>
      </c>
    </row>
    <row r="44" spans="2:11" ht="18" customHeight="1">
      <c r="B44" s="831" t="s">
        <v>98</v>
      </c>
      <c r="C44" s="831"/>
    </row>
    <row r="45" spans="2:11" ht="38.1" customHeight="1">
      <c r="B45" s="54" t="s">
        <v>72</v>
      </c>
      <c r="C45" s="51" t="s">
        <v>99</v>
      </c>
    </row>
    <row r="46" spans="2:11" ht="18" customHeight="1">
      <c r="B46" s="54" t="s">
        <v>72</v>
      </c>
      <c r="C46" s="56" t="s">
        <v>97</v>
      </c>
    </row>
    <row r="47" spans="2:11" ht="18" customHeight="1">
      <c r="B47" s="831" t="s">
        <v>100</v>
      </c>
      <c r="C47" s="831" t="s">
        <v>101</v>
      </c>
    </row>
    <row r="48" spans="2:11" ht="48" customHeight="1">
      <c r="B48" s="54" t="s">
        <v>72</v>
      </c>
      <c r="C48" s="51" t="s">
        <v>102</v>
      </c>
    </row>
    <row r="49" spans="1:11" ht="18" customHeight="1">
      <c r="B49" s="54" t="s">
        <v>72</v>
      </c>
      <c r="C49" s="56" t="s">
        <v>97</v>
      </c>
    </row>
    <row r="50" spans="1:11" ht="18" customHeight="1">
      <c r="B50" s="831" t="s">
        <v>103</v>
      </c>
      <c r="C50" s="831"/>
    </row>
    <row r="51" spans="1:11" ht="38.1" customHeight="1">
      <c r="B51" s="54" t="s">
        <v>72</v>
      </c>
      <c r="C51" s="51" t="s">
        <v>104</v>
      </c>
    </row>
    <row r="52" spans="1:11" ht="38.1" customHeight="1">
      <c r="B52" s="54" t="s">
        <v>72</v>
      </c>
      <c r="C52" s="51" t="s">
        <v>105</v>
      </c>
    </row>
    <row r="53" spans="1:11" ht="18" customHeight="1">
      <c r="B53" s="831" t="s">
        <v>106</v>
      </c>
      <c r="C53" s="831"/>
    </row>
    <row r="54" spans="1:11" ht="18" customHeight="1">
      <c r="B54" s="54" t="s">
        <v>72</v>
      </c>
      <c r="C54" s="57" t="s">
        <v>107</v>
      </c>
    </row>
    <row r="55" spans="1:11" ht="18" customHeight="1">
      <c r="B55" s="54" t="s">
        <v>72</v>
      </c>
      <c r="C55" s="57" t="s">
        <v>108</v>
      </c>
    </row>
    <row r="56" spans="1:11" ht="18" customHeight="1">
      <c r="B56" s="831" t="s">
        <v>109</v>
      </c>
      <c r="C56" s="831"/>
    </row>
    <row r="57" spans="1:11" ht="18" customHeight="1">
      <c r="B57" s="54" t="s">
        <v>72</v>
      </c>
      <c r="C57" s="51" t="s">
        <v>110</v>
      </c>
      <c r="D57" s="48"/>
      <c r="E57" s="49"/>
      <c r="F57" s="49"/>
      <c r="G57" s="49"/>
      <c r="H57" s="49"/>
      <c r="I57" s="49"/>
      <c r="J57" s="49"/>
      <c r="K57" s="49"/>
    </row>
    <row r="58" spans="1:11" ht="18" customHeight="1">
      <c r="B58" s="54" t="s">
        <v>72</v>
      </c>
      <c r="C58" s="51" t="s">
        <v>111</v>
      </c>
      <c r="D58" s="48"/>
      <c r="E58" s="49"/>
      <c r="F58" s="49"/>
      <c r="G58" s="49"/>
      <c r="H58" s="49"/>
      <c r="I58" s="49"/>
      <c r="J58" s="49"/>
      <c r="K58" s="49"/>
    </row>
    <row r="59" spans="1:11" ht="36" customHeight="1">
      <c r="B59" s="54" t="s">
        <v>72</v>
      </c>
      <c r="C59" s="51" t="s">
        <v>112</v>
      </c>
      <c r="D59" s="48"/>
      <c r="E59" s="49"/>
      <c r="F59" s="49"/>
      <c r="G59" s="49"/>
      <c r="H59" s="49"/>
      <c r="I59" s="49"/>
      <c r="J59" s="49"/>
      <c r="K59" s="49"/>
    </row>
    <row r="60" spans="1:11" ht="18" customHeight="1">
      <c r="B60" s="54" t="s">
        <v>72</v>
      </c>
      <c r="C60" s="51" t="s">
        <v>113</v>
      </c>
      <c r="D60" s="48"/>
      <c r="E60" s="49"/>
      <c r="F60" s="49"/>
      <c r="G60" s="49"/>
      <c r="H60" s="49"/>
      <c r="I60" s="49"/>
      <c r="J60" s="49"/>
      <c r="K60" s="49"/>
    </row>
    <row r="61" spans="1:11" ht="18" customHeight="1">
      <c r="A61" s="45"/>
      <c r="C61" s="58"/>
    </row>
    <row r="62" spans="1:11" ht="18" customHeight="1">
      <c r="A62" s="835"/>
      <c r="B62" s="835"/>
      <c r="C62" s="835"/>
      <c r="D62" s="59"/>
    </row>
    <row r="63" spans="1:11" ht="18" customHeight="1">
      <c r="A63" s="833" t="s">
        <v>114</v>
      </c>
      <c r="B63" s="833"/>
      <c r="C63" s="833"/>
      <c r="D63" s="59"/>
    </row>
    <row r="64" spans="1:11" ht="36" customHeight="1">
      <c r="A64" s="834" t="s">
        <v>115</v>
      </c>
      <c r="B64" s="834"/>
      <c r="C64" s="834"/>
    </row>
    <row r="65" spans="2:3" ht="18" customHeight="1">
      <c r="B65" s="60"/>
      <c r="C65" s="60"/>
    </row>
    <row r="66" spans="2:3" ht="18" customHeight="1">
      <c r="C66" s="57"/>
    </row>
    <row r="67" spans="2:3" ht="18" customHeight="1">
      <c r="C67" s="58"/>
    </row>
    <row r="68" spans="2:3" ht="18" customHeight="1">
      <c r="C68" s="57"/>
    </row>
    <row r="69" spans="2:3" ht="18" customHeight="1">
      <c r="B69" s="58"/>
      <c r="C69" s="58"/>
    </row>
    <row r="70" spans="2:3" ht="18" customHeight="1">
      <c r="B70" s="58"/>
      <c r="C70" s="58"/>
    </row>
    <row r="71" spans="2:3" ht="18" customHeight="1">
      <c r="B71" s="58"/>
      <c r="C71" s="58"/>
    </row>
    <row r="72" spans="2:3" ht="18" customHeight="1">
      <c r="B72" s="58"/>
      <c r="C72" s="58"/>
    </row>
    <row r="73" spans="2:3" ht="18" customHeight="1">
      <c r="B73" s="58"/>
      <c r="C73" s="58"/>
    </row>
    <row r="74" spans="2:3" ht="18" customHeight="1">
      <c r="B74" s="58"/>
      <c r="C74" s="5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ADF3F130-0A37-42E7-A525-50C5A6B01A26}"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1211E1B9-FC37-4364-9CF0-0FFC01866726}"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O24"/>
  <sheetViews>
    <sheetView showGridLines="0" view="pageBreakPreview" zoomScale="115" zoomScaleSheetLayoutView="115" workbookViewId="0">
      <selection activeCell="C11" sqref="C11:F11"/>
    </sheetView>
  </sheetViews>
  <sheetFormatPr defaultRowHeight="15.75"/>
  <cols>
    <col min="1" max="1" width="33" style="431" customWidth="1"/>
    <col min="2" max="2" width="11.7109375" style="431" customWidth="1"/>
    <col min="3" max="4" width="6.42578125" style="431" customWidth="1"/>
    <col min="5" max="5" width="6.42578125" style="434" customWidth="1"/>
    <col min="6" max="6" width="39" style="434" customWidth="1"/>
    <col min="7" max="7" width="11.85546875" style="434" hidden="1" customWidth="1"/>
    <col min="8" max="8" width="11.85546875" style="434" customWidth="1"/>
    <col min="9" max="11" width="11.85546875" style="434" hidden="1" customWidth="1"/>
    <col min="12" max="12" width="9.140625" style="434" hidden="1" customWidth="1"/>
    <col min="13" max="13" width="15.28515625" style="434" hidden="1" customWidth="1"/>
    <col min="14" max="14" width="9.140625" style="434" hidden="1" customWidth="1"/>
    <col min="15" max="16" width="9.140625" style="434" customWidth="1"/>
    <col min="17" max="16384" width="9.140625" style="434"/>
  </cols>
  <sheetData>
    <row r="1" spans="1:15" s="431" customFormat="1" ht="133.5" customHeight="1">
      <c r="A1" s="844" t="str">
        <f>Cover!$B$2</f>
        <v>Transmission Line package TW02 for Diversion / modification of various POWERGRID’s 400kV Transmission Lines due to upcoming Green Field Airport at Kota under Consultancy Services to Kota Development Authority, Kota</v>
      </c>
      <c r="B1" s="844"/>
      <c r="C1" s="844"/>
      <c r="D1" s="844"/>
      <c r="E1" s="844"/>
      <c r="F1" s="844"/>
      <c r="G1" s="432"/>
      <c r="H1" s="432"/>
      <c r="I1" s="432"/>
      <c r="J1" s="432"/>
      <c r="K1" s="432"/>
      <c r="M1" s="433"/>
      <c r="N1" s="433"/>
      <c r="O1" s="433"/>
    </row>
    <row r="2" spans="1:15" ht="16.5" customHeight="1">
      <c r="A2" s="845" t="str">
        <f>Cover!B3</f>
        <v>Spec No: NR1/NT/W-TW/DOM/I00/25/03940 (Rfx-5002004353)</v>
      </c>
      <c r="B2" s="845"/>
      <c r="C2" s="845"/>
      <c r="D2" s="845"/>
      <c r="E2" s="845"/>
      <c r="F2" s="845"/>
      <c r="G2" s="431"/>
      <c r="H2" s="431"/>
      <c r="I2" s="431"/>
      <c r="J2" s="431"/>
      <c r="K2" s="431"/>
      <c r="M2" s="434" t="s">
        <v>116</v>
      </c>
      <c r="N2" s="435">
        <v>1</v>
      </c>
      <c r="O2" s="436"/>
    </row>
    <row r="3" spans="1:15" ht="12" customHeight="1">
      <c r="A3" s="437"/>
      <c r="B3" s="437"/>
      <c r="C3" s="437"/>
      <c r="D3" s="437"/>
      <c r="E3" s="431"/>
      <c r="F3" s="431"/>
      <c r="G3" s="431"/>
      <c r="H3" s="431"/>
      <c r="I3" s="431"/>
      <c r="J3" s="431"/>
      <c r="K3" s="431"/>
      <c r="M3" s="434" t="s">
        <v>117</v>
      </c>
      <c r="N3" s="435" t="s">
        <v>118</v>
      </c>
      <c r="O3" s="436"/>
    </row>
    <row r="4" spans="1:15" ht="20.100000000000001" customHeight="1">
      <c r="A4" s="846" t="s">
        <v>119</v>
      </c>
      <c r="B4" s="846"/>
      <c r="C4" s="846"/>
      <c r="D4" s="846"/>
      <c r="E4" s="846"/>
      <c r="F4" s="846"/>
      <c r="G4" s="431"/>
      <c r="H4" s="431"/>
      <c r="I4" s="431"/>
      <c r="J4" s="431"/>
      <c r="K4" s="431"/>
      <c r="N4" s="435"/>
      <c r="O4" s="436"/>
    </row>
    <row r="5" spans="1:15" ht="12" customHeight="1">
      <c r="A5" s="438"/>
      <c r="B5" s="438"/>
      <c r="E5" s="431"/>
      <c r="F5" s="431"/>
      <c r="G5" s="431"/>
      <c r="H5" s="431"/>
      <c r="I5" s="431"/>
      <c r="J5" s="431"/>
      <c r="K5" s="431"/>
      <c r="M5" s="436"/>
      <c r="N5" s="436"/>
      <c r="O5" s="436"/>
    </row>
    <row r="6" spans="1:15" s="431" customFormat="1" ht="50.25" customHeight="1">
      <c r="A6" s="851" t="s">
        <v>339</v>
      </c>
      <c r="B6" s="851"/>
      <c r="C6" s="847" t="s">
        <v>116</v>
      </c>
      <c r="D6" s="847"/>
      <c r="E6" s="847"/>
      <c r="F6" s="847"/>
      <c r="G6" s="439"/>
      <c r="H6" s="439"/>
      <c r="I6" s="439"/>
      <c r="J6" s="458">
        <f>IF(C6="Sole Bidder", 1,2)</f>
        <v>1</v>
      </c>
      <c r="K6" s="439"/>
      <c r="M6" s="440">
        <f>IF(C6= "Sole Bidder", 0, C7)</f>
        <v>0</v>
      </c>
      <c r="N6" s="433"/>
      <c r="O6" s="433"/>
    </row>
    <row r="7" spans="1:15" ht="50.1" customHeight="1">
      <c r="A7" s="441" t="str">
        <f>IF(C6= "JV (Joint Venture)", "Total Nos. of  Partners in the JV [excluding the Lead Partner]", "")</f>
        <v/>
      </c>
      <c r="B7" s="442"/>
      <c r="C7" s="848" t="s">
        <v>118</v>
      </c>
      <c r="D7" s="849"/>
      <c r="E7" s="849"/>
      <c r="F7" s="850"/>
      <c r="M7" s="436"/>
      <c r="N7" s="436"/>
      <c r="O7" s="436"/>
    </row>
    <row r="8" spans="1:15" ht="19.5" customHeight="1">
      <c r="A8" s="443"/>
      <c r="B8" s="443"/>
      <c r="C8" s="439"/>
    </row>
    <row r="9" spans="1:15" ht="20.100000000000001" customHeight="1">
      <c r="A9" s="444" t="str">
        <f>IF(C6= "Sole Bidder", "Name of Sole Bidder", "Name of Lead Partner")</f>
        <v>Name of Sole Bidder</v>
      </c>
      <c r="B9" s="445"/>
      <c r="C9" s="836" t="s">
        <v>491</v>
      </c>
      <c r="D9" s="839"/>
      <c r="E9" s="839"/>
      <c r="F9" s="840"/>
    </row>
    <row r="10" spans="1:15" ht="20.100000000000001" customHeight="1">
      <c r="A10" s="446" t="str">
        <f>IF(C6= "Sole Bidder", "Address of Sole Bidder", "Address of Lead Partner")</f>
        <v>Address of Sole Bidder</v>
      </c>
      <c r="B10" s="447"/>
      <c r="C10" s="836" t="s">
        <v>491</v>
      </c>
      <c r="D10" s="839"/>
      <c r="E10" s="839"/>
      <c r="F10" s="840"/>
    </row>
    <row r="11" spans="1:15" ht="20.100000000000001" customHeight="1">
      <c r="A11" s="448"/>
      <c r="B11" s="449"/>
      <c r="C11" s="836" t="s">
        <v>491</v>
      </c>
      <c r="D11" s="839"/>
      <c r="E11" s="839"/>
      <c r="F11" s="840"/>
    </row>
    <row r="12" spans="1:15" ht="20.100000000000001" customHeight="1">
      <c r="A12" s="450"/>
      <c r="B12" s="451"/>
      <c r="C12" s="836" t="s">
        <v>491</v>
      </c>
      <c r="D12" s="839"/>
      <c r="E12" s="839"/>
      <c r="F12" s="840"/>
    </row>
    <row r="13" spans="1:15" ht="21.75" customHeight="1"/>
    <row r="14" spans="1:15" ht="20.100000000000001" customHeight="1">
      <c r="A14" s="444" t="s">
        <v>120</v>
      </c>
      <c r="B14" s="445"/>
      <c r="C14" s="836" t="s">
        <v>480</v>
      </c>
      <c r="D14" s="839"/>
      <c r="E14" s="839"/>
      <c r="F14" s="840"/>
    </row>
    <row r="15" spans="1:15" ht="20.100000000000001" customHeight="1">
      <c r="A15" s="446" t="s">
        <v>121</v>
      </c>
      <c r="B15" s="447"/>
      <c r="C15" s="836"/>
      <c r="D15" s="839"/>
      <c r="E15" s="839"/>
      <c r="F15" s="840"/>
    </row>
    <row r="16" spans="1:15" ht="20.100000000000001" customHeight="1">
      <c r="A16" s="448"/>
      <c r="B16" s="449"/>
      <c r="C16" s="836"/>
      <c r="D16" s="839"/>
      <c r="E16" s="839"/>
      <c r="F16" s="840"/>
    </row>
    <row r="17" spans="1:7" ht="20.100000000000001" customHeight="1">
      <c r="A17" s="450"/>
      <c r="B17" s="451"/>
      <c r="C17" s="836"/>
      <c r="D17" s="839"/>
      <c r="E17" s="839"/>
      <c r="F17" s="840"/>
    </row>
    <row r="18" spans="1:7" ht="20.100000000000001" customHeight="1"/>
    <row r="19" spans="1:7" ht="21" customHeight="1">
      <c r="A19" s="452" t="s">
        <v>122</v>
      </c>
      <c r="B19" s="453"/>
      <c r="C19" s="841"/>
      <c r="D19" s="842"/>
      <c r="E19" s="842"/>
      <c r="F19" s="843"/>
    </row>
    <row r="20" spans="1:7" ht="21" customHeight="1">
      <c r="A20" s="452" t="s">
        <v>123</v>
      </c>
      <c r="B20" s="453"/>
      <c r="C20" s="836"/>
      <c r="D20" s="837"/>
      <c r="E20" s="837"/>
      <c r="F20" s="838"/>
    </row>
    <row r="21" spans="1:7" ht="21" customHeight="1">
      <c r="A21" s="454"/>
      <c r="B21" s="454"/>
      <c r="C21" s="454"/>
    </row>
    <row r="22" spans="1:7" s="431" customFormat="1" ht="21" customHeight="1">
      <c r="A22" s="452" t="s">
        <v>124</v>
      </c>
      <c r="B22" s="453"/>
      <c r="C22" s="455"/>
      <c r="D22" s="457"/>
      <c r="E22" s="455"/>
      <c r="F22" s="456" t="str">
        <f>IF(C22&gt;G22, "Invalid Date !", "")</f>
        <v/>
      </c>
      <c r="G22" s="433">
        <f>IF(D22="Feb",28,IF(OR(D22="Apr", D22="Jun", D22="Sep", D22="Nov"),30,31))</f>
        <v>31</v>
      </c>
    </row>
    <row r="23" spans="1:7" ht="21" customHeight="1">
      <c r="A23" s="452" t="s">
        <v>125</v>
      </c>
      <c r="B23" s="453"/>
      <c r="C23" s="836"/>
      <c r="D23" s="837"/>
      <c r="E23" s="837"/>
      <c r="F23" s="838"/>
    </row>
    <row r="24" spans="1:7">
      <c r="D24" s="434"/>
    </row>
  </sheetData>
  <sheetProtection algorithmName="SHA-512" hashValue="58YilLj/kYdPOU8LPtviWBhTriTXWWTwWRkuqwtmLTHFgiYznOhxTiu7ymvrzvssc1+j8KqxQjMwRWTOvB+ufQ==" saltValue="hdjGYJ0cxhZUD3xtAm5WTg==" spinCount="100000" sheet="1" formatColumns="0" formatRows="0" selectLockedCells="1"/>
  <customSheetViews>
    <customSheetView guid="{ADF3F130-0A37-42E7-A525-50C5A6B01A26}" scale="115" showGridLines="0" printArea="1" hiddenColumns="1" view="pageBreakPreview">
      <selection activeCell="C6" sqref="C6:F6"/>
      <pageMargins left="0.75" right="0.75" top="0.69" bottom="0.7" header="0.4" footer="0.37"/>
      <pageSetup scale="86" orientation="portrait" r:id="rId1"/>
      <headerFooter alignWithMargins="0"/>
    </customSheetView>
    <customSheetView guid="{889C3D82-0A24-4765-A688-A80A782F5056}" scale="115" showGridLines="0" printArea="1" hiddenRows="1" hiddenColumns="1" view="pageBreakPreview">
      <selection activeCell="C6" sqref="C6:F6"/>
      <pageMargins left="0.75" right="0.75" top="0.69" bottom="0.7" header="0.4" footer="0.37"/>
      <pageSetup scale="86" orientation="portrait" r:id="rId2"/>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3"/>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5"/>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8"/>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9"/>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10"/>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11"/>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1211E1B9-FC37-4364-9CF0-0FFC01866726}" scale="115" showGridLines="0" printArea="1" hiddenColumns="1" view="pageBreakPreview">
      <selection activeCell="C6" sqref="C6:F6"/>
      <pageMargins left="0.75" right="0.75" top="0.69" bottom="0.7" header="0.4" footer="0.37"/>
      <pageSetup scale="86" orientation="portrait" r:id="rId13"/>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107" priority="3" stopIfTrue="1">
      <formula>$M$6&lt;2</formula>
    </cfRule>
  </conditionalFormatting>
  <conditionalFormatting sqref="A7:F7">
    <cfRule type="expression" dxfId="106" priority="5" stopIfTrue="1">
      <formula>$C$6="Sole Bidder"</formula>
    </cfRule>
  </conditionalFormatting>
  <conditionalFormatting sqref="C14:F17">
    <cfRule type="expression" dxfId="105" priority="1" stopIfTrue="1">
      <formula>$M$6&lt;2</formula>
    </cfRule>
  </conditionalFormatting>
  <dataValidations count="5">
    <dataValidation type="list" allowBlank="1" showInputMessage="1" showErrorMessage="1" sqref="E22" xr:uid="{00000000-0002-0000-0300-000000000000}">
      <formula1>"2023,2024"</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$N$3</formula1>
    </dataValidation>
    <dataValidation type="list" allowBlank="1" showInputMessage="1" showErrorMessage="1" sqref="C6:F6" xr:uid="{00000000-0002-0000-0300-000004000000}">
      <formula1>$M$2:$M$3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143"/>
  <sheetViews>
    <sheetView view="pageBreakPreview" topLeftCell="G15" zoomScaleNormal="92" zoomScaleSheetLayoutView="100" workbookViewId="0">
      <selection activeCell="M24" sqref="M24"/>
    </sheetView>
  </sheetViews>
  <sheetFormatPr defaultRowHeight="15.75"/>
  <cols>
    <col min="1" max="1" width="7.28515625" style="616" customWidth="1"/>
    <col min="2" max="2" width="18.7109375" style="616" customWidth="1"/>
    <col min="3" max="3" width="8.5703125" style="616" customWidth="1"/>
    <col min="4" max="4" width="29.5703125" style="623" customWidth="1"/>
    <col min="5" max="5" width="19.140625" style="616" customWidth="1"/>
    <col min="6" max="6" width="13" style="616" customWidth="1"/>
    <col min="7" max="7" width="17.5703125" style="616" customWidth="1"/>
    <col min="8" max="8" width="12.42578125" style="630" customWidth="1"/>
    <col min="9" max="9" width="17.5703125" style="616" customWidth="1"/>
    <col min="10" max="10" width="119.5703125" style="623" customWidth="1"/>
    <col min="11" max="11" width="7.140625" style="616" customWidth="1"/>
    <col min="12" max="12" width="9" style="616" customWidth="1"/>
    <col min="13" max="13" width="16.7109375" style="616" customWidth="1"/>
    <col min="14" max="14" width="21.28515625" style="616" customWidth="1"/>
    <col min="15" max="15" width="14.140625" style="616" hidden="1" customWidth="1"/>
    <col min="16" max="16" width="15" style="616" hidden="1" customWidth="1"/>
    <col min="17" max="17" width="14.140625" style="616" hidden="1" customWidth="1"/>
    <col min="18" max="18" width="26" style="616" hidden="1" customWidth="1"/>
    <col min="19" max="19" width="8.85546875" style="616" hidden="1" customWidth="1"/>
    <col min="20" max="20" width="19.140625" style="616" hidden="1" customWidth="1"/>
    <col min="21" max="22" width="17.5703125" style="616" hidden="1" customWidth="1"/>
    <col min="23" max="23" width="12.85546875" style="616" hidden="1" customWidth="1"/>
    <col min="24" max="24" width="18.28515625" style="616" hidden="1" customWidth="1"/>
    <col min="25" max="25" width="9.85546875" style="616" hidden="1" customWidth="1"/>
    <col min="26" max="26" width="18.140625" style="616" hidden="1" customWidth="1"/>
    <col min="27" max="27" width="21.5703125" style="616" hidden="1" customWidth="1"/>
    <col min="28" max="28" width="18.7109375" style="616" hidden="1" customWidth="1"/>
    <col min="29" max="37" width="9.140625" style="616" customWidth="1"/>
    <col min="38" max="38" width="0.28515625" style="616" customWidth="1"/>
    <col min="39" max="44" width="9.140625" style="616" customWidth="1"/>
    <col min="45" max="16384" width="9.140625" style="616"/>
  </cols>
  <sheetData>
    <row r="1" spans="1:256" ht="22.5" customHeight="1">
      <c r="A1" s="625" t="str">
        <f>Basic!B5</f>
        <v>Spec No: NR1/NT/W-TW/DOM/I00/25/03940 (Rfx-5002004353)</v>
      </c>
      <c r="B1" s="626"/>
      <c r="C1" s="626"/>
      <c r="D1" s="572"/>
      <c r="E1" s="626"/>
      <c r="F1" s="626"/>
      <c r="G1" s="626"/>
      <c r="H1" s="626"/>
      <c r="I1" s="626"/>
      <c r="J1" s="627"/>
      <c r="K1" s="626"/>
      <c r="L1" s="626"/>
      <c r="M1" s="626"/>
      <c r="N1" s="626" t="s">
        <v>463</v>
      </c>
    </row>
    <row r="2" spans="1:256">
      <c r="A2" s="583"/>
      <c r="B2" s="583"/>
      <c r="C2" s="583"/>
      <c r="D2" s="577"/>
      <c r="E2" s="583"/>
      <c r="F2" s="583"/>
      <c r="G2" s="583"/>
      <c r="H2" s="583"/>
      <c r="I2" s="583"/>
      <c r="J2" s="577"/>
      <c r="K2" s="583"/>
      <c r="L2" s="583"/>
      <c r="M2" s="583"/>
      <c r="N2" s="583"/>
    </row>
    <row r="3" spans="1:256" ht="30" customHeight="1">
      <c r="A3" s="864" t="str">
        <f>Cover!$B$2</f>
        <v>Transmission Line package TW02 for Diversion / modification of various POWERGRID’s 400kV Transmission Lines due to upcoming Green Field Airport at Kota under Consultancy Services to Kota Development Authority, Kota</v>
      </c>
      <c r="B3" s="864"/>
      <c r="C3" s="864"/>
      <c r="D3" s="864"/>
      <c r="E3" s="864"/>
      <c r="F3" s="864"/>
      <c r="G3" s="864"/>
      <c r="H3" s="864"/>
      <c r="I3" s="864"/>
      <c r="J3" s="864"/>
      <c r="K3" s="864"/>
      <c r="L3" s="864"/>
      <c r="M3" s="864"/>
      <c r="N3" s="864"/>
    </row>
    <row r="4" spans="1:256" ht="16.5">
      <c r="A4" s="865" t="s">
        <v>0</v>
      </c>
      <c r="B4" s="865"/>
      <c r="C4" s="865"/>
      <c r="D4" s="865"/>
      <c r="E4" s="865"/>
      <c r="F4" s="865"/>
      <c r="G4" s="865"/>
      <c r="H4" s="865"/>
      <c r="I4" s="865"/>
      <c r="J4" s="865"/>
      <c r="K4" s="865"/>
      <c r="L4" s="865"/>
      <c r="M4" s="865"/>
      <c r="N4" s="865"/>
    </row>
    <row r="5" spans="1:256" ht="27" customHeight="1">
      <c r="A5" s="628"/>
      <c r="B5" s="628"/>
      <c r="C5" s="628"/>
      <c r="D5" s="628"/>
      <c r="E5" s="628"/>
      <c r="F5" s="628"/>
      <c r="G5" s="628"/>
      <c r="H5" s="628"/>
      <c r="I5" s="628"/>
      <c r="J5" s="628"/>
      <c r="K5" s="628"/>
      <c r="L5" s="628"/>
      <c r="M5" s="628"/>
      <c r="N5" s="628"/>
    </row>
    <row r="6" spans="1:256" ht="23.25" customHeight="1">
      <c r="A6" s="866" t="s">
        <v>338</v>
      </c>
      <c r="B6" s="866"/>
      <c r="C6" s="583"/>
      <c r="D6" s="577"/>
      <c r="E6" s="583"/>
      <c r="F6" s="583"/>
      <c r="G6" s="583"/>
      <c r="H6" s="583"/>
      <c r="I6" s="583"/>
      <c r="J6" s="577"/>
      <c r="K6" s="583"/>
      <c r="L6" s="583"/>
      <c r="M6" s="583"/>
      <c r="N6" s="583"/>
    </row>
    <row r="7" spans="1:256" ht="24" customHeight="1">
      <c r="A7" s="870" t="str">
        <f>IF(Z7=1,Z8,"JOINT VENTURE OF "&amp;Z8&amp;" &amp; "&amp;Z10)</f>
        <v>abc</v>
      </c>
      <c r="B7" s="870"/>
      <c r="C7" s="870"/>
      <c r="D7" s="870"/>
      <c r="E7" s="870"/>
      <c r="F7" s="870"/>
      <c r="G7" s="870"/>
      <c r="H7" s="870"/>
      <c r="I7" s="870"/>
      <c r="J7" s="629"/>
      <c r="K7" s="586" t="s">
        <v>1</v>
      </c>
      <c r="L7" s="589"/>
      <c r="N7" s="583"/>
      <c r="Z7" s="630">
        <f>'Names of Bidder'!J6</f>
        <v>1</v>
      </c>
    </row>
    <row r="8" spans="1:256" ht="24" customHeight="1">
      <c r="A8" s="867" t="str">
        <f>"Bidder’s Name and Address  (" &amp; MID('Names of Bidder'!A9,9, 20) &amp; ") :"</f>
        <v>Bidder’s Name and Address  (Sole Bidder) :</v>
      </c>
      <c r="B8" s="867"/>
      <c r="C8" s="867"/>
      <c r="D8" s="867"/>
      <c r="E8" s="867"/>
      <c r="F8" s="867"/>
      <c r="G8" s="867"/>
      <c r="H8" s="588"/>
      <c r="I8" s="588"/>
      <c r="J8" s="588"/>
      <c r="K8" s="587" t="s">
        <v>2</v>
      </c>
      <c r="L8" s="588"/>
      <c r="N8" s="583"/>
      <c r="U8" s="631"/>
      <c r="Z8" s="852" t="str">
        <f>'Names of Bidder'!C9</f>
        <v>abc</v>
      </c>
      <c r="AA8" s="852"/>
      <c r="AB8" s="852"/>
      <c r="AC8" s="852"/>
      <c r="AD8" s="852"/>
      <c r="AE8" s="852"/>
      <c r="AF8" s="852"/>
      <c r="AG8" s="852"/>
      <c r="AH8" s="852"/>
      <c r="AI8" s="852"/>
      <c r="AJ8" s="852"/>
      <c r="AK8" s="852"/>
      <c r="AL8" s="852"/>
    </row>
    <row r="9" spans="1:256" ht="24" customHeight="1">
      <c r="A9" s="584" t="s">
        <v>12</v>
      </c>
      <c r="B9" s="589"/>
      <c r="C9" s="870" t="str">
        <f>IF('Names of Bidder'!C9=0, "", 'Names of Bidder'!C9)</f>
        <v>abc</v>
      </c>
      <c r="D9" s="870"/>
      <c r="E9" s="870"/>
      <c r="F9" s="870"/>
      <c r="G9" s="870"/>
      <c r="H9" s="591"/>
      <c r="I9" s="591"/>
      <c r="J9" s="629"/>
      <c r="K9" s="587" t="s">
        <v>3</v>
      </c>
      <c r="N9" s="583"/>
      <c r="U9" s="631"/>
      <c r="Z9" s="852" t="str">
        <f>'Names of Bidder'!C9</f>
        <v>abc</v>
      </c>
      <c r="AA9" s="852"/>
      <c r="AB9" s="852"/>
      <c r="AC9" s="852"/>
      <c r="AD9" s="852"/>
      <c r="AE9" s="852"/>
      <c r="AF9" s="852"/>
      <c r="AG9" s="852"/>
      <c r="AH9" s="852"/>
      <c r="AI9" s="852"/>
      <c r="AJ9" s="852"/>
      <c r="AK9" s="852"/>
      <c r="AL9" s="852"/>
    </row>
    <row r="10" spans="1:256" ht="24" customHeight="1">
      <c r="A10" s="584" t="s">
        <v>11</v>
      </c>
      <c r="B10" s="589"/>
      <c r="C10" s="869" t="str">
        <f>IF('Names of Bidder'!C10=0, "", 'Names of Bidder'!C10)</f>
        <v>abc</v>
      </c>
      <c r="D10" s="869"/>
      <c r="E10" s="869"/>
      <c r="F10" s="869"/>
      <c r="G10" s="869"/>
      <c r="H10" s="591"/>
      <c r="I10" s="591"/>
      <c r="J10" s="629"/>
      <c r="K10" s="587" t="s">
        <v>4</v>
      </c>
      <c r="N10" s="583"/>
      <c r="Z10" s="852" t="str">
        <f>'Names of Bidder'!C14</f>
        <v>DEF</v>
      </c>
      <c r="AA10" s="852"/>
      <c r="AB10" s="852"/>
      <c r="AC10" s="852"/>
      <c r="AD10" s="852"/>
      <c r="AE10" s="852"/>
      <c r="AF10" s="852"/>
      <c r="AG10" s="852"/>
      <c r="AH10" s="852"/>
      <c r="AI10" s="852"/>
      <c r="AJ10" s="852"/>
      <c r="AK10" s="852"/>
      <c r="AL10" s="852"/>
    </row>
    <row r="11" spans="1:256" ht="24" customHeight="1">
      <c r="A11" s="591"/>
      <c r="B11" s="591"/>
      <c r="C11" s="869" t="str">
        <f>IF('Names of Bidder'!C11=0, "", 'Names of Bidder'!C11)</f>
        <v>abc</v>
      </c>
      <c r="D11" s="869"/>
      <c r="E11" s="869"/>
      <c r="F11" s="869"/>
      <c r="G11" s="869"/>
      <c r="H11" s="591"/>
      <c r="I11" s="591"/>
      <c r="J11" s="629"/>
      <c r="K11" s="587" t="s">
        <v>5</v>
      </c>
      <c r="N11" s="583"/>
    </row>
    <row r="12" spans="1:256" ht="24" customHeight="1">
      <c r="A12" s="591"/>
      <c r="B12" s="591"/>
      <c r="C12" s="869" t="str">
        <f>IF('Names of Bidder'!C12=0, "", 'Names of Bidder'!C12)</f>
        <v>abc</v>
      </c>
      <c r="D12" s="869"/>
      <c r="E12" s="869"/>
      <c r="F12" s="869"/>
      <c r="G12" s="869"/>
      <c r="H12" s="591"/>
      <c r="I12" s="591"/>
      <c r="J12" s="629"/>
      <c r="K12" s="587" t="s">
        <v>479</v>
      </c>
      <c r="N12" s="583"/>
    </row>
    <row r="13" spans="1:256" s="632" customFormat="1" ht="26.25" customHeight="1">
      <c r="A13" s="871" t="s">
        <v>298</v>
      </c>
      <c r="B13" s="871"/>
      <c r="C13" s="871"/>
      <c r="D13" s="871"/>
      <c r="E13" s="871"/>
      <c r="F13" s="871"/>
      <c r="G13" s="871"/>
      <c r="H13" s="871"/>
      <c r="I13" s="871"/>
      <c r="J13" s="871"/>
      <c r="K13" s="871"/>
      <c r="L13" s="871"/>
      <c r="M13" s="871"/>
      <c r="N13" s="871"/>
    </row>
    <row r="14" spans="1:256" ht="15.75" customHeight="1">
      <c r="A14" s="583"/>
      <c r="B14" s="583"/>
      <c r="C14" s="583"/>
      <c r="D14" s="577"/>
      <c r="E14" s="583"/>
      <c r="F14" s="583"/>
      <c r="G14" s="583"/>
      <c r="H14" s="583"/>
      <c r="I14" s="583"/>
      <c r="J14" s="577"/>
      <c r="K14" s="868" t="s">
        <v>343</v>
      </c>
      <c r="L14" s="868"/>
      <c r="M14" s="868"/>
      <c r="N14" s="868"/>
    </row>
    <row r="15" spans="1:256" ht="122.25" customHeight="1">
      <c r="A15" s="633" t="s">
        <v>7</v>
      </c>
      <c r="B15" s="633" t="s">
        <v>259</v>
      </c>
      <c r="C15" s="633" t="s">
        <v>271</v>
      </c>
      <c r="D15" s="633" t="s">
        <v>273</v>
      </c>
      <c r="E15" s="633" t="s">
        <v>13</v>
      </c>
      <c r="F15" s="633" t="s">
        <v>299</v>
      </c>
      <c r="G15" s="634" t="s">
        <v>302</v>
      </c>
      <c r="H15" s="633" t="s">
        <v>305</v>
      </c>
      <c r="I15" s="635" t="s">
        <v>303</v>
      </c>
      <c r="J15" s="633" t="s">
        <v>8</v>
      </c>
      <c r="K15" s="636" t="s">
        <v>9</v>
      </c>
      <c r="L15" s="636" t="s">
        <v>10</v>
      </c>
      <c r="M15" s="633" t="s">
        <v>342</v>
      </c>
      <c r="N15" s="633" t="s">
        <v>341</v>
      </c>
    </row>
    <row r="16" spans="1:256" s="640" customFormat="1">
      <c r="A16" s="637">
        <v>1</v>
      </c>
      <c r="B16" s="637">
        <v>2</v>
      </c>
      <c r="C16" s="637">
        <v>3</v>
      </c>
      <c r="D16" s="600">
        <v>4</v>
      </c>
      <c r="E16" s="637">
        <v>5</v>
      </c>
      <c r="F16" s="637">
        <v>6</v>
      </c>
      <c r="G16" s="638">
        <v>7</v>
      </c>
      <c r="H16" s="637">
        <v>8</v>
      </c>
      <c r="I16" s="639">
        <v>9</v>
      </c>
      <c r="J16" s="600">
        <v>10</v>
      </c>
      <c r="K16" s="637">
        <v>11</v>
      </c>
      <c r="L16" s="637">
        <v>12</v>
      </c>
      <c r="M16" s="637">
        <v>13</v>
      </c>
      <c r="N16" s="637" t="s">
        <v>340</v>
      </c>
      <c r="IV16" s="640">
        <f>SUM(A16:IU16)</f>
        <v>91</v>
      </c>
    </row>
    <row r="17" spans="1:20" s="640" customFormat="1" ht="33.75" customHeight="1" thickBot="1">
      <c r="A17" s="641" t="s">
        <v>566</v>
      </c>
      <c r="B17" s="642" t="s">
        <v>563</v>
      </c>
      <c r="C17" s="643"/>
      <c r="D17" s="644"/>
      <c r="E17" s="645"/>
      <c r="F17" s="645"/>
      <c r="G17" s="645"/>
      <c r="H17" s="645"/>
      <c r="I17" s="645"/>
      <c r="J17" s="645"/>
      <c r="K17" s="739"/>
      <c r="L17" s="739"/>
      <c r="M17" s="645"/>
      <c r="N17" s="645"/>
    </row>
    <row r="18" spans="1:20" ht="47.25">
      <c r="A18" s="646">
        <v>1</v>
      </c>
      <c r="B18" s="425"/>
      <c r="C18" s="425"/>
      <c r="D18" s="425"/>
      <c r="E18" s="768">
        <v>1000013391</v>
      </c>
      <c r="F18" s="425"/>
      <c r="G18" s="424"/>
      <c r="H18" s="425">
        <v>18</v>
      </c>
      <c r="I18" s="423"/>
      <c r="J18" s="755" t="s">
        <v>494</v>
      </c>
      <c r="K18" s="741" t="s">
        <v>527</v>
      </c>
      <c r="L18" s="773">
        <v>41.44</v>
      </c>
      <c r="M18" s="564"/>
      <c r="N18" s="427" t="str">
        <f>IF(M18=0, "INCLUDED", IF(ISERROR(M18*L18), M18, M18*L18))</f>
        <v>INCLUDED</v>
      </c>
      <c r="O18" s="647">
        <f>IF(N18="Included",0,N18)</f>
        <v>0</v>
      </c>
      <c r="P18" s="647">
        <f>IF( I18="",H18*(IF(N18="Included",0,N18))/100,I18*(IF(N18="Included",0,N18)))</f>
        <v>0</v>
      </c>
      <c r="Q18" s="648">
        <f>Discount!$H$36</f>
        <v>0</v>
      </c>
      <c r="R18" s="648">
        <f>Q18*O18</f>
        <v>0</v>
      </c>
      <c r="S18" s="648">
        <f>IF(I18="",H18*R18/100,I18*R18)</f>
        <v>0</v>
      </c>
      <c r="T18" s="649">
        <f>M18*L18</f>
        <v>0</v>
      </c>
    </row>
    <row r="19" spans="1:20" ht="47.25">
      <c r="A19" s="650">
        <v>2</v>
      </c>
      <c r="B19" s="425"/>
      <c r="C19" s="425"/>
      <c r="D19" s="425"/>
      <c r="E19" s="775">
        <v>1000015274</v>
      </c>
      <c r="F19" s="425"/>
      <c r="G19" s="422"/>
      <c r="H19" s="425">
        <v>18</v>
      </c>
      <c r="I19" s="423"/>
      <c r="J19" s="756" t="s">
        <v>495</v>
      </c>
      <c r="K19" s="741" t="s">
        <v>527</v>
      </c>
      <c r="L19" s="773">
        <v>108.21</v>
      </c>
      <c r="M19" s="564"/>
      <c r="N19" s="427" t="str">
        <f t="shared" ref="N19:N82" si="0">IF(M19=0, "INCLUDED", IF(ISERROR(M19*L19), M19, M19*L19))</f>
        <v>INCLUDED</v>
      </c>
      <c r="O19" s="647">
        <f t="shared" ref="O19:O82" si="1">IF(N19="Included",0,N19)</f>
        <v>0</v>
      </c>
      <c r="P19" s="647">
        <f t="shared" ref="P19:P82" si="2">IF( I19="",H19*(IF(N19="Included",0,N19))/100,I19*(IF(N19="Included",0,N19)))</f>
        <v>0</v>
      </c>
      <c r="Q19" s="648">
        <f>Discount!$H$36</f>
        <v>0</v>
      </c>
      <c r="R19" s="648">
        <f t="shared" ref="R19:R82" si="3">Q19*O19</f>
        <v>0</v>
      </c>
      <c r="S19" s="648">
        <f t="shared" ref="S19:S82" si="4">IF(I19="",H19*R19/100,I19*R19)</f>
        <v>0</v>
      </c>
      <c r="T19" s="649">
        <f t="shared" ref="T19:T82" si="5">M19*L19</f>
        <v>0</v>
      </c>
    </row>
    <row r="20" spans="1:20" ht="31.5">
      <c r="A20" s="646">
        <v>3</v>
      </c>
      <c r="B20" s="425"/>
      <c r="C20" s="425"/>
      <c r="D20" s="425"/>
      <c r="E20" s="775">
        <v>1000013393</v>
      </c>
      <c r="F20" s="425"/>
      <c r="G20" s="422"/>
      <c r="H20" s="425">
        <v>18</v>
      </c>
      <c r="I20" s="423"/>
      <c r="J20" s="738" t="s">
        <v>496</v>
      </c>
      <c r="K20" s="741" t="s">
        <v>527</v>
      </c>
      <c r="L20" s="773">
        <v>4.42</v>
      </c>
      <c r="M20" s="564"/>
      <c r="N20" s="427" t="str">
        <f t="shared" si="0"/>
        <v>INCLUDED</v>
      </c>
      <c r="O20" s="647">
        <f t="shared" si="1"/>
        <v>0</v>
      </c>
      <c r="P20" s="647">
        <f t="shared" si="2"/>
        <v>0</v>
      </c>
      <c r="Q20" s="648">
        <f>Discount!$H$36</f>
        <v>0</v>
      </c>
      <c r="R20" s="648">
        <f t="shared" si="3"/>
        <v>0</v>
      </c>
      <c r="S20" s="648">
        <f t="shared" si="4"/>
        <v>0</v>
      </c>
      <c r="T20" s="649">
        <f t="shared" si="5"/>
        <v>0</v>
      </c>
    </row>
    <row r="21" spans="1:20" ht="31.5">
      <c r="A21" s="646">
        <v>4</v>
      </c>
      <c r="B21" s="425"/>
      <c r="C21" s="425"/>
      <c r="D21" s="425"/>
      <c r="E21" s="775">
        <v>1000015276</v>
      </c>
      <c r="F21" s="425"/>
      <c r="G21" s="422"/>
      <c r="H21" s="425">
        <v>18</v>
      </c>
      <c r="I21" s="423"/>
      <c r="J21" s="757" t="s">
        <v>497</v>
      </c>
      <c r="K21" s="741" t="s">
        <v>527</v>
      </c>
      <c r="L21" s="773">
        <v>0.8</v>
      </c>
      <c r="M21" s="564"/>
      <c r="N21" s="427" t="str">
        <f t="shared" si="0"/>
        <v>INCLUDED</v>
      </c>
      <c r="O21" s="647">
        <f t="shared" si="1"/>
        <v>0</v>
      </c>
      <c r="P21" s="647">
        <f t="shared" si="2"/>
        <v>0</v>
      </c>
      <c r="Q21" s="648">
        <f>Discount!$H$36</f>
        <v>0</v>
      </c>
      <c r="R21" s="648">
        <f t="shared" si="3"/>
        <v>0</v>
      </c>
      <c r="S21" s="648">
        <f t="shared" si="4"/>
        <v>0</v>
      </c>
      <c r="T21" s="649">
        <f t="shared" si="5"/>
        <v>0</v>
      </c>
    </row>
    <row r="22" spans="1:20" ht="16.5">
      <c r="A22" s="650">
        <v>5</v>
      </c>
      <c r="B22" s="425"/>
      <c r="C22" s="425"/>
      <c r="D22" s="425"/>
      <c r="E22" s="775">
        <v>1000013472</v>
      </c>
      <c r="F22" s="425"/>
      <c r="G22" s="422"/>
      <c r="H22" s="425">
        <v>18</v>
      </c>
      <c r="I22" s="423"/>
      <c r="J22" s="755" t="s">
        <v>484</v>
      </c>
      <c r="K22" s="741" t="s">
        <v>527</v>
      </c>
      <c r="L22" s="773">
        <v>7.34</v>
      </c>
      <c r="M22" s="564"/>
      <c r="N22" s="427" t="str">
        <f t="shared" si="0"/>
        <v>INCLUDED</v>
      </c>
      <c r="O22" s="647">
        <f t="shared" si="1"/>
        <v>0</v>
      </c>
      <c r="P22" s="647">
        <f t="shared" si="2"/>
        <v>0</v>
      </c>
      <c r="Q22" s="648">
        <f>Discount!$H$36</f>
        <v>0</v>
      </c>
      <c r="R22" s="648">
        <f t="shared" si="3"/>
        <v>0</v>
      </c>
      <c r="S22" s="648">
        <f t="shared" si="4"/>
        <v>0</v>
      </c>
      <c r="T22" s="649">
        <f t="shared" si="5"/>
        <v>0</v>
      </c>
    </row>
    <row r="23" spans="1:20" ht="16.5">
      <c r="A23" s="646">
        <v>6</v>
      </c>
      <c r="B23" s="425"/>
      <c r="C23" s="425"/>
      <c r="D23" s="425"/>
      <c r="E23" s="775">
        <v>1000007847</v>
      </c>
      <c r="F23" s="425"/>
      <c r="G23" s="422"/>
      <c r="H23" s="425">
        <v>18</v>
      </c>
      <c r="I23" s="423"/>
      <c r="J23" s="756" t="s">
        <v>498</v>
      </c>
      <c r="K23" s="741" t="s">
        <v>527</v>
      </c>
      <c r="L23" s="773">
        <v>0.13</v>
      </c>
      <c r="M23" s="564"/>
      <c r="N23" s="427" t="str">
        <f t="shared" si="0"/>
        <v>INCLUDED</v>
      </c>
      <c r="O23" s="647">
        <f t="shared" si="1"/>
        <v>0</v>
      </c>
      <c r="P23" s="647">
        <f t="shared" si="2"/>
        <v>0</v>
      </c>
      <c r="Q23" s="648">
        <f>Discount!$H$36</f>
        <v>0</v>
      </c>
      <c r="R23" s="648">
        <f t="shared" si="3"/>
        <v>0</v>
      </c>
      <c r="S23" s="648">
        <f t="shared" si="4"/>
        <v>0</v>
      </c>
      <c r="T23" s="649">
        <f t="shared" si="5"/>
        <v>0</v>
      </c>
    </row>
    <row r="24" spans="1:20" ht="16.5">
      <c r="A24" s="646">
        <v>7</v>
      </c>
      <c r="B24" s="425"/>
      <c r="C24" s="425"/>
      <c r="D24" s="425"/>
      <c r="E24" s="782">
        <v>1000010003</v>
      </c>
      <c r="F24" s="425"/>
      <c r="G24" s="422"/>
      <c r="H24" s="425">
        <v>18</v>
      </c>
      <c r="I24" s="423"/>
      <c r="J24" s="747" t="s">
        <v>490</v>
      </c>
      <c r="K24" s="741" t="s">
        <v>528</v>
      </c>
      <c r="L24" s="773">
        <v>15</v>
      </c>
      <c r="M24" s="564"/>
      <c r="N24" s="427" t="str">
        <f t="shared" si="0"/>
        <v>INCLUDED</v>
      </c>
      <c r="O24" s="647">
        <f t="shared" si="1"/>
        <v>0</v>
      </c>
      <c r="P24" s="647">
        <f t="shared" si="2"/>
        <v>0</v>
      </c>
      <c r="Q24" s="648">
        <f>Discount!$H$36</f>
        <v>0</v>
      </c>
      <c r="R24" s="648">
        <f t="shared" si="3"/>
        <v>0</v>
      </c>
      <c r="S24" s="648">
        <f t="shared" si="4"/>
        <v>0</v>
      </c>
      <c r="T24" s="649">
        <f t="shared" si="5"/>
        <v>0</v>
      </c>
    </row>
    <row r="25" spans="1:20" ht="31.5">
      <c r="A25" s="650">
        <v>8</v>
      </c>
      <c r="B25" s="425"/>
      <c r="C25" s="425"/>
      <c r="D25" s="425"/>
      <c r="E25" s="782">
        <v>1000019717</v>
      </c>
      <c r="F25" s="425"/>
      <c r="G25" s="422"/>
      <c r="H25" s="425">
        <v>18</v>
      </c>
      <c r="I25" s="423"/>
      <c r="J25" s="756" t="s">
        <v>564</v>
      </c>
      <c r="K25" s="741" t="s">
        <v>528</v>
      </c>
      <c r="L25" s="773">
        <v>1</v>
      </c>
      <c r="M25" s="564"/>
      <c r="N25" s="427" t="str">
        <f t="shared" si="0"/>
        <v>INCLUDED</v>
      </c>
      <c r="O25" s="647">
        <f t="shared" si="1"/>
        <v>0</v>
      </c>
      <c r="P25" s="647">
        <f t="shared" si="2"/>
        <v>0</v>
      </c>
      <c r="Q25" s="648">
        <f>Discount!$H$36</f>
        <v>0</v>
      </c>
      <c r="R25" s="648">
        <f t="shared" si="3"/>
        <v>0</v>
      </c>
      <c r="S25" s="648">
        <f t="shared" si="4"/>
        <v>0</v>
      </c>
      <c r="T25" s="649">
        <f t="shared" si="5"/>
        <v>0</v>
      </c>
    </row>
    <row r="26" spans="1:20" ht="16.5">
      <c r="A26" s="646">
        <v>9</v>
      </c>
      <c r="B26" s="425"/>
      <c r="C26" s="425"/>
      <c r="D26" s="425"/>
      <c r="E26" s="775">
        <v>1000010539</v>
      </c>
      <c r="F26" s="425"/>
      <c r="G26" s="422"/>
      <c r="H26" s="425">
        <v>18</v>
      </c>
      <c r="I26" s="423"/>
      <c r="J26" s="745" t="s">
        <v>499</v>
      </c>
      <c r="K26" s="746" t="s">
        <v>528</v>
      </c>
      <c r="L26" s="773">
        <v>15</v>
      </c>
      <c r="M26" s="564"/>
      <c r="N26" s="427" t="str">
        <f t="shared" si="0"/>
        <v>INCLUDED</v>
      </c>
      <c r="O26" s="647">
        <f t="shared" si="1"/>
        <v>0</v>
      </c>
      <c r="P26" s="647">
        <f t="shared" si="2"/>
        <v>0</v>
      </c>
      <c r="Q26" s="648">
        <f>Discount!$H$36</f>
        <v>0</v>
      </c>
      <c r="R26" s="648">
        <f t="shared" si="3"/>
        <v>0</v>
      </c>
      <c r="S26" s="648">
        <f t="shared" si="4"/>
        <v>0</v>
      </c>
      <c r="T26" s="649">
        <f t="shared" si="5"/>
        <v>0</v>
      </c>
    </row>
    <row r="27" spans="1:20" ht="16.5">
      <c r="A27" s="646">
        <v>10</v>
      </c>
      <c r="B27" s="425"/>
      <c r="C27" s="425"/>
      <c r="D27" s="425"/>
      <c r="E27" s="775">
        <v>1000015971</v>
      </c>
      <c r="F27" s="425"/>
      <c r="G27" s="422"/>
      <c r="H27" s="425">
        <v>18</v>
      </c>
      <c r="I27" s="423"/>
      <c r="J27" s="745" t="s">
        <v>500</v>
      </c>
      <c r="K27" s="746" t="s">
        <v>528</v>
      </c>
      <c r="L27" s="773">
        <v>15</v>
      </c>
      <c r="M27" s="564"/>
      <c r="N27" s="427" t="str">
        <f t="shared" si="0"/>
        <v>INCLUDED</v>
      </c>
      <c r="O27" s="647">
        <f t="shared" si="1"/>
        <v>0</v>
      </c>
      <c r="P27" s="647">
        <f t="shared" si="2"/>
        <v>0</v>
      </c>
      <c r="Q27" s="648">
        <f>Discount!$H$36</f>
        <v>0</v>
      </c>
      <c r="R27" s="648">
        <f t="shared" si="3"/>
        <v>0</v>
      </c>
      <c r="S27" s="648">
        <f t="shared" si="4"/>
        <v>0</v>
      </c>
      <c r="T27" s="649">
        <f t="shared" si="5"/>
        <v>0</v>
      </c>
    </row>
    <row r="28" spans="1:20" ht="16.5">
      <c r="A28" s="650">
        <v>11</v>
      </c>
      <c r="B28" s="425"/>
      <c r="C28" s="425"/>
      <c r="D28" s="425"/>
      <c r="E28" s="775">
        <v>1000017508</v>
      </c>
      <c r="F28" s="425"/>
      <c r="G28" s="422"/>
      <c r="H28" s="425">
        <v>18</v>
      </c>
      <c r="I28" s="423"/>
      <c r="J28" s="745" t="s">
        <v>501</v>
      </c>
      <c r="K28" s="746" t="s">
        <v>476</v>
      </c>
      <c r="L28" s="773">
        <v>15</v>
      </c>
      <c r="M28" s="564"/>
      <c r="N28" s="427" t="str">
        <f t="shared" si="0"/>
        <v>INCLUDED</v>
      </c>
      <c r="O28" s="647">
        <f t="shared" si="1"/>
        <v>0</v>
      </c>
      <c r="P28" s="647">
        <f t="shared" si="2"/>
        <v>0</v>
      </c>
      <c r="Q28" s="648">
        <f>Discount!$H$36</f>
        <v>0</v>
      </c>
      <c r="R28" s="648">
        <f t="shared" si="3"/>
        <v>0</v>
      </c>
      <c r="S28" s="648">
        <f t="shared" si="4"/>
        <v>0</v>
      </c>
      <c r="T28" s="649">
        <f t="shared" si="5"/>
        <v>0</v>
      </c>
    </row>
    <row r="29" spans="1:20" ht="16.5">
      <c r="A29" s="646">
        <v>12</v>
      </c>
      <c r="B29" s="425"/>
      <c r="C29" s="425"/>
      <c r="D29" s="425"/>
      <c r="E29" s="775">
        <v>1000009119</v>
      </c>
      <c r="F29" s="425"/>
      <c r="G29" s="422"/>
      <c r="H29" s="425">
        <v>18</v>
      </c>
      <c r="I29" s="423"/>
      <c r="J29" s="745" t="s">
        <v>502</v>
      </c>
      <c r="K29" s="746" t="s">
        <v>476</v>
      </c>
      <c r="L29" s="773">
        <v>0</v>
      </c>
      <c r="M29" s="564"/>
      <c r="N29" s="427" t="str">
        <f t="shared" si="0"/>
        <v>INCLUDED</v>
      </c>
      <c r="O29" s="647">
        <f t="shared" si="1"/>
        <v>0</v>
      </c>
      <c r="P29" s="647">
        <f t="shared" si="2"/>
        <v>0</v>
      </c>
      <c r="Q29" s="648">
        <f>Discount!$H$36</f>
        <v>0</v>
      </c>
      <c r="R29" s="648">
        <f t="shared" si="3"/>
        <v>0</v>
      </c>
      <c r="S29" s="648">
        <f t="shared" si="4"/>
        <v>0</v>
      </c>
      <c r="T29" s="649">
        <f t="shared" si="5"/>
        <v>0</v>
      </c>
    </row>
    <row r="30" spans="1:20" ht="16.5">
      <c r="A30" s="646">
        <v>13</v>
      </c>
      <c r="B30" s="425"/>
      <c r="C30" s="425"/>
      <c r="D30" s="425"/>
      <c r="E30" s="775">
        <v>1000006779</v>
      </c>
      <c r="F30" s="425"/>
      <c r="G30" s="422"/>
      <c r="H30" s="425">
        <v>18</v>
      </c>
      <c r="I30" s="423"/>
      <c r="J30" s="745" t="s">
        <v>503</v>
      </c>
      <c r="K30" s="746" t="s">
        <v>476</v>
      </c>
      <c r="L30" s="773">
        <v>15</v>
      </c>
      <c r="M30" s="564"/>
      <c r="N30" s="427" t="str">
        <f t="shared" si="0"/>
        <v>INCLUDED</v>
      </c>
      <c r="O30" s="647">
        <f t="shared" si="1"/>
        <v>0</v>
      </c>
      <c r="P30" s="647">
        <f t="shared" si="2"/>
        <v>0</v>
      </c>
      <c r="Q30" s="648">
        <f>Discount!$H$36</f>
        <v>0</v>
      </c>
      <c r="R30" s="648">
        <f t="shared" si="3"/>
        <v>0</v>
      </c>
      <c r="S30" s="648">
        <f t="shared" si="4"/>
        <v>0</v>
      </c>
      <c r="T30" s="649">
        <f t="shared" si="5"/>
        <v>0</v>
      </c>
    </row>
    <row r="31" spans="1:20" ht="16.5">
      <c r="A31" s="650">
        <v>14</v>
      </c>
      <c r="B31" s="425"/>
      <c r="C31" s="425"/>
      <c r="D31" s="425"/>
      <c r="E31" s="775">
        <v>1000007735</v>
      </c>
      <c r="F31" s="425"/>
      <c r="G31" s="422"/>
      <c r="H31" s="425">
        <v>18</v>
      </c>
      <c r="I31" s="423"/>
      <c r="J31" s="745" t="s">
        <v>504</v>
      </c>
      <c r="K31" s="746" t="s">
        <v>476</v>
      </c>
      <c r="L31" s="773">
        <v>15</v>
      </c>
      <c r="M31" s="564"/>
      <c r="N31" s="427" t="str">
        <f t="shared" si="0"/>
        <v>INCLUDED</v>
      </c>
      <c r="O31" s="647">
        <f t="shared" si="1"/>
        <v>0</v>
      </c>
      <c r="P31" s="647">
        <f t="shared" si="2"/>
        <v>0</v>
      </c>
      <c r="Q31" s="648">
        <f>Discount!$H$36</f>
        <v>0</v>
      </c>
      <c r="R31" s="648">
        <f t="shared" si="3"/>
        <v>0</v>
      </c>
      <c r="S31" s="648">
        <f t="shared" si="4"/>
        <v>0</v>
      </c>
      <c r="T31" s="649">
        <f t="shared" si="5"/>
        <v>0</v>
      </c>
    </row>
    <row r="32" spans="1:20" ht="16.5">
      <c r="A32" s="646">
        <v>15</v>
      </c>
      <c r="B32" s="425"/>
      <c r="C32" s="425"/>
      <c r="D32" s="425"/>
      <c r="E32" s="775">
        <v>1000015503</v>
      </c>
      <c r="F32" s="425"/>
      <c r="G32" s="422"/>
      <c r="H32" s="425">
        <v>18</v>
      </c>
      <c r="I32" s="423"/>
      <c r="J32" s="745" t="s">
        <v>505</v>
      </c>
      <c r="K32" s="741" t="s">
        <v>529</v>
      </c>
      <c r="L32" s="773">
        <v>18</v>
      </c>
      <c r="M32" s="564"/>
      <c r="N32" s="427" t="str">
        <f t="shared" si="0"/>
        <v>INCLUDED</v>
      </c>
      <c r="O32" s="647">
        <f t="shared" si="1"/>
        <v>0</v>
      </c>
      <c r="P32" s="647">
        <f t="shared" si="2"/>
        <v>0</v>
      </c>
      <c r="Q32" s="648">
        <f>Discount!$H$36</f>
        <v>0</v>
      </c>
      <c r="R32" s="648">
        <f t="shared" si="3"/>
        <v>0</v>
      </c>
      <c r="S32" s="648">
        <f t="shared" si="4"/>
        <v>0</v>
      </c>
      <c r="T32" s="649">
        <f t="shared" si="5"/>
        <v>0</v>
      </c>
    </row>
    <row r="33" spans="1:20" ht="16.5">
      <c r="A33" s="646">
        <v>16</v>
      </c>
      <c r="B33" s="425"/>
      <c r="C33" s="425"/>
      <c r="D33" s="425"/>
      <c r="E33" s="775">
        <v>1000018443</v>
      </c>
      <c r="F33" s="425"/>
      <c r="G33" s="422"/>
      <c r="H33" s="425">
        <v>18</v>
      </c>
      <c r="I33" s="423"/>
      <c r="J33" s="745" t="s">
        <v>506</v>
      </c>
      <c r="K33" s="741" t="s">
        <v>529</v>
      </c>
      <c r="L33" s="773">
        <v>6</v>
      </c>
      <c r="M33" s="564"/>
      <c r="N33" s="427" t="str">
        <f t="shared" si="0"/>
        <v>INCLUDED</v>
      </c>
      <c r="O33" s="647">
        <f t="shared" si="1"/>
        <v>0</v>
      </c>
      <c r="P33" s="647">
        <f t="shared" si="2"/>
        <v>0</v>
      </c>
      <c r="Q33" s="648">
        <f>Discount!$H$36</f>
        <v>0</v>
      </c>
      <c r="R33" s="648">
        <f t="shared" si="3"/>
        <v>0</v>
      </c>
      <c r="S33" s="648">
        <f t="shared" si="4"/>
        <v>0</v>
      </c>
      <c r="T33" s="649">
        <f t="shared" si="5"/>
        <v>0</v>
      </c>
    </row>
    <row r="34" spans="1:20" ht="16.5">
      <c r="A34" s="650">
        <v>17</v>
      </c>
      <c r="B34" s="425"/>
      <c r="C34" s="425"/>
      <c r="D34" s="425"/>
      <c r="E34" s="775">
        <v>1000015505</v>
      </c>
      <c r="F34" s="425"/>
      <c r="G34" s="422"/>
      <c r="H34" s="425">
        <v>18</v>
      </c>
      <c r="I34" s="423"/>
      <c r="J34" s="745" t="s">
        <v>507</v>
      </c>
      <c r="K34" s="741" t="s">
        <v>529</v>
      </c>
      <c r="L34" s="773">
        <v>4</v>
      </c>
      <c r="M34" s="564"/>
      <c r="N34" s="427" t="str">
        <f t="shared" si="0"/>
        <v>INCLUDED</v>
      </c>
      <c r="O34" s="647">
        <f t="shared" si="1"/>
        <v>0</v>
      </c>
      <c r="P34" s="647">
        <f t="shared" si="2"/>
        <v>0</v>
      </c>
      <c r="Q34" s="648">
        <f>Discount!$H$36</f>
        <v>0</v>
      </c>
      <c r="R34" s="648">
        <f t="shared" si="3"/>
        <v>0</v>
      </c>
      <c r="S34" s="648">
        <f t="shared" si="4"/>
        <v>0</v>
      </c>
      <c r="T34" s="649">
        <f t="shared" si="5"/>
        <v>0</v>
      </c>
    </row>
    <row r="35" spans="1:20" ht="16.5">
      <c r="A35" s="646">
        <v>18</v>
      </c>
      <c r="B35" s="425"/>
      <c r="C35" s="425"/>
      <c r="D35" s="425"/>
      <c r="E35" s="769">
        <v>1000012299</v>
      </c>
      <c r="F35" s="425"/>
      <c r="G35" s="422"/>
      <c r="H35" s="425">
        <v>18</v>
      </c>
      <c r="I35" s="423"/>
      <c r="J35" s="747" t="s">
        <v>508</v>
      </c>
      <c r="K35" s="741" t="s">
        <v>529</v>
      </c>
      <c r="L35" s="773">
        <v>15</v>
      </c>
      <c r="M35" s="564"/>
      <c r="N35" s="427" t="str">
        <f t="shared" si="0"/>
        <v>INCLUDED</v>
      </c>
      <c r="O35" s="647">
        <f t="shared" si="1"/>
        <v>0</v>
      </c>
      <c r="P35" s="647">
        <f t="shared" si="2"/>
        <v>0</v>
      </c>
      <c r="Q35" s="648">
        <f>Discount!$H$36</f>
        <v>0</v>
      </c>
      <c r="R35" s="648">
        <f t="shared" si="3"/>
        <v>0</v>
      </c>
      <c r="S35" s="648">
        <f t="shared" si="4"/>
        <v>0</v>
      </c>
      <c r="T35" s="649">
        <f t="shared" si="5"/>
        <v>0</v>
      </c>
    </row>
    <row r="36" spans="1:20" ht="16.5">
      <c r="A36" s="646">
        <v>19</v>
      </c>
      <c r="B36" s="425"/>
      <c r="C36" s="425"/>
      <c r="D36" s="425"/>
      <c r="E36" s="769">
        <v>1000028485</v>
      </c>
      <c r="F36" s="425"/>
      <c r="G36" s="422"/>
      <c r="H36" s="425">
        <v>18</v>
      </c>
      <c r="I36" s="423"/>
      <c r="J36" s="747" t="s">
        <v>509</v>
      </c>
      <c r="K36" s="741" t="s">
        <v>529</v>
      </c>
      <c r="L36" s="773">
        <v>15</v>
      </c>
      <c r="M36" s="564"/>
      <c r="N36" s="427" t="str">
        <f t="shared" si="0"/>
        <v>INCLUDED</v>
      </c>
      <c r="O36" s="647">
        <f t="shared" si="1"/>
        <v>0</v>
      </c>
      <c r="P36" s="647">
        <f t="shared" si="2"/>
        <v>0</v>
      </c>
      <c r="Q36" s="648">
        <f>Discount!$H$36</f>
        <v>0</v>
      </c>
      <c r="R36" s="648">
        <f t="shared" si="3"/>
        <v>0</v>
      </c>
      <c r="S36" s="648">
        <f t="shared" si="4"/>
        <v>0</v>
      </c>
      <c r="T36" s="649">
        <f t="shared" si="5"/>
        <v>0</v>
      </c>
    </row>
    <row r="37" spans="1:20" ht="16.5">
      <c r="A37" s="650">
        <v>20</v>
      </c>
      <c r="B37" s="425"/>
      <c r="C37" s="425"/>
      <c r="D37" s="425"/>
      <c r="E37" s="775">
        <v>1000022420</v>
      </c>
      <c r="F37" s="425"/>
      <c r="G37" s="422"/>
      <c r="H37" s="425">
        <v>18</v>
      </c>
      <c r="I37" s="423"/>
      <c r="J37" s="745" t="s">
        <v>510</v>
      </c>
      <c r="K37" s="741" t="s">
        <v>529</v>
      </c>
      <c r="L37" s="773">
        <v>44</v>
      </c>
      <c r="M37" s="564"/>
      <c r="N37" s="427" t="str">
        <f t="shared" si="0"/>
        <v>INCLUDED</v>
      </c>
      <c r="O37" s="647">
        <f t="shared" si="1"/>
        <v>0</v>
      </c>
      <c r="P37" s="647">
        <f t="shared" si="2"/>
        <v>0</v>
      </c>
      <c r="Q37" s="648">
        <f>Discount!$H$36</f>
        <v>0</v>
      </c>
      <c r="R37" s="648">
        <f t="shared" si="3"/>
        <v>0</v>
      </c>
      <c r="S37" s="648">
        <f t="shared" si="4"/>
        <v>0</v>
      </c>
      <c r="T37" s="649">
        <f t="shared" si="5"/>
        <v>0</v>
      </c>
    </row>
    <row r="38" spans="1:20" ht="16.5">
      <c r="A38" s="646">
        <v>21</v>
      </c>
      <c r="B38" s="425"/>
      <c r="C38" s="425"/>
      <c r="D38" s="425"/>
      <c r="E38" s="775">
        <v>1000020447</v>
      </c>
      <c r="F38" s="425"/>
      <c r="G38" s="422"/>
      <c r="H38" s="425">
        <v>18</v>
      </c>
      <c r="I38" s="423"/>
      <c r="J38" s="745" t="s">
        <v>511</v>
      </c>
      <c r="K38" s="741" t="s">
        <v>529</v>
      </c>
      <c r="L38" s="773">
        <v>8</v>
      </c>
      <c r="M38" s="564"/>
      <c r="N38" s="427" t="str">
        <f t="shared" si="0"/>
        <v>INCLUDED</v>
      </c>
      <c r="O38" s="647">
        <f t="shared" si="1"/>
        <v>0</v>
      </c>
      <c r="P38" s="647">
        <f t="shared" si="2"/>
        <v>0</v>
      </c>
      <c r="Q38" s="648">
        <f>Discount!$H$36</f>
        <v>0</v>
      </c>
      <c r="R38" s="648">
        <f t="shared" si="3"/>
        <v>0</v>
      </c>
      <c r="S38" s="648">
        <f t="shared" si="4"/>
        <v>0</v>
      </c>
      <c r="T38" s="649">
        <f t="shared" si="5"/>
        <v>0</v>
      </c>
    </row>
    <row r="39" spans="1:20" ht="16.5">
      <c r="A39" s="646">
        <v>22</v>
      </c>
      <c r="B39" s="425"/>
      <c r="C39" s="425"/>
      <c r="D39" s="425"/>
      <c r="E39" s="775">
        <v>1000020991</v>
      </c>
      <c r="F39" s="425"/>
      <c r="G39" s="422"/>
      <c r="H39" s="425">
        <v>18</v>
      </c>
      <c r="I39" s="423"/>
      <c r="J39" s="745" t="s">
        <v>512</v>
      </c>
      <c r="K39" s="741" t="s">
        <v>529</v>
      </c>
      <c r="L39" s="773">
        <v>14</v>
      </c>
      <c r="M39" s="564"/>
      <c r="N39" s="427" t="str">
        <f t="shared" si="0"/>
        <v>INCLUDED</v>
      </c>
      <c r="O39" s="647">
        <f t="shared" si="1"/>
        <v>0</v>
      </c>
      <c r="P39" s="647">
        <f t="shared" si="2"/>
        <v>0</v>
      </c>
      <c r="Q39" s="648">
        <f>Discount!$H$36</f>
        <v>0</v>
      </c>
      <c r="R39" s="648">
        <f t="shared" si="3"/>
        <v>0</v>
      </c>
      <c r="S39" s="648">
        <f t="shared" si="4"/>
        <v>0</v>
      </c>
      <c r="T39" s="649">
        <f t="shared" si="5"/>
        <v>0</v>
      </c>
    </row>
    <row r="40" spans="1:20" ht="16.5">
      <c r="A40" s="650">
        <v>23</v>
      </c>
      <c r="B40" s="425"/>
      <c r="C40" s="425"/>
      <c r="D40" s="425"/>
      <c r="E40" s="775">
        <v>1000019809</v>
      </c>
      <c r="F40" s="425"/>
      <c r="G40" s="422"/>
      <c r="H40" s="425">
        <v>18</v>
      </c>
      <c r="I40" s="423"/>
      <c r="J40" s="745" t="s">
        <v>513</v>
      </c>
      <c r="K40" s="746" t="s">
        <v>476</v>
      </c>
      <c r="L40" s="773">
        <v>24</v>
      </c>
      <c r="M40" s="564"/>
      <c r="N40" s="427" t="str">
        <f t="shared" si="0"/>
        <v>INCLUDED</v>
      </c>
      <c r="O40" s="647">
        <f t="shared" si="1"/>
        <v>0</v>
      </c>
      <c r="P40" s="647">
        <f t="shared" si="2"/>
        <v>0</v>
      </c>
      <c r="Q40" s="648">
        <f>Discount!$H$36</f>
        <v>0</v>
      </c>
      <c r="R40" s="648">
        <f t="shared" si="3"/>
        <v>0</v>
      </c>
      <c r="S40" s="648">
        <f t="shared" si="4"/>
        <v>0</v>
      </c>
      <c r="T40" s="649">
        <f t="shared" si="5"/>
        <v>0</v>
      </c>
    </row>
    <row r="41" spans="1:20" ht="16.5">
      <c r="A41" s="646">
        <v>24</v>
      </c>
      <c r="B41" s="425"/>
      <c r="C41" s="425"/>
      <c r="D41" s="425"/>
      <c r="E41" s="775">
        <v>1000019788</v>
      </c>
      <c r="F41" s="425"/>
      <c r="G41" s="422"/>
      <c r="H41" s="425">
        <v>18</v>
      </c>
      <c r="I41" s="423"/>
      <c r="J41" s="745" t="s">
        <v>514</v>
      </c>
      <c r="K41" s="746" t="s">
        <v>476</v>
      </c>
      <c r="L41" s="773">
        <v>0</v>
      </c>
      <c r="M41" s="564"/>
      <c r="N41" s="427" t="str">
        <f t="shared" si="0"/>
        <v>INCLUDED</v>
      </c>
      <c r="O41" s="647">
        <f t="shared" si="1"/>
        <v>0</v>
      </c>
      <c r="P41" s="647">
        <f t="shared" si="2"/>
        <v>0</v>
      </c>
      <c r="Q41" s="648">
        <f>Discount!$H$36</f>
        <v>0</v>
      </c>
      <c r="R41" s="648">
        <f t="shared" si="3"/>
        <v>0</v>
      </c>
      <c r="S41" s="648">
        <f t="shared" si="4"/>
        <v>0</v>
      </c>
      <c r="T41" s="649">
        <f t="shared" si="5"/>
        <v>0</v>
      </c>
    </row>
    <row r="42" spans="1:20" ht="16.5">
      <c r="A42" s="646">
        <v>25</v>
      </c>
      <c r="B42" s="425"/>
      <c r="C42" s="425"/>
      <c r="D42" s="425"/>
      <c r="E42" s="775">
        <v>1000010800</v>
      </c>
      <c r="F42" s="425"/>
      <c r="G42" s="422"/>
      <c r="H42" s="425">
        <v>18</v>
      </c>
      <c r="I42" s="423"/>
      <c r="J42" s="745" t="s">
        <v>515</v>
      </c>
      <c r="K42" s="746" t="s">
        <v>476</v>
      </c>
      <c r="L42" s="773">
        <v>42</v>
      </c>
      <c r="M42" s="564"/>
      <c r="N42" s="427" t="str">
        <f t="shared" si="0"/>
        <v>INCLUDED</v>
      </c>
      <c r="O42" s="647">
        <f t="shared" si="1"/>
        <v>0</v>
      </c>
      <c r="P42" s="647">
        <f t="shared" si="2"/>
        <v>0</v>
      </c>
      <c r="Q42" s="648">
        <f>Discount!$H$36</f>
        <v>0</v>
      </c>
      <c r="R42" s="648">
        <f t="shared" si="3"/>
        <v>0</v>
      </c>
      <c r="S42" s="648">
        <f t="shared" si="4"/>
        <v>0</v>
      </c>
      <c r="T42" s="649">
        <f t="shared" si="5"/>
        <v>0</v>
      </c>
    </row>
    <row r="43" spans="1:20" ht="16.5">
      <c r="A43" s="650">
        <v>26</v>
      </c>
      <c r="B43" s="425"/>
      <c r="C43" s="425"/>
      <c r="D43" s="425"/>
      <c r="E43" s="775">
        <v>1000022431</v>
      </c>
      <c r="F43" s="425"/>
      <c r="G43" s="422"/>
      <c r="H43" s="425">
        <v>18</v>
      </c>
      <c r="I43" s="423"/>
      <c r="J43" s="745" t="s">
        <v>516</v>
      </c>
      <c r="K43" s="741" t="s">
        <v>529</v>
      </c>
      <c r="L43" s="773">
        <v>180</v>
      </c>
      <c r="M43" s="564"/>
      <c r="N43" s="427" t="str">
        <f t="shared" si="0"/>
        <v>INCLUDED</v>
      </c>
      <c r="O43" s="647">
        <f t="shared" si="1"/>
        <v>0</v>
      </c>
      <c r="P43" s="647">
        <f t="shared" si="2"/>
        <v>0</v>
      </c>
      <c r="Q43" s="648">
        <f>Discount!$H$36</f>
        <v>0</v>
      </c>
      <c r="R43" s="648">
        <f t="shared" si="3"/>
        <v>0</v>
      </c>
      <c r="S43" s="648">
        <f t="shared" si="4"/>
        <v>0</v>
      </c>
      <c r="T43" s="649">
        <f t="shared" si="5"/>
        <v>0</v>
      </c>
    </row>
    <row r="44" spans="1:20" ht="16.5">
      <c r="A44" s="646">
        <v>27</v>
      </c>
      <c r="B44" s="425"/>
      <c r="C44" s="425"/>
      <c r="D44" s="425"/>
      <c r="E44" s="775">
        <v>1000007935</v>
      </c>
      <c r="F44" s="425"/>
      <c r="G44" s="422"/>
      <c r="H44" s="425">
        <v>18</v>
      </c>
      <c r="I44" s="423"/>
      <c r="J44" s="745" t="s">
        <v>517</v>
      </c>
      <c r="K44" s="741" t="s">
        <v>529</v>
      </c>
      <c r="L44" s="773">
        <v>256.2</v>
      </c>
      <c r="M44" s="564"/>
      <c r="N44" s="427" t="str">
        <f t="shared" si="0"/>
        <v>INCLUDED</v>
      </c>
      <c r="O44" s="647">
        <f t="shared" si="1"/>
        <v>0</v>
      </c>
      <c r="P44" s="647">
        <f t="shared" si="2"/>
        <v>0</v>
      </c>
      <c r="Q44" s="648">
        <f>Discount!$H$36</f>
        <v>0</v>
      </c>
      <c r="R44" s="648">
        <f t="shared" si="3"/>
        <v>0</v>
      </c>
      <c r="S44" s="648">
        <f t="shared" si="4"/>
        <v>0</v>
      </c>
      <c r="T44" s="649">
        <f t="shared" si="5"/>
        <v>0</v>
      </c>
    </row>
    <row r="45" spans="1:20" ht="16.5">
      <c r="A45" s="646">
        <v>28</v>
      </c>
      <c r="B45" s="425"/>
      <c r="C45" s="425"/>
      <c r="D45" s="425"/>
      <c r="E45" s="775">
        <v>1000018559</v>
      </c>
      <c r="F45" s="425"/>
      <c r="G45" s="422"/>
      <c r="H45" s="425">
        <v>18</v>
      </c>
      <c r="I45" s="423"/>
      <c r="J45" s="745" t="s">
        <v>518</v>
      </c>
      <c r="K45" s="741" t="s">
        <v>529</v>
      </c>
      <c r="L45" s="773">
        <v>84</v>
      </c>
      <c r="M45" s="564"/>
      <c r="N45" s="427" t="str">
        <f t="shared" si="0"/>
        <v>INCLUDED</v>
      </c>
      <c r="O45" s="647">
        <f t="shared" si="1"/>
        <v>0</v>
      </c>
      <c r="P45" s="647">
        <f t="shared" si="2"/>
        <v>0</v>
      </c>
      <c r="Q45" s="648">
        <f>Discount!$H$36</f>
        <v>0</v>
      </c>
      <c r="R45" s="648">
        <f t="shared" si="3"/>
        <v>0</v>
      </c>
      <c r="S45" s="648">
        <f t="shared" si="4"/>
        <v>0</v>
      </c>
      <c r="T45" s="649">
        <f t="shared" si="5"/>
        <v>0</v>
      </c>
    </row>
    <row r="46" spans="1:20" ht="16.5">
      <c r="A46" s="650">
        <v>29</v>
      </c>
      <c r="B46" s="425"/>
      <c r="C46" s="425"/>
      <c r="D46" s="425"/>
      <c r="E46" s="775">
        <v>1000030860</v>
      </c>
      <c r="F46" s="425"/>
      <c r="G46" s="422"/>
      <c r="H46" s="425">
        <v>18</v>
      </c>
      <c r="I46" s="423"/>
      <c r="J46" s="745" t="s">
        <v>519</v>
      </c>
      <c r="K46" s="741" t="s">
        <v>530</v>
      </c>
      <c r="L46" s="773">
        <v>32.369999999999997</v>
      </c>
      <c r="M46" s="564"/>
      <c r="N46" s="427" t="str">
        <f t="shared" si="0"/>
        <v>INCLUDED</v>
      </c>
      <c r="O46" s="647">
        <f t="shared" si="1"/>
        <v>0</v>
      </c>
      <c r="P46" s="647">
        <f t="shared" si="2"/>
        <v>0</v>
      </c>
      <c r="Q46" s="648">
        <f>Discount!$H$36</f>
        <v>0</v>
      </c>
      <c r="R46" s="648">
        <f t="shared" si="3"/>
        <v>0</v>
      </c>
      <c r="S46" s="648">
        <f t="shared" si="4"/>
        <v>0</v>
      </c>
      <c r="T46" s="649">
        <f t="shared" si="5"/>
        <v>0</v>
      </c>
    </row>
    <row r="47" spans="1:20" ht="16.5">
      <c r="A47" s="646">
        <v>30</v>
      </c>
      <c r="B47" s="425"/>
      <c r="C47" s="425"/>
      <c r="D47" s="425"/>
      <c r="E47" s="775">
        <v>1000030841</v>
      </c>
      <c r="F47" s="425"/>
      <c r="G47" s="422"/>
      <c r="H47" s="425">
        <v>18</v>
      </c>
      <c r="I47" s="423"/>
      <c r="J47" s="745" t="s">
        <v>520</v>
      </c>
      <c r="K47" s="741" t="s">
        <v>530</v>
      </c>
      <c r="L47" s="773">
        <v>5.24</v>
      </c>
      <c r="M47" s="564"/>
      <c r="N47" s="427" t="str">
        <f t="shared" si="0"/>
        <v>INCLUDED</v>
      </c>
      <c r="O47" s="647">
        <f t="shared" si="1"/>
        <v>0</v>
      </c>
      <c r="P47" s="647">
        <f t="shared" si="2"/>
        <v>0</v>
      </c>
      <c r="Q47" s="648">
        <f>Discount!$H$36</f>
        <v>0</v>
      </c>
      <c r="R47" s="648">
        <f t="shared" si="3"/>
        <v>0</v>
      </c>
      <c r="S47" s="648">
        <f t="shared" si="4"/>
        <v>0</v>
      </c>
      <c r="T47" s="649">
        <f t="shared" si="5"/>
        <v>0</v>
      </c>
    </row>
    <row r="48" spans="1:20" ht="16.5">
      <c r="A48" s="646">
        <v>31</v>
      </c>
      <c r="B48" s="425"/>
      <c r="C48" s="425"/>
      <c r="D48" s="425"/>
      <c r="E48" s="775">
        <v>1000009325</v>
      </c>
      <c r="F48" s="425"/>
      <c r="G48" s="422"/>
      <c r="H48" s="425">
        <v>18</v>
      </c>
      <c r="I48" s="423"/>
      <c r="J48" s="756" t="s">
        <v>486</v>
      </c>
      <c r="K48" s="741" t="s">
        <v>531</v>
      </c>
      <c r="L48" s="773">
        <v>24</v>
      </c>
      <c r="M48" s="564"/>
      <c r="N48" s="427" t="str">
        <f t="shared" si="0"/>
        <v>INCLUDED</v>
      </c>
      <c r="O48" s="647">
        <f t="shared" si="1"/>
        <v>0</v>
      </c>
      <c r="P48" s="647">
        <f t="shared" si="2"/>
        <v>0</v>
      </c>
      <c r="Q48" s="648">
        <f>Discount!$H$36</f>
        <v>0</v>
      </c>
      <c r="R48" s="648">
        <f t="shared" si="3"/>
        <v>0</v>
      </c>
      <c r="S48" s="648">
        <f t="shared" si="4"/>
        <v>0</v>
      </c>
      <c r="T48" s="649">
        <f t="shared" si="5"/>
        <v>0</v>
      </c>
    </row>
    <row r="49" spans="1:20" ht="16.5">
      <c r="A49" s="650">
        <v>32</v>
      </c>
      <c r="B49" s="425"/>
      <c r="C49" s="425"/>
      <c r="D49" s="425"/>
      <c r="E49" s="775">
        <v>1000009328</v>
      </c>
      <c r="F49" s="425"/>
      <c r="G49" s="422"/>
      <c r="H49" s="425">
        <v>18</v>
      </c>
      <c r="I49" s="423"/>
      <c r="J49" s="755" t="s">
        <v>487</v>
      </c>
      <c r="K49" s="741" t="s">
        <v>531</v>
      </c>
      <c r="L49" s="773">
        <v>84</v>
      </c>
      <c r="M49" s="564"/>
      <c r="N49" s="427" t="str">
        <f t="shared" si="0"/>
        <v>INCLUDED</v>
      </c>
      <c r="O49" s="647">
        <f t="shared" si="1"/>
        <v>0</v>
      </c>
      <c r="P49" s="647">
        <f t="shared" si="2"/>
        <v>0</v>
      </c>
      <c r="Q49" s="648">
        <f>Discount!$H$36</f>
        <v>0</v>
      </c>
      <c r="R49" s="648">
        <f t="shared" si="3"/>
        <v>0</v>
      </c>
      <c r="S49" s="648">
        <f t="shared" si="4"/>
        <v>0</v>
      </c>
      <c r="T49" s="649">
        <f t="shared" si="5"/>
        <v>0</v>
      </c>
    </row>
    <row r="50" spans="1:20" ht="16.5">
      <c r="A50" s="646">
        <v>33</v>
      </c>
      <c r="B50" s="425"/>
      <c r="C50" s="425"/>
      <c r="D50" s="425"/>
      <c r="E50" s="775">
        <v>1000019903</v>
      </c>
      <c r="F50" s="425"/>
      <c r="G50" s="422"/>
      <c r="H50" s="425">
        <v>18</v>
      </c>
      <c r="I50" s="423"/>
      <c r="J50" s="745" t="s">
        <v>521</v>
      </c>
      <c r="K50" s="741" t="s">
        <v>532</v>
      </c>
      <c r="L50" s="751">
        <v>15</v>
      </c>
      <c r="M50" s="564"/>
      <c r="N50" s="427" t="str">
        <f t="shared" si="0"/>
        <v>INCLUDED</v>
      </c>
      <c r="O50" s="647">
        <f t="shared" si="1"/>
        <v>0</v>
      </c>
      <c r="P50" s="647">
        <f t="shared" si="2"/>
        <v>0</v>
      </c>
      <c r="Q50" s="648">
        <f>Discount!$H$36</f>
        <v>0</v>
      </c>
      <c r="R50" s="648">
        <f t="shared" si="3"/>
        <v>0</v>
      </c>
      <c r="S50" s="648">
        <f t="shared" si="4"/>
        <v>0</v>
      </c>
      <c r="T50" s="649">
        <f t="shared" si="5"/>
        <v>0</v>
      </c>
    </row>
    <row r="51" spans="1:20" ht="16.5">
      <c r="A51" s="646">
        <v>34</v>
      </c>
      <c r="B51" s="425"/>
      <c r="C51" s="425"/>
      <c r="D51" s="425"/>
      <c r="E51" s="775">
        <v>1000016663</v>
      </c>
      <c r="F51" s="425"/>
      <c r="G51" s="422"/>
      <c r="H51" s="425">
        <v>18</v>
      </c>
      <c r="I51" s="423"/>
      <c r="J51" s="755" t="s">
        <v>485</v>
      </c>
      <c r="K51" s="741" t="s">
        <v>533</v>
      </c>
      <c r="L51" s="751">
        <v>15</v>
      </c>
      <c r="M51" s="564"/>
      <c r="N51" s="427" t="str">
        <f t="shared" si="0"/>
        <v>INCLUDED</v>
      </c>
      <c r="O51" s="647">
        <f t="shared" si="1"/>
        <v>0</v>
      </c>
      <c r="P51" s="647">
        <f t="shared" si="2"/>
        <v>0</v>
      </c>
      <c r="Q51" s="648">
        <f>Discount!$H$36</f>
        <v>0</v>
      </c>
      <c r="R51" s="648">
        <f t="shared" si="3"/>
        <v>0</v>
      </c>
      <c r="S51" s="648">
        <f t="shared" si="4"/>
        <v>0</v>
      </c>
      <c r="T51" s="649">
        <f t="shared" si="5"/>
        <v>0</v>
      </c>
    </row>
    <row r="52" spans="1:20" ht="16.5">
      <c r="A52" s="650">
        <v>35</v>
      </c>
      <c r="B52" s="425"/>
      <c r="C52" s="425"/>
      <c r="D52" s="425"/>
      <c r="E52" s="770">
        <v>1000030940</v>
      </c>
      <c r="F52" s="425"/>
      <c r="G52" s="422"/>
      <c r="H52" s="425">
        <v>18</v>
      </c>
      <c r="I52" s="423"/>
      <c r="J52" s="745" t="s">
        <v>481</v>
      </c>
      <c r="K52" s="747" t="s">
        <v>534</v>
      </c>
      <c r="L52" s="751">
        <v>5.24</v>
      </c>
      <c r="M52" s="564"/>
      <c r="N52" s="427" t="str">
        <f t="shared" si="0"/>
        <v>INCLUDED</v>
      </c>
      <c r="O52" s="647">
        <f t="shared" si="1"/>
        <v>0</v>
      </c>
      <c r="P52" s="647">
        <f t="shared" si="2"/>
        <v>0</v>
      </c>
      <c r="Q52" s="648">
        <f>Discount!$H$36</f>
        <v>0</v>
      </c>
      <c r="R52" s="648">
        <f t="shared" si="3"/>
        <v>0</v>
      </c>
      <c r="S52" s="648">
        <f t="shared" si="4"/>
        <v>0</v>
      </c>
      <c r="T52" s="649">
        <f t="shared" si="5"/>
        <v>0</v>
      </c>
    </row>
    <row r="53" spans="1:20" ht="16.5">
      <c r="A53" s="646">
        <v>36</v>
      </c>
      <c r="B53" s="425"/>
      <c r="C53" s="425"/>
      <c r="D53" s="425"/>
      <c r="E53" s="771">
        <v>1000020444</v>
      </c>
      <c r="F53" s="425"/>
      <c r="G53" s="422"/>
      <c r="H53" s="425">
        <v>18</v>
      </c>
      <c r="I53" s="423"/>
      <c r="J53" s="759" t="s">
        <v>522</v>
      </c>
      <c r="K53" s="747" t="s">
        <v>528</v>
      </c>
      <c r="L53" s="751">
        <v>8</v>
      </c>
      <c r="M53" s="564"/>
      <c r="N53" s="427" t="str">
        <f t="shared" si="0"/>
        <v>INCLUDED</v>
      </c>
      <c r="O53" s="647">
        <f t="shared" si="1"/>
        <v>0</v>
      </c>
      <c r="P53" s="647">
        <f t="shared" si="2"/>
        <v>0</v>
      </c>
      <c r="Q53" s="648">
        <f>Discount!$H$36</f>
        <v>0</v>
      </c>
      <c r="R53" s="648">
        <f t="shared" si="3"/>
        <v>0</v>
      </c>
      <c r="S53" s="648">
        <f t="shared" si="4"/>
        <v>0</v>
      </c>
      <c r="T53" s="649">
        <f t="shared" si="5"/>
        <v>0</v>
      </c>
    </row>
    <row r="54" spans="1:20" ht="31.5">
      <c r="A54" s="646">
        <v>37</v>
      </c>
      <c r="B54" s="425"/>
      <c r="C54" s="425"/>
      <c r="D54" s="425"/>
      <c r="E54" s="782">
        <v>1000031039</v>
      </c>
      <c r="F54" s="425"/>
      <c r="G54" s="422"/>
      <c r="H54" s="425">
        <v>18</v>
      </c>
      <c r="I54" s="423"/>
      <c r="J54" s="745" t="s">
        <v>523</v>
      </c>
      <c r="K54" s="747" t="s">
        <v>476</v>
      </c>
      <c r="L54" s="751">
        <v>1</v>
      </c>
      <c r="M54" s="564"/>
      <c r="N54" s="427" t="str">
        <f t="shared" si="0"/>
        <v>INCLUDED</v>
      </c>
      <c r="O54" s="647">
        <f t="shared" si="1"/>
        <v>0</v>
      </c>
      <c r="P54" s="647">
        <f t="shared" si="2"/>
        <v>0</v>
      </c>
      <c r="Q54" s="648">
        <f>Discount!$H$36</f>
        <v>0</v>
      </c>
      <c r="R54" s="648">
        <f t="shared" si="3"/>
        <v>0</v>
      </c>
      <c r="S54" s="648">
        <f t="shared" si="4"/>
        <v>0</v>
      </c>
      <c r="T54" s="649">
        <f t="shared" si="5"/>
        <v>0</v>
      </c>
    </row>
    <row r="55" spans="1:20" ht="16.5">
      <c r="A55" s="650">
        <v>38</v>
      </c>
      <c r="B55" s="425"/>
      <c r="C55" s="425"/>
      <c r="D55" s="425"/>
      <c r="E55" s="782">
        <v>1000033146</v>
      </c>
      <c r="F55" s="425"/>
      <c r="G55" s="422"/>
      <c r="H55" s="425">
        <v>18</v>
      </c>
      <c r="I55" s="423"/>
      <c r="J55" s="745" t="s">
        <v>524</v>
      </c>
      <c r="K55" s="747" t="s">
        <v>476</v>
      </c>
      <c r="L55" s="751">
        <v>7</v>
      </c>
      <c r="M55" s="564"/>
      <c r="N55" s="427" t="str">
        <f t="shared" si="0"/>
        <v>INCLUDED</v>
      </c>
      <c r="O55" s="647">
        <f t="shared" si="1"/>
        <v>0</v>
      </c>
      <c r="P55" s="647">
        <f t="shared" si="2"/>
        <v>0</v>
      </c>
      <c r="Q55" s="648">
        <f>Discount!$H$36</f>
        <v>0</v>
      </c>
      <c r="R55" s="648">
        <f t="shared" si="3"/>
        <v>0</v>
      </c>
      <c r="S55" s="648">
        <f t="shared" si="4"/>
        <v>0</v>
      </c>
      <c r="T55" s="649">
        <f t="shared" si="5"/>
        <v>0</v>
      </c>
    </row>
    <row r="56" spans="1:20" ht="31.5">
      <c r="A56" s="646">
        <v>39</v>
      </c>
      <c r="B56" s="425"/>
      <c r="C56" s="425"/>
      <c r="D56" s="425"/>
      <c r="E56" s="782">
        <v>1000031041</v>
      </c>
      <c r="F56" s="425"/>
      <c r="G56" s="422"/>
      <c r="H56" s="425">
        <v>18</v>
      </c>
      <c r="I56" s="423"/>
      <c r="J56" s="745" t="s">
        <v>525</v>
      </c>
      <c r="K56" s="747" t="s">
        <v>476</v>
      </c>
      <c r="L56" s="751">
        <v>8</v>
      </c>
      <c r="M56" s="564"/>
      <c r="N56" s="427" t="str">
        <f t="shared" si="0"/>
        <v>INCLUDED</v>
      </c>
      <c r="O56" s="647">
        <f t="shared" si="1"/>
        <v>0</v>
      </c>
      <c r="P56" s="647">
        <f t="shared" si="2"/>
        <v>0</v>
      </c>
      <c r="Q56" s="648">
        <f>Discount!$H$36</f>
        <v>0</v>
      </c>
      <c r="R56" s="648">
        <f t="shared" si="3"/>
        <v>0</v>
      </c>
      <c r="S56" s="648">
        <f t="shared" si="4"/>
        <v>0</v>
      </c>
      <c r="T56" s="649">
        <f t="shared" si="5"/>
        <v>0</v>
      </c>
    </row>
    <row r="57" spans="1:20" ht="16.5">
      <c r="A57" s="646">
        <v>40</v>
      </c>
      <c r="B57" s="425"/>
      <c r="C57" s="425"/>
      <c r="D57" s="425"/>
      <c r="E57" s="782">
        <v>1000022417</v>
      </c>
      <c r="F57" s="425"/>
      <c r="G57" s="422"/>
      <c r="H57" s="425">
        <v>18</v>
      </c>
      <c r="I57" s="423"/>
      <c r="J57" s="745" t="s">
        <v>482</v>
      </c>
      <c r="K57" s="747" t="s">
        <v>528</v>
      </c>
      <c r="L57" s="751">
        <v>44</v>
      </c>
      <c r="M57" s="564"/>
      <c r="N57" s="427" t="str">
        <f t="shared" si="0"/>
        <v>INCLUDED</v>
      </c>
      <c r="O57" s="647">
        <f t="shared" si="1"/>
        <v>0</v>
      </c>
      <c r="P57" s="647">
        <f t="shared" si="2"/>
        <v>0</v>
      </c>
      <c r="Q57" s="648">
        <f>Discount!$H$36</f>
        <v>0</v>
      </c>
      <c r="R57" s="648">
        <f t="shared" si="3"/>
        <v>0</v>
      </c>
      <c r="S57" s="648">
        <f t="shared" si="4"/>
        <v>0</v>
      </c>
      <c r="T57" s="649">
        <f t="shared" si="5"/>
        <v>0</v>
      </c>
    </row>
    <row r="58" spans="1:20" ht="16.5">
      <c r="A58" s="646">
        <v>41</v>
      </c>
      <c r="B58" s="425"/>
      <c r="C58" s="425"/>
      <c r="D58" s="425"/>
      <c r="E58" s="782">
        <v>1000010817</v>
      </c>
      <c r="F58" s="425"/>
      <c r="G58" s="422"/>
      <c r="H58" s="425">
        <v>18</v>
      </c>
      <c r="I58" s="423"/>
      <c r="J58" s="745" t="s">
        <v>526</v>
      </c>
      <c r="K58" s="747" t="s">
        <v>528</v>
      </c>
      <c r="L58" s="751">
        <v>32</v>
      </c>
      <c r="M58" s="564"/>
      <c r="N58" s="427" t="str">
        <f t="shared" si="0"/>
        <v>INCLUDED</v>
      </c>
      <c r="O58" s="647">
        <f t="shared" si="1"/>
        <v>0</v>
      </c>
      <c r="P58" s="647">
        <f t="shared" si="2"/>
        <v>0</v>
      </c>
      <c r="Q58" s="648">
        <f>Discount!$H$36</f>
        <v>0</v>
      </c>
      <c r="R58" s="648">
        <f t="shared" si="3"/>
        <v>0</v>
      </c>
      <c r="S58" s="648">
        <f t="shared" si="4"/>
        <v>0</v>
      </c>
      <c r="T58" s="649">
        <f t="shared" si="5"/>
        <v>0</v>
      </c>
    </row>
    <row r="59" spans="1:20" ht="16.5">
      <c r="A59" s="646">
        <v>42</v>
      </c>
      <c r="B59" s="425"/>
      <c r="C59" s="425"/>
      <c r="D59" s="425"/>
      <c r="E59" s="782">
        <v>1000014198</v>
      </c>
      <c r="F59" s="425"/>
      <c r="G59" s="422"/>
      <c r="H59" s="425">
        <v>18</v>
      </c>
      <c r="I59" s="423"/>
      <c r="J59" s="760" t="s">
        <v>483</v>
      </c>
      <c r="K59" s="747" t="s">
        <v>528</v>
      </c>
      <c r="L59" s="751">
        <v>2</v>
      </c>
      <c r="M59" s="564"/>
      <c r="N59" s="427" t="str">
        <f t="shared" si="0"/>
        <v>INCLUDED</v>
      </c>
      <c r="O59" s="647">
        <f t="shared" si="1"/>
        <v>0</v>
      </c>
      <c r="P59" s="647">
        <f t="shared" si="2"/>
        <v>0</v>
      </c>
      <c r="Q59" s="648">
        <f>Discount!$H$36</f>
        <v>0</v>
      </c>
      <c r="R59" s="648">
        <f t="shared" si="3"/>
        <v>0</v>
      </c>
      <c r="S59" s="648">
        <f t="shared" si="4"/>
        <v>0</v>
      </c>
      <c r="T59" s="649">
        <f t="shared" si="5"/>
        <v>0</v>
      </c>
    </row>
    <row r="60" spans="1:20" ht="16.5" customHeight="1" thickBot="1">
      <c r="A60" s="753" t="s">
        <v>565</v>
      </c>
      <c r="B60" s="861" t="s">
        <v>567</v>
      </c>
      <c r="C60" s="862"/>
      <c r="D60" s="863"/>
      <c r="E60" s="642"/>
      <c r="F60" s="642"/>
      <c r="G60" s="796"/>
      <c r="H60" s="425"/>
      <c r="I60" s="797"/>
      <c r="J60" s="760"/>
      <c r="K60" s="798"/>
      <c r="L60" s="799"/>
      <c r="M60" s="800"/>
      <c r="N60" s="427"/>
      <c r="O60" s="647">
        <f t="shared" si="1"/>
        <v>0</v>
      </c>
      <c r="P60" s="647">
        <f t="shared" si="2"/>
        <v>0</v>
      </c>
      <c r="Q60" s="648">
        <f>Discount!$H$36</f>
        <v>0</v>
      </c>
      <c r="R60" s="648">
        <f t="shared" si="3"/>
        <v>0</v>
      </c>
      <c r="S60" s="648">
        <f t="shared" si="4"/>
        <v>0</v>
      </c>
      <c r="T60" s="649">
        <f t="shared" si="5"/>
        <v>0</v>
      </c>
    </row>
    <row r="61" spans="1:20" ht="47.25">
      <c r="A61" s="646">
        <v>1</v>
      </c>
      <c r="B61" s="425"/>
      <c r="C61" s="425"/>
      <c r="D61" s="425"/>
      <c r="E61" s="776">
        <v>1000013391</v>
      </c>
      <c r="F61" s="425"/>
      <c r="G61" s="422"/>
      <c r="H61" s="425">
        <v>18</v>
      </c>
      <c r="I61" s="423"/>
      <c r="J61" s="740" t="s">
        <v>494</v>
      </c>
      <c r="K61" s="741" t="s">
        <v>527</v>
      </c>
      <c r="L61" s="773">
        <v>115.05</v>
      </c>
      <c r="M61" s="564"/>
      <c r="N61" s="427" t="str">
        <f t="shared" si="0"/>
        <v>INCLUDED</v>
      </c>
      <c r="O61" s="647">
        <f t="shared" si="1"/>
        <v>0</v>
      </c>
      <c r="P61" s="647">
        <f t="shared" si="2"/>
        <v>0</v>
      </c>
      <c r="Q61" s="648">
        <f>Discount!$H$36</f>
        <v>0</v>
      </c>
      <c r="R61" s="648">
        <f t="shared" si="3"/>
        <v>0</v>
      </c>
      <c r="S61" s="648">
        <f t="shared" si="4"/>
        <v>0</v>
      </c>
      <c r="T61" s="649">
        <f t="shared" si="5"/>
        <v>0</v>
      </c>
    </row>
    <row r="62" spans="1:20" ht="47.25">
      <c r="A62" s="646">
        <v>2</v>
      </c>
      <c r="B62" s="425"/>
      <c r="C62" s="425"/>
      <c r="D62" s="425"/>
      <c r="E62" s="777">
        <v>1000015274</v>
      </c>
      <c r="F62" s="425"/>
      <c r="G62" s="422"/>
      <c r="H62" s="425">
        <v>18</v>
      </c>
      <c r="I62" s="423"/>
      <c r="J62" s="742" t="s">
        <v>495</v>
      </c>
      <c r="K62" s="741" t="s">
        <v>527</v>
      </c>
      <c r="L62" s="773">
        <v>85.72</v>
      </c>
      <c r="M62" s="564"/>
      <c r="N62" s="427" t="str">
        <f t="shared" si="0"/>
        <v>INCLUDED</v>
      </c>
      <c r="O62" s="647">
        <f t="shared" si="1"/>
        <v>0</v>
      </c>
      <c r="P62" s="647">
        <f t="shared" si="2"/>
        <v>0</v>
      </c>
      <c r="Q62" s="648">
        <f>Discount!$H$36</f>
        <v>0</v>
      </c>
      <c r="R62" s="648">
        <f t="shared" si="3"/>
        <v>0</v>
      </c>
      <c r="S62" s="648">
        <f t="shared" si="4"/>
        <v>0</v>
      </c>
      <c r="T62" s="649">
        <f t="shared" si="5"/>
        <v>0</v>
      </c>
    </row>
    <row r="63" spans="1:20" ht="31.5">
      <c r="A63" s="646">
        <v>3</v>
      </c>
      <c r="B63" s="425"/>
      <c r="C63" s="425"/>
      <c r="D63" s="425"/>
      <c r="E63" s="777">
        <v>1000013393</v>
      </c>
      <c r="F63" s="425"/>
      <c r="G63" s="422"/>
      <c r="H63" s="425">
        <v>18</v>
      </c>
      <c r="I63" s="423"/>
      <c r="J63" s="743" t="s">
        <v>496</v>
      </c>
      <c r="K63" s="741" t="s">
        <v>527</v>
      </c>
      <c r="L63" s="773">
        <v>8.09</v>
      </c>
      <c r="M63" s="564"/>
      <c r="N63" s="427" t="str">
        <f t="shared" si="0"/>
        <v>INCLUDED</v>
      </c>
      <c r="O63" s="647">
        <f t="shared" si="1"/>
        <v>0</v>
      </c>
      <c r="P63" s="647">
        <f t="shared" si="2"/>
        <v>0</v>
      </c>
      <c r="Q63" s="648">
        <f>Discount!$H$36</f>
        <v>0</v>
      </c>
      <c r="R63" s="648">
        <f t="shared" si="3"/>
        <v>0</v>
      </c>
      <c r="S63" s="648">
        <f t="shared" si="4"/>
        <v>0</v>
      </c>
      <c r="T63" s="649">
        <f t="shared" si="5"/>
        <v>0</v>
      </c>
    </row>
    <row r="64" spans="1:20" ht="31.5">
      <c r="A64" s="646">
        <v>4</v>
      </c>
      <c r="B64" s="425"/>
      <c r="C64" s="425"/>
      <c r="D64" s="425"/>
      <c r="E64" s="777">
        <v>1000015276</v>
      </c>
      <c r="F64" s="425"/>
      <c r="G64" s="422"/>
      <c r="H64" s="425">
        <v>18</v>
      </c>
      <c r="I64" s="423"/>
      <c r="J64" s="744" t="s">
        <v>497</v>
      </c>
      <c r="K64" s="741" t="s">
        <v>527</v>
      </c>
      <c r="L64" s="773">
        <v>0.09</v>
      </c>
      <c r="M64" s="564"/>
      <c r="N64" s="427" t="str">
        <f t="shared" si="0"/>
        <v>INCLUDED</v>
      </c>
      <c r="O64" s="647">
        <f t="shared" si="1"/>
        <v>0</v>
      </c>
      <c r="P64" s="647">
        <f t="shared" si="2"/>
        <v>0</v>
      </c>
      <c r="Q64" s="648">
        <f>Discount!$H$36</f>
        <v>0</v>
      </c>
      <c r="R64" s="648">
        <f t="shared" si="3"/>
        <v>0</v>
      </c>
      <c r="S64" s="648">
        <f t="shared" si="4"/>
        <v>0</v>
      </c>
      <c r="T64" s="649">
        <f t="shared" si="5"/>
        <v>0</v>
      </c>
    </row>
    <row r="65" spans="1:20" ht="16.5">
      <c r="A65" s="646">
        <v>5</v>
      </c>
      <c r="B65" s="425"/>
      <c r="C65" s="425"/>
      <c r="D65" s="425"/>
      <c r="E65" s="777">
        <v>1000013472</v>
      </c>
      <c r="F65" s="425"/>
      <c r="G65" s="422"/>
      <c r="H65" s="425">
        <v>18</v>
      </c>
      <c r="I65" s="423"/>
      <c r="J65" s="740" t="s">
        <v>484</v>
      </c>
      <c r="K65" s="741" t="s">
        <v>527</v>
      </c>
      <c r="L65" s="773">
        <v>7.44</v>
      </c>
      <c r="M65" s="564"/>
      <c r="N65" s="427" t="str">
        <f t="shared" si="0"/>
        <v>INCLUDED</v>
      </c>
      <c r="O65" s="647">
        <f t="shared" si="1"/>
        <v>0</v>
      </c>
      <c r="P65" s="647">
        <f t="shared" si="2"/>
        <v>0</v>
      </c>
      <c r="Q65" s="648">
        <f>Discount!$H$36</f>
        <v>0</v>
      </c>
      <c r="R65" s="648">
        <f t="shared" si="3"/>
        <v>0</v>
      </c>
      <c r="S65" s="648">
        <f t="shared" si="4"/>
        <v>0</v>
      </c>
      <c r="T65" s="649">
        <f t="shared" si="5"/>
        <v>0</v>
      </c>
    </row>
    <row r="66" spans="1:20" ht="16.5">
      <c r="A66" s="646">
        <v>6</v>
      </c>
      <c r="B66" s="425"/>
      <c r="C66" s="425"/>
      <c r="D66" s="425"/>
      <c r="E66" s="777">
        <v>1000007847</v>
      </c>
      <c r="F66" s="425"/>
      <c r="G66" s="422"/>
      <c r="H66" s="425">
        <v>18</v>
      </c>
      <c r="I66" s="423"/>
      <c r="J66" s="742" t="s">
        <v>498</v>
      </c>
      <c r="K66" s="741" t="s">
        <v>527</v>
      </c>
      <c r="L66" s="773">
        <v>0.13</v>
      </c>
      <c r="M66" s="564"/>
      <c r="N66" s="427" t="str">
        <f t="shared" si="0"/>
        <v>INCLUDED</v>
      </c>
      <c r="O66" s="647">
        <f t="shared" si="1"/>
        <v>0</v>
      </c>
      <c r="P66" s="647">
        <f t="shared" si="2"/>
        <v>0</v>
      </c>
      <c r="Q66" s="648">
        <f>Discount!$H$36</f>
        <v>0</v>
      </c>
      <c r="R66" s="648">
        <f t="shared" si="3"/>
        <v>0</v>
      </c>
      <c r="S66" s="648">
        <f t="shared" si="4"/>
        <v>0</v>
      </c>
      <c r="T66" s="649">
        <f t="shared" si="5"/>
        <v>0</v>
      </c>
    </row>
    <row r="67" spans="1:20" ht="16.5">
      <c r="A67" s="646">
        <v>7</v>
      </c>
      <c r="B67" s="425"/>
      <c r="C67" s="425"/>
      <c r="D67" s="425"/>
      <c r="E67" s="778">
        <v>1000010003</v>
      </c>
      <c r="F67" s="425"/>
      <c r="G67" s="422"/>
      <c r="H67" s="425">
        <v>18</v>
      </c>
      <c r="I67" s="423"/>
      <c r="J67" s="402" t="s">
        <v>490</v>
      </c>
      <c r="K67" s="741" t="s">
        <v>528</v>
      </c>
      <c r="L67" s="773">
        <v>8</v>
      </c>
      <c r="M67" s="564"/>
      <c r="N67" s="427" t="str">
        <f t="shared" si="0"/>
        <v>INCLUDED</v>
      </c>
      <c r="O67" s="647">
        <f t="shared" si="1"/>
        <v>0</v>
      </c>
      <c r="P67" s="647">
        <f t="shared" si="2"/>
        <v>0</v>
      </c>
      <c r="Q67" s="648">
        <f>Discount!$H$36</f>
        <v>0</v>
      </c>
      <c r="R67" s="648">
        <f t="shared" si="3"/>
        <v>0</v>
      </c>
      <c r="S67" s="648">
        <f t="shared" si="4"/>
        <v>0</v>
      </c>
      <c r="T67" s="649">
        <f t="shared" si="5"/>
        <v>0</v>
      </c>
    </row>
    <row r="68" spans="1:20" ht="31.5">
      <c r="A68" s="646">
        <v>8</v>
      </c>
      <c r="B68" s="425"/>
      <c r="C68" s="425"/>
      <c r="D68" s="425"/>
      <c r="E68" s="777">
        <v>1000019717</v>
      </c>
      <c r="F68" s="425"/>
      <c r="G68" s="422"/>
      <c r="H68" s="425">
        <v>18</v>
      </c>
      <c r="I68" s="423"/>
      <c r="J68" s="745" t="s">
        <v>564</v>
      </c>
      <c r="K68" s="746" t="s">
        <v>528</v>
      </c>
      <c r="L68" s="773">
        <v>1</v>
      </c>
      <c r="M68" s="564"/>
      <c r="N68" s="427" t="str">
        <f t="shared" si="0"/>
        <v>INCLUDED</v>
      </c>
      <c r="O68" s="647">
        <f t="shared" si="1"/>
        <v>0</v>
      </c>
      <c r="P68" s="647">
        <f t="shared" si="2"/>
        <v>0</v>
      </c>
      <c r="Q68" s="648">
        <f>Discount!$H$36</f>
        <v>0</v>
      </c>
      <c r="R68" s="648">
        <f t="shared" si="3"/>
        <v>0</v>
      </c>
      <c r="S68" s="648">
        <f t="shared" si="4"/>
        <v>0</v>
      </c>
      <c r="T68" s="649">
        <f t="shared" si="5"/>
        <v>0</v>
      </c>
    </row>
    <row r="69" spans="1:20" ht="16.5">
      <c r="A69" s="646">
        <v>9</v>
      </c>
      <c r="B69" s="425"/>
      <c r="C69" s="425"/>
      <c r="D69" s="425"/>
      <c r="E69" s="777">
        <v>1000010539</v>
      </c>
      <c r="F69" s="425"/>
      <c r="G69" s="422"/>
      <c r="H69" s="425">
        <v>18</v>
      </c>
      <c r="I69" s="423"/>
      <c r="J69" s="745" t="s">
        <v>499</v>
      </c>
      <c r="K69" s="746" t="s">
        <v>528</v>
      </c>
      <c r="L69" s="773">
        <v>8</v>
      </c>
      <c r="M69" s="564"/>
      <c r="N69" s="427" t="str">
        <f t="shared" si="0"/>
        <v>INCLUDED</v>
      </c>
      <c r="O69" s="647">
        <f t="shared" si="1"/>
        <v>0</v>
      </c>
      <c r="P69" s="647">
        <f t="shared" si="2"/>
        <v>0</v>
      </c>
      <c r="Q69" s="648">
        <f>Discount!$H$36</f>
        <v>0</v>
      </c>
      <c r="R69" s="648">
        <f t="shared" si="3"/>
        <v>0</v>
      </c>
      <c r="S69" s="648">
        <f t="shared" si="4"/>
        <v>0</v>
      </c>
      <c r="T69" s="649">
        <f t="shared" si="5"/>
        <v>0</v>
      </c>
    </row>
    <row r="70" spans="1:20" ht="16.5">
      <c r="A70" s="646">
        <v>10</v>
      </c>
      <c r="B70" s="425"/>
      <c r="C70" s="425"/>
      <c r="D70" s="425"/>
      <c r="E70" s="777">
        <v>1000015971</v>
      </c>
      <c r="F70" s="425"/>
      <c r="G70" s="422"/>
      <c r="H70" s="425">
        <v>18</v>
      </c>
      <c r="I70" s="423"/>
      <c r="J70" s="745" t="s">
        <v>500</v>
      </c>
      <c r="K70" s="746" t="s">
        <v>528</v>
      </c>
      <c r="L70" s="773">
        <v>8</v>
      </c>
      <c r="M70" s="564"/>
      <c r="N70" s="427" t="str">
        <f t="shared" si="0"/>
        <v>INCLUDED</v>
      </c>
      <c r="O70" s="647">
        <f t="shared" si="1"/>
        <v>0</v>
      </c>
      <c r="P70" s="647">
        <f t="shared" si="2"/>
        <v>0</v>
      </c>
      <c r="Q70" s="648">
        <f>Discount!$H$36</f>
        <v>0</v>
      </c>
      <c r="R70" s="648">
        <f t="shared" si="3"/>
        <v>0</v>
      </c>
      <c r="S70" s="648">
        <f t="shared" si="4"/>
        <v>0</v>
      </c>
      <c r="T70" s="649">
        <f t="shared" si="5"/>
        <v>0</v>
      </c>
    </row>
    <row r="71" spans="1:20" ht="16.5">
      <c r="A71" s="646">
        <v>11</v>
      </c>
      <c r="B71" s="425"/>
      <c r="C71" s="425"/>
      <c r="D71" s="425"/>
      <c r="E71" s="777">
        <v>1000017508</v>
      </c>
      <c r="F71" s="425"/>
      <c r="G71" s="422"/>
      <c r="H71" s="425">
        <v>18</v>
      </c>
      <c r="I71" s="423"/>
      <c r="J71" s="745" t="s">
        <v>501</v>
      </c>
      <c r="K71" s="746" t="s">
        <v>476</v>
      </c>
      <c r="L71" s="773">
        <v>16</v>
      </c>
      <c r="M71" s="564"/>
      <c r="N71" s="427" t="str">
        <f t="shared" si="0"/>
        <v>INCLUDED</v>
      </c>
      <c r="O71" s="647">
        <f t="shared" si="1"/>
        <v>0</v>
      </c>
      <c r="P71" s="647">
        <f t="shared" si="2"/>
        <v>0</v>
      </c>
      <c r="Q71" s="648">
        <f>Discount!$H$36</f>
        <v>0</v>
      </c>
      <c r="R71" s="648">
        <f t="shared" si="3"/>
        <v>0</v>
      </c>
      <c r="S71" s="648">
        <f t="shared" si="4"/>
        <v>0</v>
      </c>
      <c r="T71" s="649">
        <f t="shared" si="5"/>
        <v>0</v>
      </c>
    </row>
    <row r="72" spans="1:20" ht="16.5">
      <c r="A72" s="646">
        <v>12</v>
      </c>
      <c r="B72" s="425"/>
      <c r="C72" s="425"/>
      <c r="D72" s="425"/>
      <c r="E72" s="777">
        <v>1000009119</v>
      </c>
      <c r="F72" s="425"/>
      <c r="G72" s="422"/>
      <c r="H72" s="425">
        <v>18</v>
      </c>
      <c r="I72" s="423"/>
      <c r="J72" s="745" t="s">
        <v>502</v>
      </c>
      <c r="K72" s="746" t="s">
        <v>476</v>
      </c>
      <c r="L72" s="773">
        <v>8</v>
      </c>
      <c r="M72" s="564"/>
      <c r="N72" s="427" t="str">
        <f t="shared" si="0"/>
        <v>INCLUDED</v>
      </c>
      <c r="O72" s="647">
        <f t="shared" si="1"/>
        <v>0</v>
      </c>
      <c r="P72" s="647">
        <f t="shared" si="2"/>
        <v>0</v>
      </c>
      <c r="Q72" s="648">
        <f>Discount!$H$36</f>
        <v>0</v>
      </c>
      <c r="R72" s="648">
        <f t="shared" si="3"/>
        <v>0</v>
      </c>
      <c r="S72" s="648">
        <f t="shared" si="4"/>
        <v>0</v>
      </c>
      <c r="T72" s="649">
        <f t="shared" si="5"/>
        <v>0</v>
      </c>
    </row>
    <row r="73" spans="1:20" ht="16.5">
      <c r="A73" s="646">
        <v>13</v>
      </c>
      <c r="B73" s="425"/>
      <c r="C73" s="425"/>
      <c r="D73" s="425"/>
      <c r="E73" s="777">
        <v>1000006779</v>
      </c>
      <c r="F73" s="425"/>
      <c r="G73" s="422"/>
      <c r="H73" s="425">
        <v>18</v>
      </c>
      <c r="I73" s="423"/>
      <c r="J73" s="745" t="s">
        <v>503</v>
      </c>
      <c r="K73" s="746" t="s">
        <v>476</v>
      </c>
      <c r="L73" s="773">
        <v>8</v>
      </c>
      <c r="M73" s="564"/>
      <c r="N73" s="427" t="str">
        <f t="shared" si="0"/>
        <v>INCLUDED</v>
      </c>
      <c r="O73" s="647">
        <f t="shared" si="1"/>
        <v>0</v>
      </c>
      <c r="P73" s="647">
        <f t="shared" si="2"/>
        <v>0</v>
      </c>
      <c r="Q73" s="648">
        <f>Discount!$H$36</f>
        <v>0</v>
      </c>
      <c r="R73" s="648">
        <f t="shared" si="3"/>
        <v>0</v>
      </c>
      <c r="S73" s="648">
        <f t="shared" si="4"/>
        <v>0</v>
      </c>
      <c r="T73" s="649">
        <f t="shared" si="5"/>
        <v>0</v>
      </c>
    </row>
    <row r="74" spans="1:20" ht="16.5">
      <c r="A74" s="646">
        <v>14</v>
      </c>
      <c r="B74" s="425"/>
      <c r="C74" s="425"/>
      <c r="D74" s="425"/>
      <c r="E74" s="777">
        <v>1000007735</v>
      </c>
      <c r="F74" s="425"/>
      <c r="G74" s="422"/>
      <c r="H74" s="425">
        <v>18</v>
      </c>
      <c r="I74" s="423"/>
      <c r="J74" s="745" t="s">
        <v>504</v>
      </c>
      <c r="K74" s="746" t="s">
        <v>476</v>
      </c>
      <c r="L74" s="773">
        <v>16</v>
      </c>
      <c r="M74" s="564"/>
      <c r="N74" s="427" t="str">
        <f t="shared" si="0"/>
        <v>INCLUDED</v>
      </c>
      <c r="O74" s="647">
        <f t="shared" si="1"/>
        <v>0</v>
      </c>
      <c r="P74" s="647">
        <f t="shared" si="2"/>
        <v>0</v>
      </c>
      <c r="Q74" s="648">
        <f>Discount!$H$36</f>
        <v>0</v>
      </c>
      <c r="R74" s="648">
        <f t="shared" si="3"/>
        <v>0</v>
      </c>
      <c r="S74" s="648">
        <f t="shared" si="4"/>
        <v>0</v>
      </c>
      <c r="T74" s="649">
        <f t="shared" si="5"/>
        <v>0</v>
      </c>
    </row>
    <row r="75" spans="1:20" ht="16.5">
      <c r="A75" s="646">
        <v>15</v>
      </c>
      <c r="B75" s="425"/>
      <c r="C75" s="425"/>
      <c r="D75" s="425"/>
      <c r="E75" s="777">
        <v>1000015503</v>
      </c>
      <c r="F75" s="425"/>
      <c r="G75" s="422"/>
      <c r="H75" s="425">
        <v>18</v>
      </c>
      <c r="I75" s="423"/>
      <c r="J75" s="745" t="s">
        <v>505</v>
      </c>
      <c r="K75" s="741" t="s">
        <v>529</v>
      </c>
      <c r="L75" s="773">
        <v>0</v>
      </c>
      <c r="M75" s="564"/>
      <c r="N75" s="427" t="str">
        <f t="shared" si="0"/>
        <v>INCLUDED</v>
      </c>
      <c r="O75" s="647">
        <f t="shared" si="1"/>
        <v>0</v>
      </c>
      <c r="P75" s="647">
        <f t="shared" si="2"/>
        <v>0</v>
      </c>
      <c r="Q75" s="648">
        <f>Discount!$H$36</f>
        <v>0</v>
      </c>
      <c r="R75" s="648">
        <f t="shared" si="3"/>
        <v>0</v>
      </c>
      <c r="S75" s="648">
        <f t="shared" si="4"/>
        <v>0</v>
      </c>
      <c r="T75" s="649">
        <f t="shared" si="5"/>
        <v>0</v>
      </c>
    </row>
    <row r="76" spans="1:20" ht="16.5">
      <c r="A76" s="646">
        <v>16</v>
      </c>
      <c r="B76" s="425"/>
      <c r="C76" s="425"/>
      <c r="D76" s="425"/>
      <c r="E76" s="777">
        <v>1000018443</v>
      </c>
      <c r="F76" s="425"/>
      <c r="G76" s="422"/>
      <c r="H76" s="425">
        <v>18</v>
      </c>
      <c r="I76" s="423"/>
      <c r="J76" s="745" t="s">
        <v>506</v>
      </c>
      <c r="K76" s="741" t="s">
        <v>529</v>
      </c>
      <c r="L76" s="773">
        <v>0</v>
      </c>
      <c r="M76" s="564"/>
      <c r="N76" s="427" t="str">
        <f t="shared" si="0"/>
        <v>INCLUDED</v>
      </c>
      <c r="O76" s="647">
        <f t="shared" si="1"/>
        <v>0</v>
      </c>
      <c r="P76" s="647">
        <f t="shared" si="2"/>
        <v>0</v>
      </c>
      <c r="Q76" s="648">
        <f>Discount!$H$36</f>
        <v>0</v>
      </c>
      <c r="R76" s="648">
        <f t="shared" si="3"/>
        <v>0</v>
      </c>
      <c r="S76" s="648">
        <f t="shared" si="4"/>
        <v>0</v>
      </c>
      <c r="T76" s="649">
        <f t="shared" si="5"/>
        <v>0</v>
      </c>
    </row>
    <row r="77" spans="1:20" ht="16.5">
      <c r="A77" s="646">
        <v>17</v>
      </c>
      <c r="B77" s="425"/>
      <c r="C77" s="425"/>
      <c r="D77" s="425"/>
      <c r="E77" s="777">
        <v>1000015505</v>
      </c>
      <c r="F77" s="425"/>
      <c r="G77" s="422"/>
      <c r="H77" s="425">
        <v>18</v>
      </c>
      <c r="I77" s="423"/>
      <c r="J77" s="745" t="s">
        <v>507</v>
      </c>
      <c r="K77" s="741" t="s">
        <v>529</v>
      </c>
      <c r="L77" s="773">
        <v>0</v>
      </c>
      <c r="M77" s="564"/>
      <c r="N77" s="427" t="str">
        <f t="shared" si="0"/>
        <v>INCLUDED</v>
      </c>
      <c r="O77" s="647">
        <f t="shared" si="1"/>
        <v>0</v>
      </c>
      <c r="P77" s="647">
        <f t="shared" si="2"/>
        <v>0</v>
      </c>
      <c r="Q77" s="648">
        <f>Discount!$H$36</f>
        <v>0</v>
      </c>
      <c r="R77" s="648">
        <f t="shared" si="3"/>
        <v>0</v>
      </c>
      <c r="S77" s="648">
        <f t="shared" si="4"/>
        <v>0</v>
      </c>
      <c r="T77" s="649">
        <f t="shared" si="5"/>
        <v>0</v>
      </c>
    </row>
    <row r="78" spans="1:20" ht="16.5">
      <c r="A78" s="646">
        <v>18</v>
      </c>
      <c r="B78" s="425"/>
      <c r="C78" s="425"/>
      <c r="D78" s="425"/>
      <c r="E78" s="783">
        <v>1000012299</v>
      </c>
      <c r="F78" s="425"/>
      <c r="G78" s="422"/>
      <c r="H78" s="425">
        <v>18</v>
      </c>
      <c r="I78" s="423"/>
      <c r="J78" s="747" t="s">
        <v>571</v>
      </c>
      <c r="K78" s="741" t="s">
        <v>529</v>
      </c>
      <c r="L78" s="773">
        <v>16</v>
      </c>
      <c r="M78" s="564"/>
      <c r="N78" s="427" t="str">
        <f t="shared" si="0"/>
        <v>INCLUDED</v>
      </c>
      <c r="O78" s="647">
        <f t="shared" si="1"/>
        <v>0</v>
      </c>
      <c r="P78" s="647">
        <f t="shared" si="2"/>
        <v>0</v>
      </c>
      <c r="Q78" s="648">
        <f>Discount!$H$36</f>
        <v>0</v>
      </c>
      <c r="R78" s="648">
        <f t="shared" si="3"/>
        <v>0</v>
      </c>
      <c r="S78" s="648">
        <f t="shared" si="4"/>
        <v>0</v>
      </c>
      <c r="T78" s="649">
        <f t="shared" si="5"/>
        <v>0</v>
      </c>
    </row>
    <row r="79" spans="1:20" ht="16.5">
      <c r="A79" s="646">
        <v>19</v>
      </c>
      <c r="B79" s="425"/>
      <c r="C79" s="425"/>
      <c r="D79" s="425"/>
      <c r="E79" s="783">
        <v>1000028485</v>
      </c>
      <c r="F79" s="425"/>
      <c r="G79" s="422"/>
      <c r="H79" s="425">
        <v>18</v>
      </c>
      <c r="I79" s="423"/>
      <c r="J79" s="747" t="s">
        <v>572</v>
      </c>
      <c r="K79" s="741" t="s">
        <v>529</v>
      </c>
      <c r="L79" s="773">
        <v>16</v>
      </c>
      <c r="M79" s="564"/>
      <c r="N79" s="427" t="str">
        <f t="shared" si="0"/>
        <v>INCLUDED</v>
      </c>
      <c r="O79" s="647">
        <f t="shared" si="1"/>
        <v>0</v>
      </c>
      <c r="P79" s="647">
        <f t="shared" si="2"/>
        <v>0</v>
      </c>
      <c r="Q79" s="648">
        <f>Discount!$H$36</f>
        <v>0</v>
      </c>
      <c r="R79" s="648">
        <f t="shared" si="3"/>
        <v>0</v>
      </c>
      <c r="S79" s="648">
        <f t="shared" si="4"/>
        <v>0</v>
      </c>
      <c r="T79" s="649">
        <f t="shared" si="5"/>
        <v>0</v>
      </c>
    </row>
    <row r="80" spans="1:20" ht="16.5">
      <c r="A80" s="646">
        <v>20</v>
      </c>
      <c r="B80" s="425"/>
      <c r="C80" s="425"/>
      <c r="D80" s="425"/>
      <c r="E80" s="777">
        <v>1000022420</v>
      </c>
      <c r="F80" s="425"/>
      <c r="G80" s="422"/>
      <c r="H80" s="425">
        <v>18</v>
      </c>
      <c r="I80" s="423"/>
      <c r="J80" s="745" t="s">
        <v>510</v>
      </c>
      <c r="K80" s="741" t="s">
        <v>529</v>
      </c>
      <c r="L80" s="773">
        <v>32</v>
      </c>
      <c r="M80" s="564"/>
      <c r="N80" s="427" t="str">
        <f t="shared" si="0"/>
        <v>INCLUDED</v>
      </c>
      <c r="O80" s="647">
        <f t="shared" si="1"/>
        <v>0</v>
      </c>
      <c r="P80" s="647">
        <f t="shared" si="2"/>
        <v>0</v>
      </c>
      <c r="Q80" s="648">
        <f>Discount!$H$36</f>
        <v>0</v>
      </c>
      <c r="R80" s="648">
        <f t="shared" si="3"/>
        <v>0</v>
      </c>
      <c r="S80" s="648">
        <f t="shared" si="4"/>
        <v>0</v>
      </c>
      <c r="T80" s="649">
        <f t="shared" si="5"/>
        <v>0</v>
      </c>
    </row>
    <row r="81" spans="1:20" ht="16.5">
      <c r="A81" s="646">
        <v>21</v>
      </c>
      <c r="B81" s="425"/>
      <c r="C81" s="425"/>
      <c r="D81" s="425"/>
      <c r="E81" s="777">
        <v>1000020447</v>
      </c>
      <c r="F81" s="425"/>
      <c r="G81" s="422"/>
      <c r="H81" s="425">
        <v>18</v>
      </c>
      <c r="I81" s="423"/>
      <c r="J81" s="745" t="s">
        <v>511</v>
      </c>
      <c r="K81" s="741" t="s">
        <v>529</v>
      </c>
      <c r="L81" s="773">
        <v>0</v>
      </c>
      <c r="M81" s="564"/>
      <c r="N81" s="427" t="str">
        <f t="shared" si="0"/>
        <v>INCLUDED</v>
      </c>
      <c r="O81" s="647">
        <f t="shared" si="1"/>
        <v>0</v>
      </c>
      <c r="P81" s="647">
        <f t="shared" si="2"/>
        <v>0</v>
      </c>
      <c r="Q81" s="648">
        <f>Discount!$H$36</f>
        <v>0</v>
      </c>
      <c r="R81" s="648">
        <f t="shared" si="3"/>
        <v>0</v>
      </c>
      <c r="S81" s="648">
        <f t="shared" si="4"/>
        <v>0</v>
      </c>
      <c r="T81" s="649">
        <f t="shared" si="5"/>
        <v>0</v>
      </c>
    </row>
    <row r="82" spans="1:20" ht="16.5">
      <c r="A82" s="646">
        <v>22</v>
      </c>
      <c r="B82" s="425"/>
      <c r="C82" s="425"/>
      <c r="D82" s="425"/>
      <c r="E82" s="777">
        <v>1000020991</v>
      </c>
      <c r="F82" s="425"/>
      <c r="G82" s="422"/>
      <c r="H82" s="425">
        <v>18</v>
      </c>
      <c r="I82" s="423"/>
      <c r="J82" s="745" t="s">
        <v>512</v>
      </c>
      <c r="K82" s="741" t="s">
        <v>529</v>
      </c>
      <c r="L82" s="773">
        <v>16</v>
      </c>
      <c r="M82" s="564"/>
      <c r="N82" s="427" t="str">
        <f t="shared" si="0"/>
        <v>INCLUDED</v>
      </c>
      <c r="O82" s="647">
        <f t="shared" si="1"/>
        <v>0</v>
      </c>
      <c r="P82" s="647">
        <f t="shared" si="2"/>
        <v>0</v>
      </c>
      <c r="Q82" s="648">
        <f>Discount!$H$36</f>
        <v>0</v>
      </c>
      <c r="R82" s="648">
        <f t="shared" si="3"/>
        <v>0</v>
      </c>
      <c r="S82" s="648">
        <f t="shared" si="4"/>
        <v>0</v>
      </c>
      <c r="T82" s="649">
        <f t="shared" si="5"/>
        <v>0</v>
      </c>
    </row>
    <row r="83" spans="1:20" ht="16.5">
      <c r="A83" s="646">
        <v>23</v>
      </c>
      <c r="B83" s="425"/>
      <c r="C83" s="425"/>
      <c r="D83" s="425"/>
      <c r="E83" s="777">
        <v>1000019809</v>
      </c>
      <c r="F83" s="425"/>
      <c r="G83" s="422"/>
      <c r="H83" s="425">
        <v>18</v>
      </c>
      <c r="I83" s="423"/>
      <c r="J83" s="745" t="s">
        <v>513</v>
      </c>
      <c r="K83" s="746" t="s">
        <v>476</v>
      </c>
      <c r="L83" s="773">
        <v>0</v>
      </c>
      <c r="M83" s="564"/>
      <c r="N83" s="427" t="str">
        <f t="shared" ref="N83:N102" si="6">IF(M83=0, "INCLUDED", IF(ISERROR(M83*L83), M83, M83*L83))</f>
        <v>INCLUDED</v>
      </c>
      <c r="O83" s="647">
        <f t="shared" ref="O83:O102" si="7">IF(N83="Included",0,N83)</f>
        <v>0</v>
      </c>
      <c r="P83" s="647">
        <f t="shared" ref="P83:P102" si="8">IF( I83="",H83*(IF(N83="Included",0,N83))/100,I83*(IF(N83="Included",0,N83)))</f>
        <v>0</v>
      </c>
      <c r="Q83" s="648">
        <f>Discount!$H$36</f>
        <v>0</v>
      </c>
      <c r="R83" s="648">
        <f t="shared" ref="R83:R102" si="9">Q83*O83</f>
        <v>0</v>
      </c>
      <c r="S83" s="648">
        <f t="shared" ref="S83:S102" si="10">IF(I83="",H83*R83/100,I83*R83)</f>
        <v>0</v>
      </c>
      <c r="T83" s="649">
        <f t="shared" ref="T83:T102" si="11">M83*L83</f>
        <v>0</v>
      </c>
    </row>
    <row r="84" spans="1:20" ht="16.5">
      <c r="A84" s="646">
        <v>24</v>
      </c>
      <c r="B84" s="425"/>
      <c r="C84" s="425"/>
      <c r="D84" s="425"/>
      <c r="E84" s="777">
        <v>1000019788</v>
      </c>
      <c r="F84" s="425"/>
      <c r="G84" s="422"/>
      <c r="H84" s="425">
        <v>18</v>
      </c>
      <c r="I84" s="423"/>
      <c r="J84" s="745" t="s">
        <v>514</v>
      </c>
      <c r="K84" s="746" t="s">
        <v>476</v>
      </c>
      <c r="L84" s="773">
        <v>6</v>
      </c>
      <c r="M84" s="564"/>
      <c r="N84" s="427" t="str">
        <f t="shared" si="6"/>
        <v>INCLUDED</v>
      </c>
      <c r="O84" s="647">
        <f t="shared" si="7"/>
        <v>0</v>
      </c>
      <c r="P84" s="647">
        <f t="shared" si="8"/>
        <v>0</v>
      </c>
      <c r="Q84" s="648">
        <f>Discount!$H$36</f>
        <v>0</v>
      </c>
      <c r="R84" s="648">
        <f t="shared" si="9"/>
        <v>0</v>
      </c>
      <c r="S84" s="648">
        <f t="shared" si="10"/>
        <v>0</v>
      </c>
      <c r="T84" s="649">
        <f t="shared" si="11"/>
        <v>0</v>
      </c>
    </row>
    <row r="85" spans="1:20" ht="16.5">
      <c r="A85" s="646">
        <v>25</v>
      </c>
      <c r="B85" s="425"/>
      <c r="C85" s="425"/>
      <c r="D85" s="425"/>
      <c r="E85" s="777">
        <v>1000010800</v>
      </c>
      <c r="F85" s="425"/>
      <c r="G85" s="422"/>
      <c r="H85" s="425">
        <v>18</v>
      </c>
      <c r="I85" s="423"/>
      <c r="J85" s="745" t="s">
        <v>515</v>
      </c>
      <c r="K85" s="746" t="s">
        <v>476</v>
      </c>
      <c r="L85" s="773">
        <v>192</v>
      </c>
      <c r="M85" s="564"/>
      <c r="N85" s="427" t="str">
        <f t="shared" si="6"/>
        <v>INCLUDED</v>
      </c>
      <c r="O85" s="647">
        <f t="shared" si="7"/>
        <v>0</v>
      </c>
      <c r="P85" s="647">
        <f t="shared" si="8"/>
        <v>0</v>
      </c>
      <c r="Q85" s="648">
        <f>Discount!$H$36</f>
        <v>0</v>
      </c>
      <c r="R85" s="648">
        <f t="shared" si="9"/>
        <v>0</v>
      </c>
      <c r="S85" s="648">
        <f t="shared" si="10"/>
        <v>0</v>
      </c>
      <c r="T85" s="649">
        <f t="shared" si="11"/>
        <v>0</v>
      </c>
    </row>
    <row r="86" spans="1:20" ht="16.5">
      <c r="A86" s="646">
        <v>26</v>
      </c>
      <c r="B86" s="425"/>
      <c r="C86" s="425"/>
      <c r="D86" s="425"/>
      <c r="E86" s="777">
        <v>1000022431</v>
      </c>
      <c r="F86" s="425"/>
      <c r="G86" s="422"/>
      <c r="H86" s="425">
        <v>18</v>
      </c>
      <c r="I86" s="423"/>
      <c r="J86" s="745" t="s">
        <v>516</v>
      </c>
      <c r="K86" s="741" t="s">
        <v>529</v>
      </c>
      <c r="L86" s="773">
        <v>384</v>
      </c>
      <c r="M86" s="564"/>
      <c r="N86" s="427" t="str">
        <f t="shared" si="6"/>
        <v>INCLUDED</v>
      </c>
      <c r="O86" s="647">
        <f t="shared" si="7"/>
        <v>0</v>
      </c>
      <c r="P86" s="647">
        <f t="shared" si="8"/>
        <v>0</v>
      </c>
      <c r="Q86" s="648">
        <f>Discount!$H$36</f>
        <v>0</v>
      </c>
      <c r="R86" s="648">
        <f t="shared" si="9"/>
        <v>0</v>
      </c>
      <c r="S86" s="648">
        <f t="shared" si="10"/>
        <v>0</v>
      </c>
      <c r="T86" s="649">
        <f t="shared" si="11"/>
        <v>0</v>
      </c>
    </row>
    <row r="87" spans="1:20" ht="16.5">
      <c r="A87" s="646">
        <v>27</v>
      </c>
      <c r="B87" s="425"/>
      <c r="C87" s="425"/>
      <c r="D87" s="425"/>
      <c r="E87" s="777">
        <v>1000007935</v>
      </c>
      <c r="F87" s="425"/>
      <c r="G87" s="422"/>
      <c r="H87" s="425">
        <v>18</v>
      </c>
      <c r="I87" s="423"/>
      <c r="J87" s="745" t="s">
        <v>517</v>
      </c>
      <c r="K87" s="741" t="s">
        <v>529</v>
      </c>
      <c r="L87" s="773">
        <v>201.26</v>
      </c>
      <c r="M87" s="564"/>
      <c r="N87" s="427" t="str">
        <f t="shared" si="6"/>
        <v>INCLUDED</v>
      </c>
      <c r="O87" s="647">
        <f t="shared" si="7"/>
        <v>0</v>
      </c>
      <c r="P87" s="647">
        <f t="shared" si="8"/>
        <v>0</v>
      </c>
      <c r="Q87" s="648">
        <f>Discount!$H$36</f>
        <v>0</v>
      </c>
      <c r="R87" s="648">
        <f t="shared" si="9"/>
        <v>0</v>
      </c>
      <c r="S87" s="648">
        <f t="shared" si="10"/>
        <v>0</v>
      </c>
      <c r="T87" s="649">
        <f t="shared" si="11"/>
        <v>0</v>
      </c>
    </row>
    <row r="88" spans="1:20" ht="16.5">
      <c r="A88" s="646">
        <v>28</v>
      </c>
      <c r="B88" s="425"/>
      <c r="C88" s="425"/>
      <c r="D88" s="425"/>
      <c r="E88" s="777">
        <v>1000018559</v>
      </c>
      <c r="F88" s="425"/>
      <c r="G88" s="422"/>
      <c r="H88" s="425">
        <v>18</v>
      </c>
      <c r="I88" s="423"/>
      <c r="J88" s="745" t="s">
        <v>518</v>
      </c>
      <c r="K88" s="741" t="s">
        <v>529</v>
      </c>
      <c r="L88" s="773">
        <v>192</v>
      </c>
      <c r="M88" s="564"/>
      <c r="N88" s="427" t="str">
        <f t="shared" si="6"/>
        <v>INCLUDED</v>
      </c>
      <c r="O88" s="647">
        <f t="shared" si="7"/>
        <v>0</v>
      </c>
      <c r="P88" s="647">
        <f t="shared" si="8"/>
        <v>0</v>
      </c>
      <c r="Q88" s="648">
        <f>Discount!$H$36</f>
        <v>0</v>
      </c>
      <c r="R88" s="648">
        <f t="shared" si="9"/>
        <v>0</v>
      </c>
      <c r="S88" s="648">
        <f t="shared" si="10"/>
        <v>0</v>
      </c>
      <c r="T88" s="649">
        <f t="shared" si="11"/>
        <v>0</v>
      </c>
    </row>
    <row r="89" spans="1:20" ht="16.5">
      <c r="A89" s="646">
        <v>29</v>
      </c>
      <c r="B89" s="425"/>
      <c r="C89" s="425"/>
      <c r="D89" s="425"/>
      <c r="E89" s="777">
        <v>1000030860</v>
      </c>
      <c r="F89" s="425"/>
      <c r="G89" s="422"/>
      <c r="H89" s="425">
        <v>18</v>
      </c>
      <c r="I89" s="423"/>
      <c r="J89" s="745" t="s">
        <v>519</v>
      </c>
      <c r="K89" s="741" t="s">
        <v>530</v>
      </c>
      <c r="L89" s="773">
        <v>32.53</v>
      </c>
      <c r="M89" s="564"/>
      <c r="N89" s="427" t="str">
        <f t="shared" si="6"/>
        <v>INCLUDED</v>
      </c>
      <c r="O89" s="647">
        <f t="shared" si="7"/>
        <v>0</v>
      </c>
      <c r="P89" s="647">
        <f t="shared" si="8"/>
        <v>0</v>
      </c>
      <c r="Q89" s="648">
        <f>Discount!$H$36</f>
        <v>0</v>
      </c>
      <c r="R89" s="648">
        <f t="shared" si="9"/>
        <v>0</v>
      </c>
      <c r="S89" s="648">
        <f t="shared" si="10"/>
        <v>0</v>
      </c>
      <c r="T89" s="649">
        <f t="shared" si="11"/>
        <v>0</v>
      </c>
    </row>
    <row r="90" spans="1:20" ht="16.5">
      <c r="A90" s="646">
        <v>30</v>
      </c>
      <c r="B90" s="425"/>
      <c r="C90" s="425"/>
      <c r="D90" s="425"/>
      <c r="E90" s="777">
        <v>1000030841</v>
      </c>
      <c r="F90" s="425"/>
      <c r="G90" s="422"/>
      <c r="H90" s="425">
        <v>18</v>
      </c>
      <c r="I90" s="423"/>
      <c r="J90" s="745" t="s">
        <v>520</v>
      </c>
      <c r="K90" s="741" t="s">
        <v>530</v>
      </c>
      <c r="L90" s="773">
        <v>2.63</v>
      </c>
      <c r="M90" s="564"/>
      <c r="N90" s="427" t="str">
        <f t="shared" si="6"/>
        <v>INCLUDED</v>
      </c>
      <c r="O90" s="647">
        <f t="shared" si="7"/>
        <v>0</v>
      </c>
      <c r="P90" s="647">
        <f t="shared" si="8"/>
        <v>0</v>
      </c>
      <c r="Q90" s="648">
        <f>Discount!$H$36</f>
        <v>0</v>
      </c>
      <c r="R90" s="648">
        <f t="shared" si="9"/>
        <v>0</v>
      </c>
      <c r="S90" s="648">
        <f t="shared" si="10"/>
        <v>0</v>
      </c>
      <c r="T90" s="649">
        <f t="shared" si="11"/>
        <v>0</v>
      </c>
    </row>
    <row r="91" spans="1:20" ht="16.5">
      <c r="A91" s="646">
        <v>31</v>
      </c>
      <c r="B91" s="425"/>
      <c r="C91" s="425"/>
      <c r="D91" s="425"/>
      <c r="E91" s="777">
        <v>1000009325</v>
      </c>
      <c r="F91" s="425"/>
      <c r="G91" s="422"/>
      <c r="H91" s="425">
        <v>18</v>
      </c>
      <c r="I91" s="423"/>
      <c r="J91" s="742" t="s">
        <v>486</v>
      </c>
      <c r="K91" s="741" t="s">
        <v>531</v>
      </c>
      <c r="L91" s="773">
        <v>3</v>
      </c>
      <c r="M91" s="564"/>
      <c r="N91" s="427" t="str">
        <f t="shared" si="6"/>
        <v>INCLUDED</v>
      </c>
      <c r="O91" s="647">
        <f t="shared" si="7"/>
        <v>0</v>
      </c>
      <c r="P91" s="647">
        <f t="shared" si="8"/>
        <v>0</v>
      </c>
      <c r="Q91" s="648">
        <f>Discount!$H$36</f>
        <v>0</v>
      </c>
      <c r="R91" s="648">
        <f t="shared" si="9"/>
        <v>0</v>
      </c>
      <c r="S91" s="648">
        <f t="shared" si="10"/>
        <v>0</v>
      </c>
      <c r="T91" s="649">
        <f t="shared" si="11"/>
        <v>0</v>
      </c>
    </row>
    <row r="92" spans="1:20" ht="16.5">
      <c r="A92" s="646">
        <v>32</v>
      </c>
      <c r="B92" s="425"/>
      <c r="C92" s="425"/>
      <c r="D92" s="425"/>
      <c r="E92" s="777">
        <v>1000009328</v>
      </c>
      <c r="F92" s="425"/>
      <c r="G92" s="422"/>
      <c r="H92" s="425">
        <v>18</v>
      </c>
      <c r="I92" s="423"/>
      <c r="J92" s="740" t="s">
        <v>487</v>
      </c>
      <c r="K92" s="741" t="s">
        <v>531</v>
      </c>
      <c r="L92" s="773">
        <v>192</v>
      </c>
      <c r="M92" s="564"/>
      <c r="N92" s="427" t="str">
        <f t="shared" si="6"/>
        <v>INCLUDED</v>
      </c>
      <c r="O92" s="647">
        <f t="shared" si="7"/>
        <v>0</v>
      </c>
      <c r="P92" s="647">
        <f t="shared" si="8"/>
        <v>0</v>
      </c>
      <c r="Q92" s="648">
        <f>Discount!$H$36</f>
        <v>0</v>
      </c>
      <c r="R92" s="648">
        <f t="shared" si="9"/>
        <v>0</v>
      </c>
      <c r="S92" s="648">
        <f t="shared" si="10"/>
        <v>0</v>
      </c>
      <c r="T92" s="649">
        <f t="shared" si="11"/>
        <v>0</v>
      </c>
    </row>
    <row r="93" spans="1:20" ht="16.5">
      <c r="A93" s="646">
        <v>33</v>
      </c>
      <c r="B93" s="425"/>
      <c r="C93" s="425"/>
      <c r="D93" s="425"/>
      <c r="E93" s="777">
        <v>1000019903</v>
      </c>
      <c r="F93" s="425"/>
      <c r="G93" s="422"/>
      <c r="H93" s="425">
        <v>18</v>
      </c>
      <c r="I93" s="423"/>
      <c r="J93" s="745" t="s">
        <v>521</v>
      </c>
      <c r="K93" s="741" t="s">
        <v>532</v>
      </c>
      <c r="L93" s="751">
        <v>14</v>
      </c>
      <c r="M93" s="564"/>
      <c r="N93" s="427" t="str">
        <f t="shared" si="6"/>
        <v>INCLUDED</v>
      </c>
      <c r="O93" s="647">
        <f t="shared" si="7"/>
        <v>0</v>
      </c>
      <c r="P93" s="647">
        <f t="shared" si="8"/>
        <v>0</v>
      </c>
      <c r="Q93" s="648">
        <f>Discount!$H$36</f>
        <v>0</v>
      </c>
      <c r="R93" s="648">
        <f t="shared" si="9"/>
        <v>0</v>
      </c>
      <c r="S93" s="648">
        <f t="shared" si="10"/>
        <v>0</v>
      </c>
      <c r="T93" s="649">
        <f t="shared" si="11"/>
        <v>0</v>
      </c>
    </row>
    <row r="94" spans="1:20" ht="16.5">
      <c r="A94" s="646">
        <v>34</v>
      </c>
      <c r="B94" s="425"/>
      <c r="C94" s="425"/>
      <c r="D94" s="425"/>
      <c r="E94" s="777">
        <v>1000016663</v>
      </c>
      <c r="F94" s="425"/>
      <c r="G94" s="422"/>
      <c r="H94" s="425">
        <v>18</v>
      </c>
      <c r="I94" s="423"/>
      <c r="J94" s="740" t="s">
        <v>485</v>
      </c>
      <c r="K94" s="741" t="s">
        <v>533</v>
      </c>
      <c r="L94" s="751">
        <v>8</v>
      </c>
      <c r="M94" s="564"/>
      <c r="N94" s="427" t="str">
        <f t="shared" si="6"/>
        <v>INCLUDED</v>
      </c>
      <c r="O94" s="647">
        <f t="shared" si="7"/>
        <v>0</v>
      </c>
      <c r="P94" s="647">
        <f t="shared" si="8"/>
        <v>0</v>
      </c>
      <c r="Q94" s="648">
        <f>Discount!$H$36</f>
        <v>0</v>
      </c>
      <c r="R94" s="648">
        <f t="shared" si="9"/>
        <v>0</v>
      </c>
      <c r="S94" s="648">
        <f t="shared" si="10"/>
        <v>0</v>
      </c>
      <c r="T94" s="649">
        <f t="shared" si="11"/>
        <v>0</v>
      </c>
    </row>
    <row r="95" spans="1:20" ht="16.5">
      <c r="A95" s="646">
        <v>35</v>
      </c>
      <c r="B95" s="425"/>
      <c r="C95" s="425"/>
      <c r="D95" s="425"/>
      <c r="E95" s="779">
        <v>1000030940</v>
      </c>
      <c r="F95" s="425"/>
      <c r="G95" s="422"/>
      <c r="H95" s="425">
        <v>18</v>
      </c>
      <c r="I95" s="423"/>
      <c r="J95" s="748" t="s">
        <v>481</v>
      </c>
      <c r="K95" s="402" t="s">
        <v>534</v>
      </c>
      <c r="L95" s="751">
        <v>2.63</v>
      </c>
      <c r="M95" s="564"/>
      <c r="N95" s="427" t="str">
        <f t="shared" si="6"/>
        <v>INCLUDED</v>
      </c>
      <c r="O95" s="647">
        <f t="shared" si="7"/>
        <v>0</v>
      </c>
      <c r="P95" s="647">
        <f t="shared" si="8"/>
        <v>0</v>
      </c>
      <c r="Q95" s="648">
        <f>Discount!$H$36</f>
        <v>0</v>
      </c>
      <c r="R95" s="648">
        <f t="shared" si="9"/>
        <v>0</v>
      </c>
      <c r="S95" s="648">
        <f t="shared" si="10"/>
        <v>0</v>
      </c>
      <c r="T95" s="649">
        <f t="shared" si="11"/>
        <v>0</v>
      </c>
    </row>
    <row r="96" spans="1:20" ht="16.5">
      <c r="A96" s="646">
        <v>36</v>
      </c>
      <c r="B96" s="425"/>
      <c r="C96" s="425"/>
      <c r="D96" s="425"/>
      <c r="E96" s="780">
        <v>1000020444</v>
      </c>
      <c r="F96" s="425"/>
      <c r="G96" s="422"/>
      <c r="H96" s="425">
        <v>18</v>
      </c>
      <c r="I96" s="423"/>
      <c r="J96" s="749" t="s">
        <v>522</v>
      </c>
      <c r="K96" s="402" t="s">
        <v>528</v>
      </c>
      <c r="L96" s="751">
        <v>0</v>
      </c>
      <c r="M96" s="564"/>
      <c r="N96" s="427" t="str">
        <f t="shared" si="6"/>
        <v>INCLUDED</v>
      </c>
      <c r="O96" s="647">
        <f t="shared" si="7"/>
        <v>0</v>
      </c>
      <c r="P96" s="647">
        <f t="shared" si="8"/>
        <v>0</v>
      </c>
      <c r="Q96" s="648">
        <f>Discount!$H$36</f>
        <v>0</v>
      </c>
      <c r="R96" s="648">
        <f t="shared" si="9"/>
        <v>0</v>
      </c>
      <c r="S96" s="648">
        <f t="shared" si="10"/>
        <v>0</v>
      </c>
      <c r="T96" s="649">
        <f t="shared" si="11"/>
        <v>0</v>
      </c>
    </row>
    <row r="97" spans="1:20" ht="31.5">
      <c r="A97" s="646">
        <v>37</v>
      </c>
      <c r="B97" s="425"/>
      <c r="C97" s="425"/>
      <c r="D97" s="425"/>
      <c r="E97" s="781">
        <v>1000031039</v>
      </c>
      <c r="F97" s="425"/>
      <c r="G97" s="422"/>
      <c r="H97" s="425">
        <v>18</v>
      </c>
      <c r="I97" s="423"/>
      <c r="J97" s="748" t="s">
        <v>523</v>
      </c>
      <c r="K97" s="402" t="s">
        <v>476</v>
      </c>
      <c r="L97" s="751">
        <v>16</v>
      </c>
      <c r="M97" s="564"/>
      <c r="N97" s="427" t="str">
        <f t="shared" si="6"/>
        <v>INCLUDED</v>
      </c>
      <c r="O97" s="647">
        <f t="shared" si="7"/>
        <v>0</v>
      </c>
      <c r="P97" s="647">
        <f t="shared" si="8"/>
        <v>0</v>
      </c>
      <c r="Q97" s="648">
        <f>Discount!$H$36</f>
        <v>0</v>
      </c>
      <c r="R97" s="648">
        <f t="shared" si="9"/>
        <v>0</v>
      </c>
      <c r="S97" s="648">
        <f t="shared" si="10"/>
        <v>0</v>
      </c>
      <c r="T97" s="649">
        <f t="shared" si="11"/>
        <v>0</v>
      </c>
    </row>
    <row r="98" spans="1:20" ht="16.5">
      <c r="A98" s="646">
        <v>38</v>
      </c>
      <c r="B98" s="425"/>
      <c r="C98" s="425"/>
      <c r="D98" s="425"/>
      <c r="E98" s="781">
        <v>1000033146</v>
      </c>
      <c r="F98" s="425"/>
      <c r="G98" s="422"/>
      <c r="H98" s="425">
        <v>18</v>
      </c>
      <c r="I98" s="423"/>
      <c r="J98" s="748" t="s">
        <v>524</v>
      </c>
      <c r="K98" s="402" t="s">
        <v>476</v>
      </c>
      <c r="L98" s="751">
        <v>0</v>
      </c>
      <c r="M98" s="564"/>
      <c r="N98" s="427" t="str">
        <f t="shared" si="6"/>
        <v>INCLUDED</v>
      </c>
      <c r="O98" s="647">
        <f t="shared" si="7"/>
        <v>0</v>
      </c>
      <c r="P98" s="647">
        <f t="shared" si="8"/>
        <v>0</v>
      </c>
      <c r="Q98" s="648">
        <f>Discount!$H$36</f>
        <v>0</v>
      </c>
      <c r="R98" s="648">
        <f t="shared" si="9"/>
        <v>0</v>
      </c>
      <c r="S98" s="648">
        <f t="shared" si="10"/>
        <v>0</v>
      </c>
      <c r="T98" s="649">
        <f t="shared" si="11"/>
        <v>0</v>
      </c>
    </row>
    <row r="99" spans="1:20" ht="31.5">
      <c r="A99" s="646">
        <v>39</v>
      </c>
      <c r="B99" s="425"/>
      <c r="C99" s="425"/>
      <c r="D99" s="425"/>
      <c r="E99" s="781">
        <v>1000031041</v>
      </c>
      <c r="F99" s="425"/>
      <c r="G99" s="422"/>
      <c r="H99" s="425">
        <v>18</v>
      </c>
      <c r="I99" s="423"/>
      <c r="J99" s="748" t="s">
        <v>525</v>
      </c>
      <c r="K99" s="402" t="s">
        <v>476</v>
      </c>
      <c r="L99" s="751">
        <v>0</v>
      </c>
      <c r="M99" s="564"/>
      <c r="N99" s="427" t="str">
        <f t="shared" si="6"/>
        <v>INCLUDED</v>
      </c>
      <c r="O99" s="647">
        <f t="shared" si="7"/>
        <v>0</v>
      </c>
      <c r="P99" s="647">
        <f t="shared" si="8"/>
        <v>0</v>
      </c>
      <c r="Q99" s="648">
        <f>Discount!$H$36</f>
        <v>0</v>
      </c>
      <c r="R99" s="648">
        <f t="shared" si="9"/>
        <v>0</v>
      </c>
      <c r="S99" s="648">
        <f t="shared" si="10"/>
        <v>0</v>
      </c>
      <c r="T99" s="649">
        <f t="shared" si="11"/>
        <v>0</v>
      </c>
    </row>
    <row r="100" spans="1:20" ht="16.5">
      <c r="A100" s="646">
        <v>40</v>
      </c>
      <c r="B100" s="425"/>
      <c r="C100" s="425"/>
      <c r="D100" s="425"/>
      <c r="E100" s="781">
        <v>1000022417</v>
      </c>
      <c r="F100" s="425"/>
      <c r="G100" s="422"/>
      <c r="H100" s="425">
        <v>18</v>
      </c>
      <c r="I100" s="423"/>
      <c r="J100" s="748" t="s">
        <v>482</v>
      </c>
      <c r="K100" s="402" t="s">
        <v>528</v>
      </c>
      <c r="L100" s="751">
        <v>32</v>
      </c>
      <c r="M100" s="564"/>
      <c r="N100" s="427" t="str">
        <f t="shared" si="6"/>
        <v>INCLUDED</v>
      </c>
      <c r="O100" s="647">
        <f t="shared" si="7"/>
        <v>0</v>
      </c>
      <c r="P100" s="647">
        <f t="shared" si="8"/>
        <v>0</v>
      </c>
      <c r="Q100" s="648">
        <f>Discount!$H$36</f>
        <v>0</v>
      </c>
      <c r="R100" s="648">
        <f t="shared" si="9"/>
        <v>0</v>
      </c>
      <c r="S100" s="648">
        <f t="shared" si="10"/>
        <v>0</v>
      </c>
      <c r="T100" s="649">
        <f t="shared" si="11"/>
        <v>0</v>
      </c>
    </row>
    <row r="101" spans="1:20" ht="16.5">
      <c r="A101" s="646">
        <v>41</v>
      </c>
      <c r="B101" s="425"/>
      <c r="C101" s="425"/>
      <c r="D101" s="425"/>
      <c r="E101" s="781">
        <v>1000010817</v>
      </c>
      <c r="F101" s="425"/>
      <c r="G101" s="422"/>
      <c r="H101" s="425">
        <v>18</v>
      </c>
      <c r="I101" s="423"/>
      <c r="J101" s="748" t="s">
        <v>526</v>
      </c>
      <c r="K101" s="402" t="s">
        <v>528</v>
      </c>
      <c r="L101" s="751">
        <v>0</v>
      </c>
      <c r="M101" s="564"/>
      <c r="N101" s="427" t="str">
        <f t="shared" si="6"/>
        <v>INCLUDED</v>
      </c>
      <c r="O101" s="647">
        <f t="shared" si="7"/>
        <v>0</v>
      </c>
      <c r="P101" s="647">
        <f t="shared" si="8"/>
        <v>0</v>
      </c>
      <c r="Q101" s="648">
        <f>Discount!$H$36</f>
        <v>0</v>
      </c>
      <c r="R101" s="648">
        <f t="shared" si="9"/>
        <v>0</v>
      </c>
      <c r="S101" s="648">
        <f t="shared" si="10"/>
        <v>0</v>
      </c>
      <c r="T101" s="649">
        <f t="shared" si="11"/>
        <v>0</v>
      </c>
    </row>
    <row r="102" spans="1:20" ht="16.5">
      <c r="A102" s="646">
        <v>42</v>
      </c>
      <c r="B102" s="425"/>
      <c r="C102" s="425"/>
      <c r="D102" s="425"/>
      <c r="E102" s="781">
        <v>1000014198</v>
      </c>
      <c r="F102" s="425"/>
      <c r="G102" s="422"/>
      <c r="H102" s="425">
        <v>18</v>
      </c>
      <c r="I102" s="423"/>
      <c r="J102" s="750" t="s">
        <v>483</v>
      </c>
      <c r="K102" s="402" t="s">
        <v>528</v>
      </c>
      <c r="L102" s="751">
        <v>0</v>
      </c>
      <c r="M102" s="564"/>
      <c r="N102" s="427" t="str">
        <f t="shared" si="6"/>
        <v>INCLUDED</v>
      </c>
      <c r="O102" s="647">
        <f t="shared" si="7"/>
        <v>0</v>
      </c>
      <c r="P102" s="647">
        <f t="shared" si="8"/>
        <v>0</v>
      </c>
      <c r="Q102" s="648">
        <f>Discount!$H$36</f>
        <v>0</v>
      </c>
      <c r="R102" s="648">
        <f t="shared" si="9"/>
        <v>0</v>
      </c>
      <c r="S102" s="648">
        <f t="shared" si="10"/>
        <v>0</v>
      </c>
      <c r="T102" s="649">
        <f t="shared" si="11"/>
        <v>0</v>
      </c>
    </row>
    <row r="103" spans="1:20" ht="34.5" customHeight="1">
      <c r="A103" s="858"/>
      <c r="B103" s="859"/>
      <c r="C103" s="859"/>
      <c r="D103" s="859"/>
      <c r="E103" s="859"/>
      <c r="F103" s="859"/>
      <c r="G103" s="859"/>
      <c r="H103" s="859"/>
      <c r="I103" s="859"/>
      <c r="J103" s="859"/>
      <c r="K103" s="859"/>
      <c r="L103" s="859"/>
      <c r="M103" s="859"/>
      <c r="N103" s="860"/>
      <c r="O103" s="647"/>
      <c r="P103" s="647"/>
      <c r="Q103" s="647"/>
      <c r="R103" s="648"/>
      <c r="S103" s="648"/>
      <c r="T103" s="649"/>
    </row>
    <row r="104" spans="1:20" ht="16.5" customHeight="1">
      <c r="A104" s="853" t="s">
        <v>461</v>
      </c>
      <c r="B104" s="853"/>
      <c r="C104" s="853"/>
      <c r="D104" s="853"/>
      <c r="E104" s="853"/>
      <c r="F104" s="853"/>
      <c r="G104" s="853"/>
      <c r="H104" s="853"/>
      <c r="I104" s="853"/>
      <c r="J104" s="853"/>
      <c r="K104" s="853"/>
      <c r="L104" s="853"/>
      <c r="M104" s="853"/>
      <c r="N104" s="651">
        <f>SUM(N18:N102)</f>
        <v>0</v>
      </c>
      <c r="O104" s="652"/>
      <c r="P104" s="653">
        <f>SUM(P18:P102)</f>
        <v>0</v>
      </c>
      <c r="Q104" s="654"/>
      <c r="R104" s="655">
        <f>SUM(R18:R102)</f>
        <v>0</v>
      </c>
      <c r="S104" s="656">
        <f>SUM(S18:S102)</f>
        <v>0</v>
      </c>
      <c r="T104" s="649">
        <f>SUM(T18:T102)</f>
        <v>0</v>
      </c>
    </row>
    <row r="105" spans="1:20" ht="16.5">
      <c r="A105" s="853" t="s">
        <v>264</v>
      </c>
      <c r="B105" s="853"/>
      <c r="C105" s="853"/>
      <c r="D105" s="853"/>
      <c r="E105" s="853"/>
      <c r="F105" s="853"/>
      <c r="G105" s="853"/>
      <c r="H105" s="853"/>
      <c r="I105" s="853"/>
      <c r="J105" s="853"/>
      <c r="K105" s="853"/>
      <c r="L105" s="853"/>
      <c r="M105" s="853"/>
      <c r="N105" s="651">
        <f>'Sch-7'!M18</f>
        <v>0</v>
      </c>
      <c r="Q105" s="657"/>
      <c r="R105" s="657"/>
      <c r="S105" s="657"/>
    </row>
    <row r="106" spans="1:20" ht="16.5">
      <c r="A106" s="853" t="s">
        <v>462</v>
      </c>
      <c r="B106" s="853"/>
      <c r="C106" s="853"/>
      <c r="D106" s="853"/>
      <c r="E106" s="853"/>
      <c r="F106" s="853"/>
      <c r="G106" s="853"/>
      <c r="H106" s="853"/>
      <c r="I106" s="853"/>
      <c r="J106" s="853"/>
      <c r="K106" s="853"/>
      <c r="L106" s="853"/>
      <c r="M106" s="853"/>
      <c r="N106" s="651">
        <f>N104+N105</f>
        <v>0</v>
      </c>
      <c r="Q106" s="657"/>
      <c r="R106" s="657"/>
      <c r="S106" s="657"/>
    </row>
    <row r="107" spans="1:20" ht="32.25" customHeight="1">
      <c r="B107" s="855" t="s">
        <v>301</v>
      </c>
      <c r="C107" s="855"/>
      <c r="D107" s="855"/>
      <c r="E107" s="855"/>
      <c r="F107" s="855"/>
      <c r="G107" s="855"/>
      <c r="H107" s="855"/>
      <c r="I107" s="855"/>
      <c r="J107" s="855"/>
      <c r="K107" s="855"/>
      <c r="L107" s="855"/>
      <c r="M107" s="855"/>
      <c r="N107" s="855"/>
      <c r="Q107" s="657"/>
      <c r="R107" s="657"/>
      <c r="S107" s="657"/>
    </row>
    <row r="108" spans="1:20">
      <c r="H108" s="616"/>
      <c r="O108" s="657"/>
      <c r="P108" s="657"/>
      <c r="Q108" s="657"/>
      <c r="R108" s="657"/>
      <c r="S108" s="657"/>
    </row>
    <row r="109" spans="1:20" ht="16.5">
      <c r="B109" s="616" t="s">
        <v>306</v>
      </c>
      <c r="C109" s="857" t="str">
        <f>'Names of Bidder'!C22&amp;" "&amp;'Names of Bidder'!D22&amp;" "&amp;'Names of Bidder'!E22</f>
        <v xml:space="preserve">  </v>
      </c>
      <c r="D109" s="854"/>
      <c r="H109" s="616"/>
      <c r="I109" s="658"/>
      <c r="J109" s="618" t="s">
        <v>308</v>
      </c>
      <c r="K109" s="856" t="str">
        <f>IF('Names of Bidder'!C19="","",'Names of Bidder'!C19)</f>
        <v/>
      </c>
      <c r="L109" s="856"/>
      <c r="M109" s="856"/>
      <c r="N109" s="856"/>
      <c r="O109" s="657"/>
      <c r="P109" s="657"/>
      <c r="Q109" s="657"/>
      <c r="R109" s="657"/>
      <c r="S109" s="657"/>
    </row>
    <row r="110" spans="1:20" ht="16.5">
      <c r="B110" s="616" t="s">
        <v>307</v>
      </c>
      <c r="C110" s="854" t="str">
        <f>IF('Names of Bidder'!C23="","",'Names of Bidder'!C23)</f>
        <v/>
      </c>
      <c r="D110" s="854"/>
      <c r="H110" s="616"/>
      <c r="I110" s="658"/>
      <c r="J110" s="618" t="s">
        <v>123</v>
      </c>
      <c r="K110" s="856" t="str">
        <f>IF('Names of Bidder'!C20="","",'Names of Bidder'!C20)</f>
        <v/>
      </c>
      <c r="L110" s="856"/>
      <c r="M110" s="856"/>
      <c r="N110" s="856"/>
      <c r="O110" s="657"/>
      <c r="P110" s="657"/>
      <c r="Q110" s="657"/>
      <c r="R110" s="657"/>
      <c r="S110" s="657"/>
    </row>
    <row r="111" spans="1:20">
      <c r="H111" s="616"/>
      <c r="O111" s="657"/>
      <c r="P111" s="657"/>
      <c r="Q111" s="657"/>
      <c r="R111" s="657"/>
      <c r="S111" s="657"/>
    </row>
    <row r="112" spans="1:20">
      <c r="G112" s="623"/>
      <c r="H112" s="623"/>
      <c r="I112" s="623"/>
    </row>
    <row r="113" spans="7:9">
      <c r="G113" s="623"/>
      <c r="H113" s="623"/>
      <c r="I113" s="623"/>
    </row>
    <row r="114" spans="7:9">
      <c r="G114" s="623"/>
      <c r="H114" s="623"/>
      <c r="I114" s="623"/>
    </row>
    <row r="115" spans="7:9">
      <c r="G115" s="623"/>
      <c r="H115" s="623"/>
      <c r="I115" s="623"/>
    </row>
    <row r="116" spans="7:9">
      <c r="G116" s="623"/>
      <c r="H116" s="623"/>
      <c r="I116" s="623"/>
    </row>
    <row r="117" spans="7:9">
      <c r="G117" s="623"/>
      <c r="H117" s="623"/>
      <c r="I117" s="623"/>
    </row>
    <row r="118" spans="7:9">
      <c r="G118" s="623"/>
      <c r="H118" s="623"/>
      <c r="I118" s="623"/>
    </row>
    <row r="119" spans="7:9">
      <c r="G119" s="623"/>
      <c r="H119" s="623"/>
      <c r="I119" s="623"/>
    </row>
    <row r="120" spans="7:9">
      <c r="G120" s="623"/>
      <c r="H120" s="623"/>
      <c r="I120" s="623"/>
    </row>
    <row r="121" spans="7:9">
      <c r="G121" s="623"/>
      <c r="H121" s="623"/>
      <c r="I121" s="623"/>
    </row>
    <row r="122" spans="7:9">
      <c r="G122" s="623"/>
      <c r="H122" s="623"/>
      <c r="I122" s="623"/>
    </row>
    <row r="123" spans="7:9">
      <c r="G123" s="623"/>
      <c r="H123" s="623"/>
      <c r="I123" s="623"/>
    </row>
    <row r="124" spans="7:9">
      <c r="G124" s="623"/>
      <c r="H124" s="623"/>
      <c r="I124" s="623"/>
    </row>
    <row r="125" spans="7:9">
      <c r="G125" s="623"/>
      <c r="H125" s="623"/>
      <c r="I125" s="623"/>
    </row>
    <row r="126" spans="7:9">
      <c r="G126" s="623"/>
      <c r="H126" s="623"/>
      <c r="I126" s="623"/>
    </row>
    <row r="127" spans="7:9">
      <c r="G127" s="623"/>
      <c r="H127" s="623"/>
      <c r="I127" s="623"/>
    </row>
    <row r="128" spans="7:9">
      <c r="G128" s="623"/>
      <c r="H128" s="623"/>
      <c r="I128" s="623"/>
    </row>
    <row r="129" spans="7:9">
      <c r="G129" s="623"/>
      <c r="H129" s="623"/>
      <c r="I129" s="623"/>
    </row>
    <row r="130" spans="7:9">
      <c r="G130" s="623"/>
      <c r="H130" s="623"/>
      <c r="I130" s="623"/>
    </row>
    <row r="131" spans="7:9">
      <c r="G131" s="623"/>
      <c r="H131" s="623"/>
      <c r="I131" s="623"/>
    </row>
    <row r="132" spans="7:9">
      <c r="G132" s="623"/>
      <c r="H132" s="623"/>
      <c r="I132" s="623"/>
    </row>
    <row r="133" spans="7:9">
      <c r="G133" s="623"/>
      <c r="H133" s="623"/>
      <c r="I133" s="623"/>
    </row>
    <row r="134" spans="7:9">
      <c r="G134" s="623"/>
      <c r="H134" s="623"/>
      <c r="I134" s="623"/>
    </row>
    <row r="135" spans="7:9">
      <c r="G135" s="623"/>
      <c r="H135" s="623"/>
      <c r="I135" s="623"/>
    </row>
    <row r="136" spans="7:9">
      <c r="G136" s="623"/>
      <c r="H136" s="623"/>
      <c r="I136" s="623"/>
    </row>
    <row r="137" spans="7:9">
      <c r="G137" s="623"/>
      <c r="H137" s="623"/>
      <c r="I137" s="623"/>
    </row>
    <row r="138" spans="7:9">
      <c r="G138" s="623"/>
      <c r="H138" s="623"/>
      <c r="I138" s="623"/>
    </row>
    <row r="139" spans="7:9">
      <c r="G139" s="623"/>
      <c r="H139" s="623"/>
      <c r="I139" s="623"/>
    </row>
    <row r="140" spans="7:9">
      <c r="G140" s="623"/>
      <c r="H140" s="623"/>
      <c r="I140" s="623"/>
    </row>
    <row r="141" spans="7:9">
      <c r="G141" s="623"/>
      <c r="H141" s="623"/>
      <c r="I141" s="623"/>
    </row>
    <row r="142" spans="7:9">
      <c r="G142" s="623"/>
      <c r="H142" s="623"/>
      <c r="I142" s="623"/>
    </row>
    <row r="143" spans="7:9">
      <c r="G143" s="623"/>
      <c r="H143" s="623"/>
      <c r="I143" s="623"/>
    </row>
  </sheetData>
  <sheetProtection algorithmName="SHA-512" hashValue="RFG/1vjV5w84Z6KoNnioAuk2c2y9noeyScdzPkYyunevEaOJJ8T++yt/xlWPSStozJPgcla5N/nglLgkaubnhQ==" saltValue="tRxwxu0lGimOqN7EgBLbbA==" spinCount="100000" sheet="1" formatColumns="0" formatRows="0" selectLockedCells="1"/>
  <customSheetViews>
    <customSheetView guid="{ADF3F130-0A37-42E7-A525-50C5A6B01A26}" scale="70" showPageBreaks="1" fitToPage="1" printArea="1" hiddenColumns="1" view="pageBreakPreview">
      <selection activeCell="G18" sqref="G18"/>
      <pageMargins left="0.25" right="0.25" top="0.75" bottom="0.5" header="0.3" footer="0.5"/>
      <printOptions horizontalCentered="1"/>
      <pageSetup paperSize="9" scale="44" fitToHeight="0" orientation="landscape" r:id="rId1"/>
      <headerFooter>
        <oddHeader>&amp;RSchedule-1Page &amp;P of &amp;N</oddHeader>
      </headerFooter>
    </customSheetView>
    <customSheetView guid="{889C3D82-0A24-4765-A688-A80A782F5056}" scale="85" showPageBreaks="1" fitToPage="1" printArea="1" hiddenColumns="1" view="pageBreakPreview">
      <selection activeCell="M26" sqref="M26"/>
      <pageMargins left="0.25" right="0.25" top="0.75" bottom="0.5" header="0.3" footer="0.5"/>
      <printOptions horizontalCentered="1"/>
      <pageSetup paperSize="9" scale="44" fitToHeight="0" orientation="landscape" r:id="rId2"/>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3"/>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4"/>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5"/>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6"/>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&amp;RSchedule-1Page &amp;P of &amp;N</oddHeader>
      </headerFooter>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8"/>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9"/>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10"/>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11"/>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12"/>
      <headerFooter>
        <oddHeader>&amp;RSchedule-1Page &amp;P of &amp;N</oddHeader>
      </headerFooter>
    </customSheetView>
    <customSheetView guid="{1211E1B9-FC37-4364-9CF0-0FFC01866726}" scale="70" showPageBreaks="1" fitToPage="1" printArea="1" hiddenColumns="1" view="pageBreakPreview">
      <selection activeCell="G18" sqref="G18"/>
      <pageMargins left="0.25" right="0.25" top="0.75" bottom="0.5" header="0.3" footer="0.5"/>
      <printOptions horizontalCentered="1"/>
      <pageSetup paperSize="9" scale="44" fitToHeight="0" orientation="landscape" r:id="rId13"/>
      <headerFooter>
        <oddHeader>&amp;RSchedule-1Page &amp;P of &amp;N</oddHeader>
      </headerFooter>
    </customSheetView>
  </customSheetViews>
  <mergeCells count="24">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104:M104"/>
    <mergeCell ref="C110:D110"/>
    <mergeCell ref="B107:N107"/>
    <mergeCell ref="K110:N110"/>
    <mergeCell ref="K109:N109"/>
    <mergeCell ref="A105:M105"/>
    <mergeCell ref="A106:M106"/>
    <mergeCell ref="C109:D109"/>
    <mergeCell ref="A103:N103"/>
    <mergeCell ref="B60:D60"/>
  </mergeCells>
  <conditionalFormatting sqref="E35">
    <cfRule type="duplicateValues" dxfId="104" priority="46"/>
    <cfRule type="duplicateValues" dxfId="103" priority="44"/>
    <cfRule type="duplicateValues" dxfId="102" priority="43"/>
    <cfRule type="duplicateValues" dxfId="101" priority="42"/>
    <cfRule type="duplicateValues" dxfId="100" priority="41"/>
    <cfRule type="duplicateValues" dxfId="99" priority="40"/>
    <cfRule type="duplicateValues" dxfId="98" priority="45"/>
    <cfRule type="duplicateValues" dxfId="97" priority="36"/>
    <cfRule type="duplicateValues" dxfId="96" priority="39"/>
    <cfRule type="duplicateValues" dxfId="95" priority="38"/>
    <cfRule type="duplicateValues" dxfId="94" priority="37"/>
    <cfRule type="duplicateValues" dxfId="93" priority="48"/>
    <cfRule type="duplicateValues" dxfId="92" priority="47"/>
  </conditionalFormatting>
  <conditionalFormatting sqref="E36">
    <cfRule type="duplicateValues" dxfId="91" priority="25"/>
    <cfRule type="duplicateValues" dxfId="90" priority="32"/>
    <cfRule type="duplicateValues" dxfId="89" priority="27"/>
    <cfRule type="duplicateValues" dxfId="88" priority="28"/>
    <cfRule type="duplicateValues" dxfId="87" priority="29"/>
    <cfRule type="duplicateValues" dxfId="86" priority="30"/>
    <cfRule type="duplicateValues" dxfId="85" priority="31"/>
    <cfRule type="duplicateValues" dxfId="84" priority="33"/>
    <cfRule type="duplicateValues" dxfId="83" priority="34"/>
    <cfRule type="duplicateValues" dxfId="82" priority="35"/>
    <cfRule type="duplicateValues" dxfId="81" priority="26"/>
  </conditionalFormatting>
  <conditionalFormatting sqref="E78">
    <cfRule type="duplicateValues" dxfId="80" priority="13"/>
    <cfRule type="duplicateValues" dxfId="79" priority="20"/>
    <cfRule type="duplicateValues" dxfId="78" priority="24"/>
    <cfRule type="duplicateValues" dxfId="77" priority="23"/>
    <cfRule type="duplicateValues" dxfId="76" priority="22"/>
    <cfRule type="duplicateValues" dxfId="75" priority="21"/>
    <cfRule type="duplicateValues" dxfId="74" priority="19"/>
    <cfRule type="duplicateValues" dxfId="73" priority="18"/>
    <cfRule type="duplicateValues" dxfId="72" priority="17"/>
    <cfRule type="duplicateValues" dxfId="71" priority="16"/>
    <cfRule type="duplicateValues" dxfId="70" priority="15"/>
    <cfRule type="duplicateValues" dxfId="69" priority="14"/>
    <cfRule type="duplicateValues" dxfId="68" priority="12"/>
  </conditionalFormatting>
  <conditionalFormatting sqref="E79">
    <cfRule type="duplicateValues" dxfId="67" priority="2"/>
    <cfRule type="duplicateValues" dxfId="66" priority="3"/>
    <cfRule type="duplicateValues" dxfId="65" priority="4"/>
    <cfRule type="duplicateValues" dxfId="64" priority="5"/>
    <cfRule type="duplicateValues" dxfId="63" priority="6"/>
    <cfRule type="duplicateValues" dxfId="62" priority="8"/>
    <cfRule type="duplicateValues" dxfId="61" priority="9"/>
    <cfRule type="duplicateValues" dxfId="60" priority="10"/>
    <cfRule type="duplicateValues" dxfId="59" priority="11"/>
    <cfRule type="duplicateValues" dxfId="58" priority="1"/>
    <cfRule type="duplicateValues" dxfId="57" priority="7"/>
  </conditionalFormatting>
  <conditionalFormatting sqref="I18:I102">
    <cfRule type="expression" dxfId="56" priority="55" stopIfTrue="1">
      <formula>H18&gt;0</formula>
    </cfRule>
  </conditionalFormatting>
  <conditionalFormatting sqref="J35">
    <cfRule type="duplicateValues" dxfId="55" priority="50"/>
  </conditionalFormatting>
  <conditionalFormatting sqref="J78">
    <cfRule type="duplicateValues" dxfId="54" priority="49"/>
  </conditionalFormatting>
  <dataValidations count="3">
    <dataValidation type="list" operator="greaterThan" allowBlank="1" showInputMessage="1" showErrorMessage="1" sqref="I18:I102" xr:uid="{00000000-0002-0000-0400-000000000000}">
      <formula1>"0%,5%,12%,18%,28%"</formula1>
    </dataValidation>
    <dataValidation type="whole" operator="greaterThan" allowBlank="1" showInputMessage="1" showErrorMessage="1" sqref="G18:G102" xr:uid="{00000000-0002-0000-0400-000001000000}">
      <formula1>0</formula1>
    </dataValidation>
    <dataValidation type="decimal" operator="greaterThanOrEqual" allowBlank="1" showInputMessage="1" showErrorMessage="1" sqref="M18:M102" xr:uid="{00000000-0002-0000-0400-000002000000}">
      <formula1>0</formula1>
    </dataValidation>
  </dataValidations>
  <printOptions horizontalCentered="1"/>
  <pageMargins left="0.25" right="0.25" top="0.75" bottom="0.5" header="0.3" footer="0.5"/>
  <pageSetup paperSize="9" scale="44" fitToHeight="0" orientation="landscape" r:id="rId14"/>
  <headerFooter>
    <oddHeader>&amp;RSchedule-1Page &amp;P of &amp;N</oddHeader>
  </headerFooter>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110"/>
  <sheetViews>
    <sheetView view="pageBreakPreview" topLeftCell="A15" zoomScaleSheetLayoutView="100" workbookViewId="0">
      <selection activeCell="I23" sqref="I23"/>
    </sheetView>
  </sheetViews>
  <sheetFormatPr defaultRowHeight="15.75"/>
  <cols>
    <col min="1" max="1" width="6.140625" style="580" customWidth="1"/>
    <col min="2" max="2" width="15" style="580" customWidth="1"/>
    <col min="3" max="3" width="11.28515625" style="580" customWidth="1"/>
    <col min="4" max="4" width="23.85546875" style="580" customWidth="1"/>
    <col min="5" max="5" width="20.28515625" style="580" customWidth="1"/>
    <col min="6" max="6" width="105.7109375" style="581" customWidth="1"/>
    <col min="7" max="7" width="11.28515625" style="580" customWidth="1"/>
    <col min="8" max="8" width="11" style="580" customWidth="1"/>
    <col min="9" max="9" width="18.85546875" style="582" customWidth="1"/>
    <col min="10" max="10" width="24.28515625" style="580" customWidth="1"/>
    <col min="11" max="13" width="10.28515625" style="575" customWidth="1"/>
    <col min="14" max="14" width="9.140625" style="575" customWidth="1"/>
    <col min="15" max="28" width="9.140625" style="575"/>
    <col min="29" max="16384" width="9.140625" style="576"/>
  </cols>
  <sheetData>
    <row r="1" spans="1:32" ht="27.75" customHeight="1">
      <c r="A1" s="570" t="str">
        <f>Basic!B5</f>
        <v>Spec No: NR1/NT/W-TW/DOM/I00/25/03940 (Rfx-5002004353)</v>
      </c>
      <c r="B1" s="570"/>
      <c r="C1" s="570"/>
      <c r="D1" s="571"/>
      <c r="E1" s="571"/>
      <c r="F1" s="571"/>
      <c r="G1" s="572"/>
      <c r="H1" s="572"/>
      <c r="I1" s="573"/>
      <c r="J1" s="574" t="s">
        <v>14</v>
      </c>
    </row>
    <row r="2" spans="1:32" ht="21.75" customHeight="1">
      <c r="A2" s="569"/>
      <c r="B2" s="569"/>
      <c r="C2" s="569"/>
      <c r="D2" s="569"/>
      <c r="E2" s="569"/>
      <c r="F2" s="569"/>
      <c r="G2" s="577"/>
      <c r="H2" s="577"/>
      <c r="I2" s="576"/>
      <c r="J2" s="577"/>
    </row>
    <row r="3" spans="1:32" ht="92.25" customHeight="1">
      <c r="A3" s="864" t="str">
        <f>Cover!$B$2</f>
        <v>Transmission Line package TW02 for Diversion / modification of various POWERGRID’s 400kV Transmission Lines due to upcoming Green Field Airport at Kota under Consultancy Services to Kota Development Authority, Kota</v>
      </c>
      <c r="B3" s="864"/>
      <c r="C3" s="864"/>
      <c r="D3" s="864"/>
      <c r="E3" s="864"/>
      <c r="F3" s="864"/>
      <c r="G3" s="864"/>
      <c r="H3" s="864"/>
      <c r="I3" s="864"/>
      <c r="J3" s="864"/>
      <c r="K3" s="578"/>
      <c r="N3" s="877"/>
      <c r="O3" s="877"/>
      <c r="AC3" s="575"/>
      <c r="AD3" s="575"/>
      <c r="AE3" s="575"/>
      <c r="AF3" s="575"/>
    </row>
    <row r="4" spans="1:32" ht="21.95" customHeight="1">
      <c r="A4" s="878" t="s">
        <v>0</v>
      </c>
      <c r="B4" s="878"/>
      <c r="C4" s="878"/>
      <c r="D4" s="878"/>
      <c r="E4" s="878"/>
      <c r="F4" s="878"/>
      <c r="G4" s="878"/>
      <c r="H4" s="878"/>
      <c r="I4" s="878"/>
      <c r="J4" s="878"/>
    </row>
    <row r="5" spans="1:32" ht="15" customHeight="1">
      <c r="J5" s="577"/>
    </row>
    <row r="6" spans="1:32" ht="22.5" customHeight="1">
      <c r="A6" s="866" t="s">
        <v>338</v>
      </c>
      <c r="B6" s="866"/>
      <c r="C6" s="583"/>
      <c r="D6" s="577"/>
      <c r="E6" s="583"/>
      <c r="F6" s="583"/>
      <c r="G6" s="583"/>
      <c r="H6" s="583"/>
      <c r="I6" s="583"/>
      <c r="J6" s="577"/>
    </row>
    <row r="7" spans="1:32" ht="25.5" customHeight="1">
      <c r="A7" s="870" t="str">
        <f>'Sch-1'!A7</f>
        <v>abc</v>
      </c>
      <c r="B7" s="870"/>
      <c r="C7" s="870"/>
      <c r="D7" s="870"/>
      <c r="E7" s="870"/>
      <c r="F7" s="870"/>
      <c r="G7" s="585"/>
      <c r="H7" s="586" t="s">
        <v>1</v>
      </c>
      <c r="I7" s="585"/>
      <c r="J7" s="577"/>
    </row>
    <row r="8" spans="1:32" ht="29.25" customHeight="1">
      <c r="A8" s="867" t="str">
        <f>"Bidder’s Name and Address  (" &amp; MID('Names of Bidder'!A9,9, 20) &amp; ") :"</f>
        <v>Bidder’s Name and Address  (Sole Bidder) :</v>
      </c>
      <c r="B8" s="867"/>
      <c r="C8" s="867"/>
      <c r="D8" s="867"/>
      <c r="E8" s="867"/>
      <c r="F8" s="867"/>
      <c r="G8" s="867"/>
      <c r="H8" s="587" t="s">
        <v>2</v>
      </c>
      <c r="I8" s="588"/>
      <c r="J8" s="577"/>
    </row>
    <row r="9" spans="1:32" ht="26.25" customHeight="1">
      <c r="A9" s="584" t="s">
        <v>12</v>
      </c>
      <c r="B9" s="589"/>
      <c r="C9" s="870" t="str">
        <f>IF('Names of Bidder'!C9=0, "", 'Names of Bidder'!C9)</f>
        <v>abc</v>
      </c>
      <c r="D9" s="870"/>
      <c r="E9" s="870"/>
      <c r="F9" s="590"/>
      <c r="G9" s="590"/>
      <c r="H9" s="587" t="s">
        <v>3</v>
      </c>
      <c r="I9" s="591"/>
      <c r="J9" s="577"/>
    </row>
    <row r="10" spans="1:32" ht="17.25" customHeight="1">
      <c r="A10" s="584" t="s">
        <v>11</v>
      </c>
      <c r="B10" s="589"/>
      <c r="C10" s="869" t="str">
        <f>IF('Names of Bidder'!C10=0, "", 'Names of Bidder'!C10)</f>
        <v>abc</v>
      </c>
      <c r="D10" s="869"/>
      <c r="E10" s="869"/>
      <c r="F10" s="590"/>
      <c r="G10" s="590"/>
      <c r="H10" s="587" t="s">
        <v>4</v>
      </c>
      <c r="I10" s="591"/>
      <c r="J10" s="577"/>
    </row>
    <row r="11" spans="1:32" ht="18" customHeight="1">
      <c r="A11" s="591"/>
      <c r="B11" s="591"/>
      <c r="C11" s="869" t="str">
        <f>IF('Names of Bidder'!C11=0, "", 'Names of Bidder'!C11)</f>
        <v>abc</v>
      </c>
      <c r="D11" s="869"/>
      <c r="E11" s="869"/>
      <c r="F11" s="590"/>
      <c r="G11" s="590"/>
      <c r="H11" s="587" t="s">
        <v>5</v>
      </c>
      <c r="I11" s="591"/>
      <c r="J11" s="577"/>
    </row>
    <row r="12" spans="1:32" ht="18" customHeight="1">
      <c r="A12" s="591"/>
      <c r="B12" s="591"/>
      <c r="C12" s="869" t="str">
        <f>IF('Names of Bidder'!C12=0, "", 'Names of Bidder'!C12)</f>
        <v>abc</v>
      </c>
      <c r="D12" s="869"/>
      <c r="E12" s="869"/>
      <c r="F12" s="590"/>
      <c r="G12" s="590"/>
      <c r="H12" s="587" t="str">
        <f>'Sch-1'!K12</f>
        <v>Gurugram (Haryana) - 122001</v>
      </c>
      <c r="I12" s="591"/>
      <c r="J12" s="577"/>
    </row>
    <row r="13" spans="1:32" s="588" customFormat="1" ht="26.45" customHeight="1">
      <c r="A13" s="872" t="s">
        <v>352</v>
      </c>
      <c r="B13" s="872"/>
      <c r="C13" s="872"/>
      <c r="D13" s="872"/>
      <c r="E13" s="872"/>
      <c r="F13" s="872"/>
      <c r="G13" s="872"/>
      <c r="H13" s="872"/>
      <c r="I13" s="872"/>
      <c r="J13" s="872"/>
      <c r="K13" s="592"/>
      <c r="L13" s="592"/>
      <c r="M13" s="592"/>
      <c r="N13" s="592"/>
      <c r="O13" s="592"/>
      <c r="P13" s="592"/>
      <c r="Q13" s="592"/>
      <c r="R13" s="592"/>
      <c r="S13" s="592"/>
      <c r="T13" s="592"/>
      <c r="U13" s="592"/>
      <c r="V13" s="592"/>
      <c r="W13" s="592"/>
      <c r="X13" s="592"/>
      <c r="Y13" s="592"/>
      <c r="Z13" s="592"/>
      <c r="AA13" s="592"/>
      <c r="AB13" s="592"/>
    </row>
    <row r="14" spans="1:32" ht="20.25" customHeight="1" thickBot="1">
      <c r="A14" s="593"/>
      <c r="B14" s="593"/>
      <c r="C14" s="593"/>
      <c r="D14" s="593"/>
      <c r="E14" s="593"/>
      <c r="F14" s="594"/>
      <c r="G14" s="595"/>
      <c r="H14" s="595"/>
      <c r="I14" s="880" t="s">
        <v>343</v>
      </c>
      <c r="J14" s="880"/>
    </row>
    <row r="15" spans="1:32" ht="102" customHeight="1">
      <c r="A15" s="596" t="s">
        <v>7</v>
      </c>
      <c r="B15" s="597" t="s">
        <v>259</v>
      </c>
      <c r="C15" s="597" t="s">
        <v>271</v>
      </c>
      <c r="D15" s="597" t="s">
        <v>273</v>
      </c>
      <c r="E15" s="597" t="s">
        <v>13</v>
      </c>
      <c r="F15" s="598" t="s">
        <v>15</v>
      </c>
      <c r="G15" s="598" t="s">
        <v>9</v>
      </c>
      <c r="H15" s="598" t="s">
        <v>16</v>
      </c>
      <c r="I15" s="598" t="s">
        <v>351</v>
      </c>
      <c r="J15" s="599" t="s">
        <v>350</v>
      </c>
    </row>
    <row r="16" spans="1:32" s="602" customFormat="1">
      <c r="A16" s="600">
        <v>1</v>
      </c>
      <c r="B16" s="600">
        <v>2</v>
      </c>
      <c r="C16" s="600">
        <v>3</v>
      </c>
      <c r="D16" s="600">
        <v>4</v>
      </c>
      <c r="E16" s="600">
        <v>5</v>
      </c>
      <c r="F16" s="600">
        <v>6</v>
      </c>
      <c r="G16" s="600">
        <v>7</v>
      </c>
      <c r="H16" s="600">
        <v>8</v>
      </c>
      <c r="I16" s="600">
        <v>9</v>
      </c>
      <c r="J16" s="600" t="s">
        <v>344</v>
      </c>
      <c r="K16" s="601"/>
      <c r="L16" s="601"/>
      <c r="M16" s="601"/>
      <c r="N16" s="601"/>
      <c r="O16" s="601"/>
      <c r="P16" s="601"/>
      <c r="Q16" s="601"/>
      <c r="R16" s="601"/>
      <c r="S16" s="601"/>
      <c r="T16" s="601"/>
      <c r="U16" s="601"/>
      <c r="V16" s="601"/>
      <c r="W16" s="601"/>
      <c r="X16" s="601"/>
      <c r="Y16" s="601"/>
      <c r="Z16" s="601"/>
      <c r="AA16" s="601"/>
      <c r="AB16" s="601"/>
    </row>
    <row r="17" spans="1:28" s="609" customFormat="1" ht="34.5" customHeight="1" thickBot="1">
      <c r="A17" s="603" t="str">
        <f>'Sch-1'!A17</f>
        <v>A</v>
      </c>
      <c r="B17" s="604" t="str">
        <f>'Sch-1'!B17:N17</f>
        <v xml:space="preserve">400 KV RAPP (C ) -KOTA </v>
      </c>
      <c r="C17" s="605"/>
      <c r="D17" s="606"/>
      <c r="E17" s="607"/>
      <c r="F17" s="607"/>
      <c r="G17" s="607"/>
      <c r="H17" s="607"/>
      <c r="I17" s="607"/>
      <c r="J17" s="607"/>
      <c r="K17" s="608"/>
      <c r="L17" s="608"/>
      <c r="M17" s="608"/>
      <c r="N17" s="608"/>
      <c r="O17" s="608"/>
      <c r="P17" s="608"/>
      <c r="Q17" s="608"/>
      <c r="R17" s="608"/>
      <c r="S17" s="608"/>
      <c r="T17" s="608"/>
      <c r="U17" s="608"/>
      <c r="V17" s="608"/>
      <c r="W17" s="608"/>
      <c r="X17" s="608"/>
      <c r="Y17" s="608"/>
      <c r="Z17" s="608"/>
      <c r="AA17" s="608"/>
      <c r="AB17" s="608"/>
    </row>
    <row r="18" spans="1:28" ht="47.25">
      <c r="A18" s="610">
        <v>1</v>
      </c>
      <c r="B18" s="425"/>
      <c r="C18" s="425"/>
      <c r="D18" s="425"/>
      <c r="E18" s="768">
        <v>1000013391</v>
      </c>
      <c r="F18" s="755" t="s">
        <v>494</v>
      </c>
      <c r="G18" s="741" t="s">
        <v>527</v>
      </c>
      <c r="H18" s="773">
        <v>41.44</v>
      </c>
      <c r="I18" s="426"/>
      <c r="J18" s="427" t="str">
        <f t="shared" ref="J18:J102" si="0">IF(I18=0, "INCLUDED", IF(ISERROR(I18*H18), I18, I18*H18))</f>
        <v>INCLUDED</v>
      </c>
    </row>
    <row r="19" spans="1:28" ht="47.25">
      <c r="A19" s="610">
        <v>2</v>
      </c>
      <c r="B19" s="425"/>
      <c r="C19" s="425"/>
      <c r="D19" s="425"/>
      <c r="E19" s="775">
        <v>1000015274</v>
      </c>
      <c r="F19" s="756" t="s">
        <v>495</v>
      </c>
      <c r="G19" s="741" t="s">
        <v>527</v>
      </c>
      <c r="H19" s="773">
        <v>108.21</v>
      </c>
      <c r="I19" s="426"/>
      <c r="J19" s="427" t="str">
        <f t="shared" si="0"/>
        <v>INCLUDED</v>
      </c>
    </row>
    <row r="20" spans="1:28" ht="47.25">
      <c r="A20" s="610">
        <v>3</v>
      </c>
      <c r="B20" s="425"/>
      <c r="C20" s="425"/>
      <c r="D20" s="425"/>
      <c r="E20" s="775">
        <v>1000013393</v>
      </c>
      <c r="F20" s="738" t="s">
        <v>496</v>
      </c>
      <c r="G20" s="741" t="s">
        <v>527</v>
      </c>
      <c r="H20" s="773">
        <v>4.42</v>
      </c>
      <c r="I20" s="426"/>
      <c r="J20" s="427" t="str">
        <f t="shared" si="0"/>
        <v>INCLUDED</v>
      </c>
    </row>
    <row r="21" spans="1:28" ht="47.25">
      <c r="A21" s="610">
        <v>4</v>
      </c>
      <c r="B21" s="425"/>
      <c r="C21" s="425"/>
      <c r="D21" s="425"/>
      <c r="E21" s="775">
        <v>1000015276</v>
      </c>
      <c r="F21" s="757" t="s">
        <v>497</v>
      </c>
      <c r="G21" s="741" t="s">
        <v>527</v>
      </c>
      <c r="H21" s="773">
        <v>0.8</v>
      </c>
      <c r="I21" s="426"/>
      <c r="J21" s="427" t="str">
        <f t="shared" si="0"/>
        <v>INCLUDED</v>
      </c>
    </row>
    <row r="22" spans="1:28" ht="16.5">
      <c r="A22" s="610">
        <v>5</v>
      </c>
      <c r="B22" s="425"/>
      <c r="C22" s="425"/>
      <c r="D22" s="425"/>
      <c r="E22" s="775">
        <v>1000013472</v>
      </c>
      <c r="F22" s="755" t="s">
        <v>484</v>
      </c>
      <c r="G22" s="741" t="s">
        <v>527</v>
      </c>
      <c r="H22" s="773">
        <v>7.34</v>
      </c>
      <c r="I22" s="426"/>
      <c r="J22" s="427" t="str">
        <f t="shared" si="0"/>
        <v>INCLUDED</v>
      </c>
    </row>
    <row r="23" spans="1:28" ht="16.5">
      <c r="A23" s="610">
        <v>6</v>
      </c>
      <c r="B23" s="425"/>
      <c r="C23" s="425"/>
      <c r="D23" s="425"/>
      <c r="E23" s="775">
        <v>1000007847</v>
      </c>
      <c r="F23" s="756" t="s">
        <v>498</v>
      </c>
      <c r="G23" s="741" t="s">
        <v>527</v>
      </c>
      <c r="H23" s="773">
        <v>0.13</v>
      </c>
      <c r="I23" s="426"/>
      <c r="J23" s="427" t="str">
        <f t="shared" si="0"/>
        <v>INCLUDED</v>
      </c>
    </row>
    <row r="24" spans="1:28" ht="16.5">
      <c r="A24" s="610">
        <v>7</v>
      </c>
      <c r="B24" s="425"/>
      <c r="C24" s="425"/>
      <c r="D24" s="425"/>
      <c r="E24" s="782">
        <v>1000010003</v>
      </c>
      <c r="F24" s="747" t="s">
        <v>490</v>
      </c>
      <c r="G24" s="741" t="s">
        <v>528</v>
      </c>
      <c r="H24" s="773">
        <v>15</v>
      </c>
      <c r="I24" s="426"/>
      <c r="J24" s="427" t="str">
        <f t="shared" si="0"/>
        <v>INCLUDED</v>
      </c>
    </row>
    <row r="25" spans="1:28" ht="31.5">
      <c r="A25" s="610">
        <v>8</v>
      </c>
      <c r="B25" s="425"/>
      <c r="C25" s="425"/>
      <c r="D25" s="425"/>
      <c r="E25" s="782">
        <v>1000019717</v>
      </c>
      <c r="F25" s="756" t="s">
        <v>564</v>
      </c>
      <c r="G25" s="741" t="s">
        <v>528</v>
      </c>
      <c r="H25" s="773">
        <v>1</v>
      </c>
      <c r="I25" s="426"/>
      <c r="J25" s="427" t="str">
        <f t="shared" si="0"/>
        <v>INCLUDED</v>
      </c>
    </row>
    <row r="26" spans="1:28" ht="16.5">
      <c r="A26" s="610">
        <v>9</v>
      </c>
      <c r="B26" s="425"/>
      <c r="C26" s="425"/>
      <c r="D26" s="425"/>
      <c r="E26" s="775">
        <v>1000010539</v>
      </c>
      <c r="F26" s="745" t="s">
        <v>499</v>
      </c>
      <c r="G26" s="746" t="s">
        <v>528</v>
      </c>
      <c r="H26" s="773">
        <v>15</v>
      </c>
      <c r="I26" s="426"/>
      <c r="J26" s="427" t="str">
        <f t="shared" si="0"/>
        <v>INCLUDED</v>
      </c>
    </row>
    <row r="27" spans="1:28" ht="16.5">
      <c r="A27" s="610">
        <v>10</v>
      </c>
      <c r="B27" s="425"/>
      <c r="C27" s="425"/>
      <c r="D27" s="425"/>
      <c r="E27" s="775">
        <v>1000015971</v>
      </c>
      <c r="F27" s="745" t="s">
        <v>500</v>
      </c>
      <c r="G27" s="746" t="s">
        <v>528</v>
      </c>
      <c r="H27" s="773">
        <v>15</v>
      </c>
      <c r="I27" s="426"/>
      <c r="J27" s="427" t="str">
        <f t="shared" si="0"/>
        <v>INCLUDED</v>
      </c>
    </row>
    <row r="28" spans="1:28" ht="16.5">
      <c r="A28" s="610">
        <v>11</v>
      </c>
      <c r="B28" s="425"/>
      <c r="C28" s="425"/>
      <c r="D28" s="425"/>
      <c r="E28" s="775">
        <v>1000017508</v>
      </c>
      <c r="F28" s="745" t="s">
        <v>501</v>
      </c>
      <c r="G28" s="746" t="s">
        <v>476</v>
      </c>
      <c r="H28" s="773">
        <v>15</v>
      </c>
      <c r="I28" s="426"/>
      <c r="J28" s="427" t="str">
        <f t="shared" si="0"/>
        <v>INCLUDED</v>
      </c>
    </row>
    <row r="29" spans="1:28" ht="16.5">
      <c r="A29" s="610">
        <v>12</v>
      </c>
      <c r="B29" s="425"/>
      <c r="C29" s="425"/>
      <c r="D29" s="425"/>
      <c r="E29" s="775">
        <v>1000009119</v>
      </c>
      <c r="F29" s="745" t="s">
        <v>502</v>
      </c>
      <c r="G29" s="746" t="s">
        <v>476</v>
      </c>
      <c r="H29" s="773">
        <v>0</v>
      </c>
      <c r="I29" s="426"/>
      <c r="J29" s="427" t="str">
        <f t="shared" si="0"/>
        <v>INCLUDED</v>
      </c>
    </row>
    <row r="30" spans="1:28" ht="16.5">
      <c r="A30" s="610">
        <v>13</v>
      </c>
      <c r="B30" s="425"/>
      <c r="C30" s="425"/>
      <c r="D30" s="425"/>
      <c r="E30" s="775">
        <v>1000006779</v>
      </c>
      <c r="F30" s="745" t="s">
        <v>503</v>
      </c>
      <c r="G30" s="746" t="s">
        <v>476</v>
      </c>
      <c r="H30" s="773">
        <v>15</v>
      </c>
      <c r="I30" s="426"/>
      <c r="J30" s="427" t="str">
        <f t="shared" si="0"/>
        <v>INCLUDED</v>
      </c>
    </row>
    <row r="31" spans="1:28" ht="16.5">
      <c r="A31" s="610">
        <v>14</v>
      </c>
      <c r="B31" s="425"/>
      <c r="C31" s="425"/>
      <c r="D31" s="425"/>
      <c r="E31" s="775">
        <v>1000007735</v>
      </c>
      <c r="F31" s="745" t="s">
        <v>504</v>
      </c>
      <c r="G31" s="746" t="s">
        <v>476</v>
      </c>
      <c r="H31" s="773">
        <v>15</v>
      </c>
      <c r="I31" s="426"/>
      <c r="J31" s="427" t="str">
        <f t="shared" si="0"/>
        <v>INCLUDED</v>
      </c>
    </row>
    <row r="32" spans="1:28" ht="16.5">
      <c r="A32" s="610">
        <v>15</v>
      </c>
      <c r="B32" s="425"/>
      <c r="C32" s="425"/>
      <c r="D32" s="425"/>
      <c r="E32" s="775">
        <v>1000015503</v>
      </c>
      <c r="F32" s="745" t="s">
        <v>505</v>
      </c>
      <c r="G32" s="741" t="s">
        <v>529</v>
      </c>
      <c r="H32" s="773">
        <v>18</v>
      </c>
      <c r="I32" s="426"/>
      <c r="J32" s="427" t="str">
        <f t="shared" si="0"/>
        <v>INCLUDED</v>
      </c>
    </row>
    <row r="33" spans="1:10" ht="16.5">
      <c r="A33" s="610">
        <v>16</v>
      </c>
      <c r="B33" s="425"/>
      <c r="C33" s="425"/>
      <c r="D33" s="425"/>
      <c r="E33" s="775">
        <v>1000018443</v>
      </c>
      <c r="F33" s="745" t="s">
        <v>506</v>
      </c>
      <c r="G33" s="741" t="s">
        <v>529</v>
      </c>
      <c r="H33" s="773">
        <v>6</v>
      </c>
      <c r="I33" s="426"/>
      <c r="J33" s="427" t="str">
        <f t="shared" si="0"/>
        <v>INCLUDED</v>
      </c>
    </row>
    <row r="34" spans="1:10" ht="16.5">
      <c r="A34" s="610">
        <v>17</v>
      </c>
      <c r="B34" s="425"/>
      <c r="C34" s="425"/>
      <c r="D34" s="425"/>
      <c r="E34" s="775">
        <v>1000015505</v>
      </c>
      <c r="F34" s="745" t="s">
        <v>507</v>
      </c>
      <c r="G34" s="741" t="s">
        <v>529</v>
      </c>
      <c r="H34" s="773">
        <v>4</v>
      </c>
      <c r="I34" s="426"/>
      <c r="J34" s="427" t="str">
        <f t="shared" si="0"/>
        <v>INCLUDED</v>
      </c>
    </row>
    <row r="35" spans="1:10" ht="16.5">
      <c r="A35" s="610">
        <v>18</v>
      </c>
      <c r="B35" s="425"/>
      <c r="C35" s="425"/>
      <c r="D35" s="425"/>
      <c r="E35" s="769">
        <v>1000012299</v>
      </c>
      <c r="F35" s="747" t="s">
        <v>508</v>
      </c>
      <c r="G35" s="741" t="s">
        <v>529</v>
      </c>
      <c r="H35" s="773">
        <v>15</v>
      </c>
      <c r="I35" s="426"/>
      <c r="J35" s="427" t="str">
        <f t="shared" si="0"/>
        <v>INCLUDED</v>
      </c>
    </row>
    <row r="36" spans="1:10" ht="16.5">
      <c r="A36" s="610">
        <v>19</v>
      </c>
      <c r="B36" s="425"/>
      <c r="C36" s="425"/>
      <c r="D36" s="425"/>
      <c r="E36" s="769">
        <v>1000028485</v>
      </c>
      <c r="F36" s="747" t="s">
        <v>509</v>
      </c>
      <c r="G36" s="741" t="s">
        <v>529</v>
      </c>
      <c r="H36" s="773">
        <v>15</v>
      </c>
      <c r="I36" s="426"/>
      <c r="J36" s="427" t="str">
        <f t="shared" si="0"/>
        <v>INCLUDED</v>
      </c>
    </row>
    <row r="37" spans="1:10" ht="16.5">
      <c r="A37" s="610">
        <v>20</v>
      </c>
      <c r="B37" s="425"/>
      <c r="C37" s="425"/>
      <c r="D37" s="425"/>
      <c r="E37" s="775">
        <v>1000022420</v>
      </c>
      <c r="F37" s="745" t="s">
        <v>510</v>
      </c>
      <c r="G37" s="741" t="s">
        <v>529</v>
      </c>
      <c r="H37" s="773">
        <v>44</v>
      </c>
      <c r="I37" s="426"/>
      <c r="J37" s="427" t="str">
        <f t="shared" si="0"/>
        <v>INCLUDED</v>
      </c>
    </row>
    <row r="38" spans="1:10" ht="16.5">
      <c r="A38" s="610">
        <v>21</v>
      </c>
      <c r="B38" s="425"/>
      <c r="C38" s="425"/>
      <c r="D38" s="425"/>
      <c r="E38" s="775">
        <v>1000020447</v>
      </c>
      <c r="F38" s="745" t="s">
        <v>511</v>
      </c>
      <c r="G38" s="741" t="s">
        <v>529</v>
      </c>
      <c r="H38" s="773">
        <v>8</v>
      </c>
      <c r="I38" s="426"/>
      <c r="J38" s="427" t="str">
        <f t="shared" si="0"/>
        <v>INCLUDED</v>
      </c>
    </row>
    <row r="39" spans="1:10" ht="16.5">
      <c r="A39" s="610">
        <v>22</v>
      </c>
      <c r="B39" s="425"/>
      <c r="C39" s="425"/>
      <c r="D39" s="425"/>
      <c r="E39" s="775">
        <v>1000020991</v>
      </c>
      <c r="F39" s="745" t="s">
        <v>512</v>
      </c>
      <c r="G39" s="741" t="s">
        <v>529</v>
      </c>
      <c r="H39" s="773">
        <v>14</v>
      </c>
      <c r="I39" s="426"/>
      <c r="J39" s="427" t="str">
        <f t="shared" si="0"/>
        <v>INCLUDED</v>
      </c>
    </row>
    <row r="40" spans="1:10" ht="16.5">
      <c r="A40" s="610">
        <v>23</v>
      </c>
      <c r="B40" s="425"/>
      <c r="C40" s="425"/>
      <c r="D40" s="425"/>
      <c r="E40" s="775">
        <v>1000019809</v>
      </c>
      <c r="F40" s="745" t="s">
        <v>513</v>
      </c>
      <c r="G40" s="746" t="s">
        <v>476</v>
      </c>
      <c r="H40" s="773">
        <v>24</v>
      </c>
      <c r="I40" s="426"/>
      <c r="J40" s="427" t="str">
        <f t="shared" si="0"/>
        <v>INCLUDED</v>
      </c>
    </row>
    <row r="41" spans="1:10" ht="31.5">
      <c r="A41" s="610">
        <v>24</v>
      </c>
      <c r="B41" s="425"/>
      <c r="C41" s="425"/>
      <c r="D41" s="425"/>
      <c r="E41" s="775">
        <v>1000019788</v>
      </c>
      <c r="F41" s="745" t="s">
        <v>514</v>
      </c>
      <c r="G41" s="746" t="s">
        <v>476</v>
      </c>
      <c r="H41" s="773">
        <v>0</v>
      </c>
      <c r="I41" s="426"/>
      <c r="J41" s="427" t="str">
        <f t="shared" si="0"/>
        <v>INCLUDED</v>
      </c>
    </row>
    <row r="42" spans="1:10" ht="16.5">
      <c r="A42" s="610">
        <v>25</v>
      </c>
      <c r="B42" s="425"/>
      <c r="C42" s="425"/>
      <c r="D42" s="425"/>
      <c r="E42" s="775">
        <v>1000010800</v>
      </c>
      <c r="F42" s="745" t="s">
        <v>515</v>
      </c>
      <c r="G42" s="746" t="s">
        <v>476</v>
      </c>
      <c r="H42" s="773">
        <v>42</v>
      </c>
      <c r="I42" s="426"/>
      <c r="J42" s="427" t="str">
        <f t="shared" si="0"/>
        <v>INCLUDED</v>
      </c>
    </row>
    <row r="43" spans="1:10" ht="16.5">
      <c r="A43" s="610">
        <v>26</v>
      </c>
      <c r="B43" s="425"/>
      <c r="C43" s="425"/>
      <c r="D43" s="425"/>
      <c r="E43" s="775">
        <v>1000022431</v>
      </c>
      <c r="F43" s="745" t="s">
        <v>516</v>
      </c>
      <c r="G43" s="741" t="s">
        <v>529</v>
      </c>
      <c r="H43" s="773">
        <v>180</v>
      </c>
      <c r="I43" s="426"/>
      <c r="J43" s="427" t="str">
        <f t="shared" si="0"/>
        <v>INCLUDED</v>
      </c>
    </row>
    <row r="44" spans="1:10" ht="16.5">
      <c r="A44" s="610">
        <v>27</v>
      </c>
      <c r="B44" s="425"/>
      <c r="C44" s="425"/>
      <c r="D44" s="425"/>
      <c r="E44" s="775">
        <v>1000007935</v>
      </c>
      <c r="F44" s="745" t="s">
        <v>517</v>
      </c>
      <c r="G44" s="741" t="s">
        <v>529</v>
      </c>
      <c r="H44" s="773">
        <v>256.2</v>
      </c>
      <c r="I44" s="426"/>
      <c r="J44" s="427" t="str">
        <f t="shared" si="0"/>
        <v>INCLUDED</v>
      </c>
    </row>
    <row r="45" spans="1:10" ht="16.5">
      <c r="A45" s="610">
        <v>28</v>
      </c>
      <c r="B45" s="425"/>
      <c r="C45" s="425"/>
      <c r="D45" s="425"/>
      <c r="E45" s="775">
        <v>1000018559</v>
      </c>
      <c r="F45" s="745" t="s">
        <v>518</v>
      </c>
      <c r="G45" s="741" t="s">
        <v>529</v>
      </c>
      <c r="H45" s="773">
        <v>84</v>
      </c>
      <c r="I45" s="426"/>
      <c r="J45" s="427" t="str">
        <f t="shared" si="0"/>
        <v>INCLUDED</v>
      </c>
    </row>
    <row r="46" spans="1:10" ht="16.5">
      <c r="A46" s="610">
        <v>29</v>
      </c>
      <c r="B46" s="425"/>
      <c r="C46" s="425"/>
      <c r="D46" s="425"/>
      <c r="E46" s="775">
        <v>1000030860</v>
      </c>
      <c r="F46" s="745" t="s">
        <v>519</v>
      </c>
      <c r="G46" s="741" t="s">
        <v>530</v>
      </c>
      <c r="H46" s="773">
        <v>32.369999999999997</v>
      </c>
      <c r="I46" s="426"/>
      <c r="J46" s="427" t="str">
        <f t="shared" si="0"/>
        <v>INCLUDED</v>
      </c>
    </row>
    <row r="47" spans="1:10" ht="16.5">
      <c r="A47" s="610">
        <v>30</v>
      </c>
      <c r="B47" s="425"/>
      <c r="C47" s="425"/>
      <c r="D47" s="425"/>
      <c r="E47" s="775">
        <v>1000030841</v>
      </c>
      <c r="F47" s="745" t="s">
        <v>520</v>
      </c>
      <c r="G47" s="741" t="s">
        <v>530</v>
      </c>
      <c r="H47" s="773">
        <v>5.24</v>
      </c>
      <c r="I47" s="426"/>
      <c r="J47" s="427" t="str">
        <f t="shared" si="0"/>
        <v>INCLUDED</v>
      </c>
    </row>
    <row r="48" spans="1:10" ht="31.5">
      <c r="A48" s="610">
        <v>31</v>
      </c>
      <c r="B48" s="425"/>
      <c r="C48" s="425"/>
      <c r="D48" s="425"/>
      <c r="E48" s="775">
        <v>1000009325</v>
      </c>
      <c r="F48" s="756" t="s">
        <v>486</v>
      </c>
      <c r="G48" s="741" t="s">
        <v>531</v>
      </c>
      <c r="H48" s="773">
        <v>24</v>
      </c>
      <c r="I48" s="426"/>
      <c r="J48" s="427" t="str">
        <f t="shared" si="0"/>
        <v>INCLUDED</v>
      </c>
    </row>
    <row r="49" spans="1:10" ht="31.5">
      <c r="A49" s="610">
        <v>32</v>
      </c>
      <c r="B49" s="425"/>
      <c r="C49" s="425"/>
      <c r="D49" s="425"/>
      <c r="E49" s="775">
        <v>1000009328</v>
      </c>
      <c r="F49" s="755" t="s">
        <v>487</v>
      </c>
      <c r="G49" s="741" t="s">
        <v>531</v>
      </c>
      <c r="H49" s="773">
        <v>84</v>
      </c>
      <c r="I49" s="426"/>
      <c r="J49" s="427" t="str">
        <f t="shared" si="0"/>
        <v>INCLUDED</v>
      </c>
    </row>
    <row r="50" spans="1:10" ht="16.5">
      <c r="A50" s="610">
        <v>33</v>
      </c>
      <c r="B50" s="425"/>
      <c r="C50" s="425"/>
      <c r="D50" s="425"/>
      <c r="E50" s="775">
        <v>1000019903</v>
      </c>
      <c r="F50" s="745" t="s">
        <v>521</v>
      </c>
      <c r="G50" s="741" t="s">
        <v>532</v>
      </c>
      <c r="H50" s="751">
        <v>15</v>
      </c>
      <c r="I50" s="426"/>
      <c r="J50" s="427" t="str">
        <f t="shared" si="0"/>
        <v>INCLUDED</v>
      </c>
    </row>
    <row r="51" spans="1:10" ht="16.5">
      <c r="A51" s="610">
        <v>34</v>
      </c>
      <c r="B51" s="425"/>
      <c r="C51" s="425"/>
      <c r="D51" s="425"/>
      <c r="E51" s="775">
        <v>1000016663</v>
      </c>
      <c r="F51" s="755" t="s">
        <v>485</v>
      </c>
      <c r="G51" s="741" t="s">
        <v>533</v>
      </c>
      <c r="H51" s="751">
        <v>15</v>
      </c>
      <c r="I51" s="426"/>
      <c r="J51" s="427" t="str">
        <f t="shared" si="0"/>
        <v>INCLUDED</v>
      </c>
    </row>
    <row r="52" spans="1:10" ht="16.5">
      <c r="A52" s="610">
        <v>35</v>
      </c>
      <c r="B52" s="425"/>
      <c r="C52" s="425"/>
      <c r="D52" s="425"/>
      <c r="E52" s="770">
        <v>1000030940</v>
      </c>
      <c r="F52" s="745" t="s">
        <v>481</v>
      </c>
      <c r="G52" s="758" t="s">
        <v>534</v>
      </c>
      <c r="H52" s="751">
        <v>5.24</v>
      </c>
      <c r="I52" s="426"/>
      <c r="J52" s="427" t="str">
        <f t="shared" si="0"/>
        <v>INCLUDED</v>
      </c>
    </row>
    <row r="53" spans="1:10" ht="16.5">
      <c r="A53" s="610">
        <v>36</v>
      </c>
      <c r="B53" s="425"/>
      <c r="C53" s="425"/>
      <c r="D53" s="425"/>
      <c r="E53" s="771">
        <v>1000020444</v>
      </c>
      <c r="F53" s="759" t="s">
        <v>522</v>
      </c>
      <c r="G53" s="758" t="s">
        <v>528</v>
      </c>
      <c r="H53" s="751">
        <v>8</v>
      </c>
      <c r="I53" s="426"/>
      <c r="J53" s="427" t="str">
        <f t="shared" si="0"/>
        <v>INCLUDED</v>
      </c>
    </row>
    <row r="54" spans="1:10" ht="31.5">
      <c r="A54" s="610">
        <v>37</v>
      </c>
      <c r="B54" s="425"/>
      <c r="C54" s="425"/>
      <c r="D54" s="425"/>
      <c r="E54" s="782">
        <v>1000031039</v>
      </c>
      <c r="F54" s="745" t="s">
        <v>523</v>
      </c>
      <c r="G54" s="758" t="s">
        <v>476</v>
      </c>
      <c r="H54" s="751">
        <v>1</v>
      </c>
      <c r="I54" s="426"/>
      <c r="J54" s="427" t="str">
        <f t="shared" si="0"/>
        <v>INCLUDED</v>
      </c>
    </row>
    <row r="55" spans="1:10" ht="16.5">
      <c r="A55" s="610">
        <v>38</v>
      </c>
      <c r="B55" s="425"/>
      <c r="C55" s="425"/>
      <c r="D55" s="425"/>
      <c r="E55" s="782">
        <v>1000033146</v>
      </c>
      <c r="F55" s="745" t="s">
        <v>524</v>
      </c>
      <c r="G55" s="758" t="s">
        <v>476</v>
      </c>
      <c r="H55" s="751">
        <v>7</v>
      </c>
      <c r="I55" s="426"/>
      <c r="J55" s="427" t="str">
        <f t="shared" si="0"/>
        <v>INCLUDED</v>
      </c>
    </row>
    <row r="56" spans="1:10" ht="31.5">
      <c r="A56" s="610">
        <v>39</v>
      </c>
      <c r="B56" s="425"/>
      <c r="C56" s="425"/>
      <c r="D56" s="425"/>
      <c r="E56" s="782">
        <v>1000031041</v>
      </c>
      <c r="F56" s="745" t="s">
        <v>525</v>
      </c>
      <c r="G56" s="758" t="s">
        <v>476</v>
      </c>
      <c r="H56" s="751">
        <v>8</v>
      </c>
      <c r="I56" s="426"/>
      <c r="J56" s="427" t="str">
        <f t="shared" si="0"/>
        <v>INCLUDED</v>
      </c>
    </row>
    <row r="57" spans="1:10" ht="16.5">
      <c r="A57" s="610">
        <v>40</v>
      </c>
      <c r="B57" s="425"/>
      <c r="C57" s="425"/>
      <c r="D57" s="425"/>
      <c r="E57" s="782">
        <v>1000022417</v>
      </c>
      <c r="F57" s="745" t="s">
        <v>482</v>
      </c>
      <c r="G57" s="758" t="s">
        <v>528</v>
      </c>
      <c r="H57" s="751">
        <v>44</v>
      </c>
      <c r="I57" s="426"/>
      <c r="J57" s="427" t="str">
        <f t="shared" si="0"/>
        <v>INCLUDED</v>
      </c>
    </row>
    <row r="58" spans="1:10" ht="16.5">
      <c r="A58" s="610">
        <v>41</v>
      </c>
      <c r="B58" s="425"/>
      <c r="C58" s="425"/>
      <c r="D58" s="425"/>
      <c r="E58" s="782">
        <v>1000010817</v>
      </c>
      <c r="F58" s="745" t="s">
        <v>526</v>
      </c>
      <c r="G58" s="758" t="s">
        <v>528</v>
      </c>
      <c r="H58" s="751">
        <v>32</v>
      </c>
      <c r="I58" s="426"/>
      <c r="J58" s="427" t="str">
        <f t="shared" si="0"/>
        <v>INCLUDED</v>
      </c>
    </row>
    <row r="59" spans="1:10" ht="16.5">
      <c r="A59" s="610">
        <v>42</v>
      </c>
      <c r="B59" s="425"/>
      <c r="C59" s="425"/>
      <c r="D59" s="425"/>
      <c r="E59" s="782">
        <v>1000014198</v>
      </c>
      <c r="F59" s="760" t="s">
        <v>483</v>
      </c>
      <c r="G59" s="758" t="s">
        <v>528</v>
      </c>
      <c r="H59" s="751">
        <v>2</v>
      </c>
      <c r="I59" s="426"/>
      <c r="J59" s="427" t="str">
        <f t="shared" si="0"/>
        <v>INCLUDED</v>
      </c>
    </row>
    <row r="60" spans="1:10" ht="19.5" thickBot="1">
      <c r="A60" s="680" t="s">
        <v>565</v>
      </c>
      <c r="B60" s="861" t="s">
        <v>567</v>
      </c>
      <c r="C60" s="862"/>
      <c r="D60" s="863"/>
      <c r="E60" s="642"/>
      <c r="F60" s="760"/>
      <c r="G60" s="798"/>
      <c r="H60" s="799"/>
      <c r="I60" s="801"/>
      <c r="J60" s="427"/>
    </row>
    <row r="61" spans="1:10" ht="47.25">
      <c r="A61" s="610">
        <v>1</v>
      </c>
      <c r="B61" s="425"/>
      <c r="C61" s="425"/>
      <c r="D61" s="425"/>
      <c r="E61" s="776">
        <v>1000013391</v>
      </c>
      <c r="F61" s="740" t="s">
        <v>494</v>
      </c>
      <c r="G61" s="741" t="s">
        <v>527</v>
      </c>
      <c r="H61" s="773">
        <v>115.05</v>
      </c>
      <c r="I61" s="426"/>
      <c r="J61" s="427" t="str">
        <f t="shared" si="0"/>
        <v>INCLUDED</v>
      </c>
    </row>
    <row r="62" spans="1:10" ht="47.25">
      <c r="A62" s="610">
        <v>2</v>
      </c>
      <c r="B62" s="425"/>
      <c r="C62" s="425"/>
      <c r="D62" s="425"/>
      <c r="E62" s="777">
        <v>1000015274</v>
      </c>
      <c r="F62" s="742" t="s">
        <v>495</v>
      </c>
      <c r="G62" s="741" t="s">
        <v>527</v>
      </c>
      <c r="H62" s="773">
        <v>85.72</v>
      </c>
      <c r="I62" s="426"/>
      <c r="J62" s="427" t="str">
        <f t="shared" si="0"/>
        <v>INCLUDED</v>
      </c>
    </row>
    <row r="63" spans="1:10" ht="47.25">
      <c r="A63" s="610">
        <v>3</v>
      </c>
      <c r="B63" s="425"/>
      <c r="C63" s="425"/>
      <c r="D63" s="425"/>
      <c r="E63" s="777">
        <v>1000013393</v>
      </c>
      <c r="F63" s="743" t="s">
        <v>496</v>
      </c>
      <c r="G63" s="741" t="s">
        <v>527</v>
      </c>
      <c r="H63" s="773">
        <v>8.09</v>
      </c>
      <c r="I63" s="426"/>
      <c r="J63" s="427" t="str">
        <f t="shared" si="0"/>
        <v>INCLUDED</v>
      </c>
    </row>
    <row r="64" spans="1:10" ht="47.25">
      <c r="A64" s="610">
        <v>4</v>
      </c>
      <c r="B64" s="425"/>
      <c r="C64" s="425"/>
      <c r="D64" s="425"/>
      <c r="E64" s="777">
        <v>1000015276</v>
      </c>
      <c r="F64" s="744" t="s">
        <v>497</v>
      </c>
      <c r="G64" s="741" t="s">
        <v>527</v>
      </c>
      <c r="H64" s="773">
        <v>0.09</v>
      </c>
      <c r="I64" s="426"/>
      <c r="J64" s="427" t="str">
        <f t="shared" si="0"/>
        <v>INCLUDED</v>
      </c>
    </row>
    <row r="65" spans="1:10" ht="16.5">
      <c r="A65" s="610">
        <v>5</v>
      </c>
      <c r="B65" s="425"/>
      <c r="C65" s="425"/>
      <c r="D65" s="425"/>
      <c r="E65" s="777">
        <v>1000013472</v>
      </c>
      <c r="F65" s="740" t="s">
        <v>484</v>
      </c>
      <c r="G65" s="741" t="s">
        <v>527</v>
      </c>
      <c r="H65" s="773">
        <v>7.44</v>
      </c>
      <c r="I65" s="426"/>
      <c r="J65" s="427" t="str">
        <f t="shared" si="0"/>
        <v>INCLUDED</v>
      </c>
    </row>
    <row r="66" spans="1:10" ht="16.5">
      <c r="A66" s="610">
        <v>6</v>
      </c>
      <c r="B66" s="425"/>
      <c r="C66" s="425"/>
      <c r="D66" s="425"/>
      <c r="E66" s="777">
        <v>1000007847</v>
      </c>
      <c r="F66" s="742" t="s">
        <v>498</v>
      </c>
      <c r="G66" s="741" t="s">
        <v>527</v>
      </c>
      <c r="H66" s="773">
        <v>0.13</v>
      </c>
      <c r="I66" s="426"/>
      <c r="J66" s="427" t="str">
        <f t="shared" si="0"/>
        <v>INCLUDED</v>
      </c>
    </row>
    <row r="67" spans="1:10" ht="16.5">
      <c r="A67" s="610">
        <v>7</v>
      </c>
      <c r="B67" s="425"/>
      <c r="C67" s="425"/>
      <c r="D67" s="425"/>
      <c r="E67" s="778">
        <v>1000010003</v>
      </c>
      <c r="F67" s="402" t="s">
        <v>490</v>
      </c>
      <c r="G67" s="741" t="s">
        <v>528</v>
      </c>
      <c r="H67" s="773">
        <v>8</v>
      </c>
      <c r="I67" s="426"/>
      <c r="J67" s="427" t="str">
        <f t="shared" si="0"/>
        <v>INCLUDED</v>
      </c>
    </row>
    <row r="68" spans="1:10" ht="31.5">
      <c r="A68" s="610">
        <v>8</v>
      </c>
      <c r="B68" s="425"/>
      <c r="C68" s="425"/>
      <c r="D68" s="425"/>
      <c r="E68" s="777">
        <v>1000019717</v>
      </c>
      <c r="F68" s="745" t="s">
        <v>564</v>
      </c>
      <c r="G68" s="746" t="s">
        <v>528</v>
      </c>
      <c r="H68" s="773">
        <v>1</v>
      </c>
      <c r="I68" s="426"/>
      <c r="J68" s="427" t="str">
        <f t="shared" si="0"/>
        <v>INCLUDED</v>
      </c>
    </row>
    <row r="69" spans="1:10" ht="16.5">
      <c r="A69" s="610">
        <v>9</v>
      </c>
      <c r="B69" s="425"/>
      <c r="C69" s="425"/>
      <c r="D69" s="425"/>
      <c r="E69" s="777">
        <v>1000010539</v>
      </c>
      <c r="F69" s="745" t="s">
        <v>499</v>
      </c>
      <c r="G69" s="746" t="s">
        <v>528</v>
      </c>
      <c r="H69" s="773">
        <v>8</v>
      </c>
      <c r="I69" s="426"/>
      <c r="J69" s="427" t="str">
        <f t="shared" si="0"/>
        <v>INCLUDED</v>
      </c>
    </row>
    <row r="70" spans="1:10" ht="16.5">
      <c r="A70" s="610">
        <v>10</v>
      </c>
      <c r="B70" s="425"/>
      <c r="C70" s="425"/>
      <c r="D70" s="425"/>
      <c r="E70" s="777">
        <v>1000015971</v>
      </c>
      <c r="F70" s="745" t="s">
        <v>500</v>
      </c>
      <c r="G70" s="746" t="s">
        <v>528</v>
      </c>
      <c r="H70" s="773">
        <v>8</v>
      </c>
      <c r="I70" s="426"/>
      <c r="J70" s="427" t="str">
        <f t="shared" si="0"/>
        <v>INCLUDED</v>
      </c>
    </row>
    <row r="71" spans="1:10" ht="16.5">
      <c r="A71" s="610">
        <v>11</v>
      </c>
      <c r="B71" s="425"/>
      <c r="C71" s="425"/>
      <c r="D71" s="425"/>
      <c r="E71" s="777">
        <v>1000017508</v>
      </c>
      <c r="F71" s="745" t="s">
        <v>501</v>
      </c>
      <c r="G71" s="746" t="s">
        <v>476</v>
      </c>
      <c r="H71" s="773">
        <v>16</v>
      </c>
      <c r="I71" s="426"/>
      <c r="J71" s="427" t="str">
        <f t="shared" si="0"/>
        <v>INCLUDED</v>
      </c>
    </row>
    <row r="72" spans="1:10" ht="16.5">
      <c r="A72" s="610">
        <v>12</v>
      </c>
      <c r="B72" s="425"/>
      <c r="C72" s="425"/>
      <c r="D72" s="425"/>
      <c r="E72" s="777">
        <v>1000009119</v>
      </c>
      <c r="F72" s="745" t="s">
        <v>502</v>
      </c>
      <c r="G72" s="746" t="s">
        <v>476</v>
      </c>
      <c r="H72" s="773">
        <v>8</v>
      </c>
      <c r="I72" s="426"/>
      <c r="J72" s="427" t="str">
        <f t="shared" si="0"/>
        <v>INCLUDED</v>
      </c>
    </row>
    <row r="73" spans="1:10" ht="16.5">
      <c r="A73" s="610">
        <v>13</v>
      </c>
      <c r="B73" s="425"/>
      <c r="C73" s="425"/>
      <c r="D73" s="425"/>
      <c r="E73" s="777">
        <v>1000006779</v>
      </c>
      <c r="F73" s="745" t="s">
        <v>503</v>
      </c>
      <c r="G73" s="746" t="s">
        <v>476</v>
      </c>
      <c r="H73" s="773">
        <v>8</v>
      </c>
      <c r="I73" s="426"/>
      <c r="J73" s="427" t="str">
        <f t="shared" si="0"/>
        <v>INCLUDED</v>
      </c>
    </row>
    <row r="74" spans="1:10" ht="16.5">
      <c r="A74" s="610">
        <v>14</v>
      </c>
      <c r="B74" s="425"/>
      <c r="C74" s="425"/>
      <c r="D74" s="425"/>
      <c r="E74" s="777">
        <v>1000007735</v>
      </c>
      <c r="F74" s="745" t="s">
        <v>504</v>
      </c>
      <c r="G74" s="746" t="s">
        <v>476</v>
      </c>
      <c r="H74" s="773">
        <v>16</v>
      </c>
      <c r="I74" s="426"/>
      <c r="J74" s="427" t="str">
        <f t="shared" si="0"/>
        <v>INCLUDED</v>
      </c>
    </row>
    <row r="75" spans="1:10" ht="16.5">
      <c r="A75" s="610">
        <v>15</v>
      </c>
      <c r="B75" s="425"/>
      <c r="C75" s="425"/>
      <c r="D75" s="425"/>
      <c r="E75" s="777">
        <v>1000015503</v>
      </c>
      <c r="F75" s="745" t="s">
        <v>505</v>
      </c>
      <c r="G75" s="741" t="s">
        <v>529</v>
      </c>
      <c r="H75" s="773">
        <v>0</v>
      </c>
      <c r="I75" s="426"/>
      <c r="J75" s="427" t="str">
        <f t="shared" si="0"/>
        <v>INCLUDED</v>
      </c>
    </row>
    <row r="76" spans="1:10" ht="16.5">
      <c r="A76" s="610">
        <v>16</v>
      </c>
      <c r="B76" s="425"/>
      <c r="C76" s="425"/>
      <c r="D76" s="425"/>
      <c r="E76" s="777">
        <v>1000018443</v>
      </c>
      <c r="F76" s="745" t="s">
        <v>506</v>
      </c>
      <c r="G76" s="741" t="s">
        <v>529</v>
      </c>
      <c r="H76" s="773">
        <v>0</v>
      </c>
      <c r="I76" s="426"/>
      <c r="J76" s="427" t="str">
        <f t="shared" si="0"/>
        <v>INCLUDED</v>
      </c>
    </row>
    <row r="77" spans="1:10" ht="16.5">
      <c r="A77" s="610">
        <v>17</v>
      </c>
      <c r="B77" s="425"/>
      <c r="C77" s="425"/>
      <c r="D77" s="425"/>
      <c r="E77" s="777">
        <v>1000015505</v>
      </c>
      <c r="F77" s="745" t="s">
        <v>507</v>
      </c>
      <c r="G77" s="741" t="s">
        <v>529</v>
      </c>
      <c r="H77" s="773">
        <v>0</v>
      </c>
      <c r="I77" s="426"/>
      <c r="J77" s="427" t="str">
        <f t="shared" si="0"/>
        <v>INCLUDED</v>
      </c>
    </row>
    <row r="78" spans="1:10" ht="16.5">
      <c r="A78" s="610">
        <v>18</v>
      </c>
      <c r="B78" s="425"/>
      <c r="C78" s="425"/>
      <c r="D78" s="425"/>
      <c r="E78" s="783">
        <v>1000012299</v>
      </c>
      <c r="F78" s="747" t="s">
        <v>571</v>
      </c>
      <c r="G78" s="741" t="s">
        <v>529</v>
      </c>
      <c r="H78" s="773">
        <v>16</v>
      </c>
      <c r="I78" s="426"/>
      <c r="J78" s="427" t="str">
        <f t="shared" si="0"/>
        <v>INCLUDED</v>
      </c>
    </row>
    <row r="79" spans="1:10" ht="16.5">
      <c r="A79" s="610">
        <v>19</v>
      </c>
      <c r="B79" s="425"/>
      <c r="C79" s="425"/>
      <c r="D79" s="425"/>
      <c r="E79" s="783">
        <v>1000028485</v>
      </c>
      <c r="F79" s="747" t="s">
        <v>572</v>
      </c>
      <c r="G79" s="741" t="s">
        <v>529</v>
      </c>
      <c r="H79" s="773">
        <v>16</v>
      </c>
      <c r="I79" s="426"/>
      <c r="J79" s="427" t="str">
        <f t="shared" si="0"/>
        <v>INCLUDED</v>
      </c>
    </row>
    <row r="80" spans="1:10" ht="16.5">
      <c r="A80" s="610">
        <v>20</v>
      </c>
      <c r="B80" s="425"/>
      <c r="C80" s="425"/>
      <c r="D80" s="425"/>
      <c r="E80" s="777">
        <v>1000022420</v>
      </c>
      <c r="F80" s="745" t="s">
        <v>510</v>
      </c>
      <c r="G80" s="741" t="s">
        <v>529</v>
      </c>
      <c r="H80" s="773">
        <v>32</v>
      </c>
      <c r="I80" s="426"/>
      <c r="J80" s="427" t="str">
        <f t="shared" si="0"/>
        <v>INCLUDED</v>
      </c>
    </row>
    <row r="81" spans="1:10" ht="16.5">
      <c r="A81" s="610">
        <v>21</v>
      </c>
      <c r="B81" s="425"/>
      <c r="C81" s="425"/>
      <c r="D81" s="425"/>
      <c r="E81" s="777">
        <v>1000020447</v>
      </c>
      <c r="F81" s="745" t="s">
        <v>511</v>
      </c>
      <c r="G81" s="741" t="s">
        <v>529</v>
      </c>
      <c r="H81" s="773">
        <v>0</v>
      </c>
      <c r="I81" s="426"/>
      <c r="J81" s="427" t="str">
        <f t="shared" si="0"/>
        <v>INCLUDED</v>
      </c>
    </row>
    <row r="82" spans="1:10" ht="16.5">
      <c r="A82" s="610">
        <v>22</v>
      </c>
      <c r="B82" s="425"/>
      <c r="C82" s="425"/>
      <c r="D82" s="425"/>
      <c r="E82" s="777">
        <v>1000020991</v>
      </c>
      <c r="F82" s="745" t="s">
        <v>512</v>
      </c>
      <c r="G82" s="741" t="s">
        <v>529</v>
      </c>
      <c r="H82" s="773">
        <v>16</v>
      </c>
      <c r="I82" s="426"/>
      <c r="J82" s="427" t="str">
        <f t="shared" si="0"/>
        <v>INCLUDED</v>
      </c>
    </row>
    <row r="83" spans="1:10" ht="16.5">
      <c r="A83" s="610">
        <v>23</v>
      </c>
      <c r="B83" s="425"/>
      <c r="C83" s="425"/>
      <c r="D83" s="425"/>
      <c r="E83" s="777">
        <v>1000019809</v>
      </c>
      <c r="F83" s="745" t="s">
        <v>513</v>
      </c>
      <c r="G83" s="746" t="s">
        <v>476</v>
      </c>
      <c r="H83" s="773">
        <v>0</v>
      </c>
      <c r="I83" s="426"/>
      <c r="J83" s="427" t="str">
        <f t="shared" si="0"/>
        <v>INCLUDED</v>
      </c>
    </row>
    <row r="84" spans="1:10" ht="31.5">
      <c r="A84" s="610">
        <v>24</v>
      </c>
      <c r="B84" s="425"/>
      <c r="C84" s="425"/>
      <c r="D84" s="425"/>
      <c r="E84" s="777">
        <v>1000019788</v>
      </c>
      <c r="F84" s="745" t="s">
        <v>514</v>
      </c>
      <c r="G84" s="746" t="s">
        <v>476</v>
      </c>
      <c r="H84" s="773">
        <v>6</v>
      </c>
      <c r="I84" s="426"/>
      <c r="J84" s="427" t="str">
        <f t="shared" si="0"/>
        <v>INCLUDED</v>
      </c>
    </row>
    <row r="85" spans="1:10" ht="16.5">
      <c r="A85" s="610">
        <v>25</v>
      </c>
      <c r="B85" s="425"/>
      <c r="C85" s="425"/>
      <c r="D85" s="425"/>
      <c r="E85" s="777">
        <v>1000010800</v>
      </c>
      <c r="F85" s="745" t="s">
        <v>515</v>
      </c>
      <c r="G85" s="746" t="s">
        <v>476</v>
      </c>
      <c r="H85" s="773">
        <v>192</v>
      </c>
      <c r="I85" s="426"/>
      <c r="J85" s="427" t="str">
        <f t="shared" si="0"/>
        <v>INCLUDED</v>
      </c>
    </row>
    <row r="86" spans="1:10" ht="16.5">
      <c r="A86" s="610">
        <v>26</v>
      </c>
      <c r="B86" s="425"/>
      <c r="C86" s="425"/>
      <c r="D86" s="425"/>
      <c r="E86" s="777">
        <v>1000022431</v>
      </c>
      <c r="F86" s="745" t="s">
        <v>516</v>
      </c>
      <c r="G86" s="741" t="s">
        <v>529</v>
      </c>
      <c r="H86" s="773">
        <v>384</v>
      </c>
      <c r="I86" s="426"/>
      <c r="J86" s="427" t="str">
        <f t="shared" si="0"/>
        <v>INCLUDED</v>
      </c>
    </row>
    <row r="87" spans="1:10" ht="16.5">
      <c r="A87" s="610">
        <v>27</v>
      </c>
      <c r="B87" s="425"/>
      <c r="C87" s="425"/>
      <c r="D87" s="425"/>
      <c r="E87" s="777">
        <v>1000007935</v>
      </c>
      <c r="F87" s="745" t="s">
        <v>517</v>
      </c>
      <c r="G87" s="741" t="s">
        <v>529</v>
      </c>
      <c r="H87" s="773">
        <v>201.26</v>
      </c>
      <c r="I87" s="426"/>
      <c r="J87" s="427" t="str">
        <f t="shared" si="0"/>
        <v>INCLUDED</v>
      </c>
    </row>
    <row r="88" spans="1:10" ht="16.5">
      <c r="A88" s="610">
        <v>28</v>
      </c>
      <c r="B88" s="425"/>
      <c r="C88" s="425"/>
      <c r="D88" s="425"/>
      <c r="E88" s="777">
        <v>1000018559</v>
      </c>
      <c r="F88" s="745" t="s">
        <v>518</v>
      </c>
      <c r="G88" s="741" t="s">
        <v>529</v>
      </c>
      <c r="H88" s="773">
        <v>192</v>
      </c>
      <c r="I88" s="426"/>
      <c r="J88" s="427" t="str">
        <f t="shared" si="0"/>
        <v>INCLUDED</v>
      </c>
    </row>
    <row r="89" spans="1:10" ht="16.5">
      <c r="A89" s="610">
        <v>29</v>
      </c>
      <c r="B89" s="425"/>
      <c r="C89" s="425"/>
      <c r="D89" s="425"/>
      <c r="E89" s="777">
        <v>1000030860</v>
      </c>
      <c r="F89" s="745" t="s">
        <v>519</v>
      </c>
      <c r="G89" s="741" t="s">
        <v>530</v>
      </c>
      <c r="H89" s="773">
        <v>32.53</v>
      </c>
      <c r="I89" s="426"/>
      <c r="J89" s="427" t="str">
        <f t="shared" si="0"/>
        <v>INCLUDED</v>
      </c>
    </row>
    <row r="90" spans="1:10" ht="16.5">
      <c r="A90" s="610">
        <v>30</v>
      </c>
      <c r="B90" s="425"/>
      <c r="C90" s="425"/>
      <c r="D90" s="425"/>
      <c r="E90" s="777">
        <v>1000030841</v>
      </c>
      <c r="F90" s="745" t="s">
        <v>520</v>
      </c>
      <c r="G90" s="741" t="s">
        <v>530</v>
      </c>
      <c r="H90" s="773">
        <v>2.63</v>
      </c>
      <c r="I90" s="426"/>
      <c r="J90" s="427" t="str">
        <f t="shared" si="0"/>
        <v>INCLUDED</v>
      </c>
    </row>
    <row r="91" spans="1:10" ht="31.5">
      <c r="A91" s="610">
        <v>31</v>
      </c>
      <c r="B91" s="425"/>
      <c r="C91" s="425"/>
      <c r="D91" s="425"/>
      <c r="E91" s="777">
        <v>1000009325</v>
      </c>
      <c r="F91" s="742" t="s">
        <v>486</v>
      </c>
      <c r="G91" s="741" t="s">
        <v>531</v>
      </c>
      <c r="H91" s="773">
        <v>3</v>
      </c>
      <c r="I91" s="426"/>
      <c r="J91" s="427" t="str">
        <f t="shared" si="0"/>
        <v>INCLUDED</v>
      </c>
    </row>
    <row r="92" spans="1:10" ht="31.5">
      <c r="A92" s="610">
        <v>32</v>
      </c>
      <c r="B92" s="425"/>
      <c r="C92" s="425"/>
      <c r="D92" s="425"/>
      <c r="E92" s="777">
        <v>1000009328</v>
      </c>
      <c r="F92" s="740" t="s">
        <v>487</v>
      </c>
      <c r="G92" s="741" t="s">
        <v>531</v>
      </c>
      <c r="H92" s="773">
        <v>192</v>
      </c>
      <c r="I92" s="426"/>
      <c r="J92" s="427" t="str">
        <f t="shared" si="0"/>
        <v>INCLUDED</v>
      </c>
    </row>
    <row r="93" spans="1:10" ht="16.5">
      <c r="A93" s="610">
        <v>33</v>
      </c>
      <c r="B93" s="425"/>
      <c r="C93" s="425"/>
      <c r="D93" s="425"/>
      <c r="E93" s="777">
        <v>1000019903</v>
      </c>
      <c r="F93" s="745" t="s">
        <v>521</v>
      </c>
      <c r="G93" s="741" t="s">
        <v>532</v>
      </c>
      <c r="H93" s="751">
        <v>14</v>
      </c>
      <c r="I93" s="426"/>
      <c r="J93" s="427" t="str">
        <f t="shared" si="0"/>
        <v>INCLUDED</v>
      </c>
    </row>
    <row r="94" spans="1:10" ht="16.5">
      <c r="A94" s="610">
        <v>34</v>
      </c>
      <c r="B94" s="425"/>
      <c r="C94" s="425"/>
      <c r="D94" s="425"/>
      <c r="E94" s="777">
        <v>1000016663</v>
      </c>
      <c r="F94" s="740" t="s">
        <v>485</v>
      </c>
      <c r="G94" s="741" t="s">
        <v>533</v>
      </c>
      <c r="H94" s="751">
        <v>8</v>
      </c>
      <c r="I94" s="426"/>
      <c r="J94" s="427" t="str">
        <f t="shared" si="0"/>
        <v>INCLUDED</v>
      </c>
    </row>
    <row r="95" spans="1:10" ht="16.5">
      <c r="A95" s="610">
        <v>35</v>
      </c>
      <c r="B95" s="425"/>
      <c r="C95" s="425"/>
      <c r="D95" s="425"/>
      <c r="E95" s="779">
        <v>1000030940</v>
      </c>
      <c r="F95" s="748" t="s">
        <v>481</v>
      </c>
      <c r="G95" s="402" t="s">
        <v>534</v>
      </c>
      <c r="H95" s="751">
        <v>2.63</v>
      </c>
      <c r="I95" s="426"/>
      <c r="J95" s="427" t="str">
        <f t="shared" si="0"/>
        <v>INCLUDED</v>
      </c>
    </row>
    <row r="96" spans="1:10" ht="16.5">
      <c r="A96" s="610">
        <v>36</v>
      </c>
      <c r="B96" s="425"/>
      <c r="C96" s="425"/>
      <c r="D96" s="425"/>
      <c r="E96" s="780">
        <v>1000020444</v>
      </c>
      <c r="F96" s="749" t="s">
        <v>522</v>
      </c>
      <c r="G96" s="402" t="s">
        <v>528</v>
      </c>
      <c r="H96" s="751">
        <v>0</v>
      </c>
      <c r="I96" s="426"/>
      <c r="J96" s="427" t="str">
        <f t="shared" si="0"/>
        <v>INCLUDED</v>
      </c>
    </row>
    <row r="97" spans="1:11" ht="31.5">
      <c r="A97" s="610">
        <v>37</v>
      </c>
      <c r="B97" s="425"/>
      <c r="C97" s="425"/>
      <c r="D97" s="425"/>
      <c r="E97" s="781">
        <v>1000031039</v>
      </c>
      <c r="F97" s="748" t="s">
        <v>523</v>
      </c>
      <c r="G97" s="402" t="s">
        <v>476</v>
      </c>
      <c r="H97" s="751">
        <v>16</v>
      </c>
      <c r="I97" s="426"/>
      <c r="J97" s="427" t="str">
        <f t="shared" si="0"/>
        <v>INCLUDED</v>
      </c>
    </row>
    <row r="98" spans="1:11" ht="16.5">
      <c r="A98" s="610">
        <v>38</v>
      </c>
      <c r="B98" s="425"/>
      <c r="C98" s="425"/>
      <c r="D98" s="425"/>
      <c r="E98" s="781">
        <v>1000033146</v>
      </c>
      <c r="F98" s="748" t="s">
        <v>524</v>
      </c>
      <c r="G98" s="402" t="s">
        <v>476</v>
      </c>
      <c r="H98" s="751">
        <v>0</v>
      </c>
      <c r="I98" s="426"/>
      <c r="J98" s="427" t="str">
        <f t="shared" si="0"/>
        <v>INCLUDED</v>
      </c>
    </row>
    <row r="99" spans="1:11" ht="31.5">
      <c r="A99" s="610">
        <v>39</v>
      </c>
      <c r="B99" s="425"/>
      <c r="C99" s="425"/>
      <c r="D99" s="425"/>
      <c r="E99" s="781">
        <v>1000031041</v>
      </c>
      <c r="F99" s="748" t="s">
        <v>525</v>
      </c>
      <c r="G99" s="402" t="s">
        <v>476</v>
      </c>
      <c r="H99" s="751">
        <v>0</v>
      </c>
      <c r="I99" s="426"/>
      <c r="J99" s="427" t="str">
        <f t="shared" si="0"/>
        <v>INCLUDED</v>
      </c>
    </row>
    <row r="100" spans="1:11" ht="16.5">
      <c r="A100" s="610">
        <v>40</v>
      </c>
      <c r="B100" s="425"/>
      <c r="C100" s="425"/>
      <c r="D100" s="425"/>
      <c r="E100" s="781">
        <v>1000022417</v>
      </c>
      <c r="F100" s="748" t="s">
        <v>482</v>
      </c>
      <c r="G100" s="402" t="s">
        <v>528</v>
      </c>
      <c r="H100" s="751">
        <v>32</v>
      </c>
      <c r="I100" s="426"/>
      <c r="J100" s="427" t="str">
        <f t="shared" si="0"/>
        <v>INCLUDED</v>
      </c>
    </row>
    <row r="101" spans="1:11" ht="16.5">
      <c r="A101" s="610">
        <v>41</v>
      </c>
      <c r="B101" s="425"/>
      <c r="C101" s="425"/>
      <c r="D101" s="425"/>
      <c r="E101" s="781">
        <v>1000010817</v>
      </c>
      <c r="F101" s="748" t="s">
        <v>526</v>
      </c>
      <c r="G101" s="402" t="s">
        <v>528</v>
      </c>
      <c r="H101" s="751">
        <v>0</v>
      </c>
      <c r="I101" s="426"/>
      <c r="J101" s="427" t="str">
        <f t="shared" si="0"/>
        <v>INCLUDED</v>
      </c>
    </row>
    <row r="102" spans="1:11" ht="16.5">
      <c r="A102" s="610">
        <v>42</v>
      </c>
      <c r="B102" s="425"/>
      <c r="C102" s="425"/>
      <c r="D102" s="425"/>
      <c r="E102" s="781">
        <v>1000014198</v>
      </c>
      <c r="F102" s="750" t="s">
        <v>483</v>
      </c>
      <c r="G102" s="402" t="s">
        <v>528</v>
      </c>
      <c r="H102" s="751">
        <v>0</v>
      </c>
      <c r="I102" s="426"/>
      <c r="J102" s="427" t="str">
        <f t="shared" si="0"/>
        <v>INCLUDED</v>
      </c>
    </row>
    <row r="103" spans="1:11" ht="22.5" customHeight="1">
      <c r="A103" s="881"/>
      <c r="B103" s="882"/>
      <c r="C103" s="882"/>
      <c r="D103" s="882"/>
      <c r="E103" s="882"/>
      <c r="F103" s="882"/>
      <c r="G103" s="882"/>
      <c r="H103" s="882"/>
      <c r="I103" s="882"/>
      <c r="J103" s="883"/>
    </row>
    <row r="104" spans="1:11" ht="33" customHeight="1">
      <c r="A104" s="611"/>
      <c r="B104" s="873" t="s">
        <v>464</v>
      </c>
      <c r="C104" s="874"/>
      <c r="D104" s="874"/>
      <c r="E104" s="874"/>
      <c r="F104" s="874"/>
      <c r="G104" s="874"/>
      <c r="H104" s="875"/>
      <c r="I104" s="612"/>
      <c r="J104" s="613">
        <f>SUM(J18:J102)</f>
        <v>0</v>
      </c>
      <c r="K104" s="614"/>
    </row>
    <row r="105" spans="1:11" ht="57.75" customHeight="1">
      <c r="A105" s="615"/>
      <c r="B105" s="879" t="s">
        <v>337</v>
      </c>
      <c r="C105" s="879"/>
      <c r="D105" s="879"/>
      <c r="E105" s="879"/>
      <c r="F105" s="879"/>
      <c r="G105" s="879"/>
      <c r="H105" s="879"/>
      <c r="I105" s="879"/>
      <c r="J105" s="879"/>
      <c r="K105" s="614"/>
    </row>
    <row r="106" spans="1:11" ht="24.75" customHeight="1">
      <c r="B106" s="569"/>
      <c r="C106" s="569"/>
      <c r="D106" s="569"/>
      <c r="E106" s="569"/>
      <c r="F106" s="569"/>
      <c r="G106" s="569"/>
      <c r="H106" s="577"/>
      <c r="I106" s="569"/>
      <c r="J106" s="577"/>
      <c r="K106" s="614"/>
    </row>
    <row r="107" spans="1:11" s="616" customFormat="1" ht="16.5">
      <c r="B107" s="617" t="s">
        <v>306</v>
      </c>
      <c r="C107" s="857" t="str">
        <f>'Sch-1'!C109:D109</f>
        <v xml:space="preserve">  </v>
      </c>
      <c r="D107" s="854"/>
      <c r="G107" s="876" t="s">
        <v>308</v>
      </c>
      <c r="H107" s="876"/>
      <c r="I107" s="856" t="str">
        <f>'Sch-1'!K109</f>
        <v/>
      </c>
      <c r="J107" s="856"/>
    </row>
    <row r="108" spans="1:11" s="616" customFormat="1" ht="16.5">
      <c r="B108" s="617" t="s">
        <v>307</v>
      </c>
      <c r="C108" s="854" t="str">
        <f>'Sch-1'!C110:D110</f>
        <v/>
      </c>
      <c r="D108" s="854"/>
      <c r="G108" s="876" t="s">
        <v>123</v>
      </c>
      <c r="H108" s="876"/>
      <c r="I108" s="856" t="str">
        <f>'Sch-1'!K110</f>
        <v/>
      </c>
      <c r="J108" s="856"/>
    </row>
    <row r="109" spans="1:11" ht="16.5">
      <c r="B109" s="619"/>
      <c r="C109" s="620"/>
      <c r="D109" s="577"/>
      <c r="E109" s="621"/>
      <c r="F109" s="622"/>
      <c r="G109" s="577"/>
      <c r="H109" s="623"/>
      <c r="I109" s="614"/>
      <c r="J109" s="623"/>
      <c r="K109" s="614"/>
    </row>
    <row r="110" spans="1:11" ht="16.5">
      <c r="B110" s="579"/>
      <c r="C110" s="624"/>
      <c r="D110" s="579"/>
      <c r="E110" s="621"/>
      <c r="F110" s="622"/>
      <c r="G110" s="579"/>
      <c r="H110" s="623"/>
      <c r="I110" s="614"/>
      <c r="J110" s="623"/>
      <c r="K110" s="614"/>
    </row>
  </sheetData>
  <sheetProtection algorithmName="SHA-512" hashValue="SMFKhKeFdlHl+0k1HU6L/HFGqM+7qnOsZoL2wlKZCjpoUr1WabFrHaazTCVOnfKyw6cjL/DKGID+dL8PD2yN/g==" saltValue="zSnPlA+Dwi5Yk7YSjmAGeQ==" spinCount="100000" sheet="1" formatColumns="0" formatRows="0" selectLockedCells="1"/>
  <customSheetViews>
    <customSheetView guid="{ADF3F130-0A37-42E7-A525-50C5A6B01A26}" showPageBreaks="1" fitToPage="1" printArea="1" view="pageBreakPreview">
      <selection activeCell="I18" sqref="I18"/>
      <pageMargins left="0.45" right="0.45" top="0.75" bottom="0.5" header="0.3" footer="0.3"/>
      <printOptions horizontalCentered="1"/>
      <pageSetup paperSize="9" scale="55" fitToHeight="0" orientation="landscape" r:id="rId1"/>
      <headerFooter>
        <oddHeader>&amp;RSchedule-2Page &amp;P of &amp;N</oddHeader>
      </headerFooter>
    </customSheetView>
    <customSheetView guid="{889C3D82-0A24-4765-A688-A80A782F5056}" showPageBreaks="1" fitToPage="1" printArea="1" view="pageBreakPreview">
      <selection activeCell="I324" sqref="I324"/>
      <pageMargins left="0.45" right="0.45" top="0.75" bottom="0.5" header="0.3" footer="0.3"/>
      <printOptions horizontalCentered="1"/>
      <pageSetup paperSize="9" scale="55" fitToHeight="0" orientation="landscape" r:id="rId2"/>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3"/>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4"/>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5"/>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6"/>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&amp;RSchedule-2Page &amp;P of &amp;N</oddHeader>
      </headerFooter>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8"/>
      <headerFooter>
        <oddHeader>&amp;RSchedule-2Page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9"/>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10"/>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11"/>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12"/>
      <headerFooter>
        <oddHeader>&amp;RSchedule-2Page &amp;P of &amp;N</oddHeader>
      </headerFooter>
    </customSheetView>
    <customSheetView guid="{1211E1B9-FC37-4364-9CF0-0FFC01866726}" showPageBreaks="1" fitToPage="1" printArea="1" view="pageBreakPreview">
      <selection activeCell="I18" sqref="I18"/>
      <pageMargins left="0.45" right="0.45" top="0.75" bottom="0.5" header="0.3" footer="0.3"/>
      <printOptions horizontalCentered="1"/>
      <pageSetup paperSize="9" scale="55" fitToHeight="0" orientation="landscape" r:id="rId13"/>
      <headerFooter>
        <oddHeader>&amp;RSchedule-2Page &amp;P of &amp;N</oddHeader>
      </headerFooter>
    </customSheetView>
  </customSheetViews>
  <mergeCells count="22">
    <mergeCell ref="N3:O3"/>
    <mergeCell ref="A4:J4"/>
    <mergeCell ref="A3:J3"/>
    <mergeCell ref="C108:D108"/>
    <mergeCell ref="B105:J105"/>
    <mergeCell ref="C107:D107"/>
    <mergeCell ref="I107:J107"/>
    <mergeCell ref="A6:B6"/>
    <mergeCell ref="I14:J14"/>
    <mergeCell ref="A7:F7"/>
    <mergeCell ref="A8:G8"/>
    <mergeCell ref="C10:E10"/>
    <mergeCell ref="C9:E9"/>
    <mergeCell ref="A103:J103"/>
    <mergeCell ref="C12:E12"/>
    <mergeCell ref="C11:E11"/>
    <mergeCell ref="A13:J13"/>
    <mergeCell ref="B104:H104"/>
    <mergeCell ref="G108:H108"/>
    <mergeCell ref="G107:H107"/>
    <mergeCell ref="I108:J108"/>
    <mergeCell ref="B60:D60"/>
  </mergeCells>
  <conditionalFormatting sqref="E35">
    <cfRule type="duplicateValues" dxfId="53" priority="46"/>
    <cfRule type="duplicateValues" dxfId="52" priority="45"/>
    <cfRule type="duplicateValues" dxfId="51" priority="43"/>
    <cfRule type="duplicateValues" dxfId="50" priority="42"/>
    <cfRule type="duplicateValues" dxfId="49" priority="41"/>
    <cfRule type="duplicateValues" dxfId="48" priority="40"/>
    <cfRule type="duplicateValues" dxfId="47" priority="44"/>
    <cfRule type="duplicateValues" dxfId="46" priority="36"/>
    <cfRule type="duplicateValues" dxfId="45" priority="39"/>
    <cfRule type="duplicateValues" dxfId="44" priority="38"/>
    <cfRule type="duplicateValues" dxfId="43" priority="37"/>
    <cfRule type="duplicateValues" dxfId="42" priority="48"/>
    <cfRule type="duplicateValues" dxfId="41" priority="47"/>
  </conditionalFormatting>
  <conditionalFormatting sqref="E36">
    <cfRule type="duplicateValues" dxfId="40" priority="25"/>
    <cfRule type="duplicateValues" dxfId="39" priority="32"/>
    <cfRule type="duplicateValues" dxfId="38" priority="27"/>
    <cfRule type="duplicateValues" dxfId="37" priority="28"/>
    <cfRule type="duplicateValues" dxfId="36" priority="29"/>
    <cfRule type="duplicateValues" dxfId="35" priority="30"/>
    <cfRule type="duplicateValues" dxfId="34" priority="31"/>
    <cfRule type="duplicateValues" dxfId="33" priority="33"/>
    <cfRule type="duplicateValues" dxfId="32" priority="34"/>
    <cfRule type="duplicateValues" dxfId="31" priority="35"/>
    <cfRule type="duplicateValues" dxfId="30" priority="26"/>
  </conditionalFormatting>
  <conditionalFormatting sqref="E78">
    <cfRule type="duplicateValues" dxfId="29" priority="13"/>
    <cfRule type="duplicateValues" dxfId="28" priority="20"/>
    <cfRule type="duplicateValues" dxfId="27" priority="24"/>
    <cfRule type="duplicateValues" dxfId="26" priority="23"/>
    <cfRule type="duplicateValues" dxfId="25" priority="22"/>
    <cfRule type="duplicateValues" dxfId="24" priority="21"/>
    <cfRule type="duplicateValues" dxfId="23" priority="19"/>
    <cfRule type="duplicateValues" dxfId="22" priority="18"/>
    <cfRule type="duplicateValues" dxfId="21" priority="17"/>
    <cfRule type="duplicateValues" dxfId="20" priority="16"/>
    <cfRule type="duplicateValues" dxfId="19" priority="15"/>
    <cfRule type="duplicateValues" dxfId="18" priority="14"/>
    <cfRule type="duplicateValues" dxfId="17" priority="12"/>
  </conditionalFormatting>
  <conditionalFormatting sqref="E79">
    <cfRule type="duplicateValues" dxfId="16" priority="2"/>
    <cfRule type="duplicateValues" dxfId="15" priority="3"/>
    <cfRule type="duplicateValues" dxfId="14" priority="4"/>
    <cfRule type="duplicateValues" dxfId="13" priority="5"/>
    <cfRule type="duplicateValues" dxfId="12" priority="6"/>
    <cfRule type="duplicateValues" dxfId="11" priority="8"/>
    <cfRule type="duplicateValues" dxfId="10" priority="9"/>
    <cfRule type="duplicateValues" dxfId="9" priority="10"/>
    <cfRule type="duplicateValues" dxfId="8" priority="11"/>
    <cfRule type="duplicateValues" dxfId="7" priority="1"/>
    <cfRule type="duplicateValues" dxfId="6" priority="7"/>
  </conditionalFormatting>
  <conditionalFormatting sqref="F35">
    <cfRule type="duplicateValues" dxfId="5" priority="50"/>
  </conditionalFormatting>
  <conditionalFormatting sqref="F78">
    <cfRule type="duplicateValues" dxfId="4" priority="49"/>
  </conditionalFormatting>
  <dataValidations count="2">
    <dataValidation type="decimal" operator="greaterThan" allowBlank="1" showInputMessage="1" showErrorMessage="1" error="Enter only Numeric value greater than zero or leave the cell blank !" sqref="I64687:I64688" xr:uid="{00000000-0002-0000-0500-000000000000}">
      <formula1>0</formula1>
    </dataValidation>
    <dataValidation type="decimal" operator="greaterThanOrEqual" allowBlank="1" showInputMessage="1" showErrorMessage="1" sqref="I18:I102" xr:uid="{00000000-0002-0000-0500-000001000000}">
      <formula1>0</formula1>
    </dataValidation>
  </dataValidations>
  <printOptions horizontalCentered="1"/>
  <pageMargins left="0.45" right="0.45" top="0.75" bottom="0.5" header="0.3" footer="0.3"/>
  <pageSetup paperSize="9" scale="55" fitToHeight="0" orientation="landscape" r:id="rId14"/>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92"/>
  <sheetViews>
    <sheetView tabSelected="1" view="pageBreakPreview" topLeftCell="G3" zoomScale="85" zoomScaleNormal="80" zoomScaleSheetLayoutView="85" workbookViewId="0">
      <selection activeCell="O61" sqref="O61"/>
    </sheetView>
  </sheetViews>
  <sheetFormatPr defaultColWidth="38.5703125" defaultRowHeight="15.75"/>
  <cols>
    <col min="1" max="1" width="5.5703125" style="700" customWidth="1"/>
    <col min="2" max="2" width="16.28515625" style="700" customWidth="1"/>
    <col min="3" max="3" width="9.7109375" style="700" customWidth="1"/>
    <col min="4" max="4" width="22.5703125" style="700" customWidth="1"/>
    <col min="5" max="5" width="9.28515625" style="700" customWidth="1"/>
    <col min="6" max="6" width="26.42578125" style="666" customWidth="1"/>
    <col min="7" max="7" width="18.5703125" style="666" customWidth="1"/>
    <col min="8" max="8" width="13.85546875" style="666" customWidth="1"/>
    <col min="9" max="9" width="15.7109375" style="666" customWidth="1"/>
    <col min="10" max="10" width="13.85546875" style="666" customWidth="1"/>
    <col min="11" max="11" width="17" style="666" customWidth="1"/>
    <col min="12" max="12" width="108.42578125" style="582" customWidth="1"/>
    <col min="13" max="13" width="8.7109375" style="667" customWidth="1"/>
    <col min="14" max="14" width="10.5703125" style="668" customWidth="1"/>
    <col min="15" max="15" width="16.140625" style="667" customWidth="1"/>
    <col min="16" max="16" width="40.140625" style="667" customWidth="1"/>
    <col min="17" max="17" width="13.85546875" style="318" hidden="1" customWidth="1"/>
    <col min="18" max="18" width="13.28515625" style="314" hidden="1" customWidth="1"/>
    <col min="19" max="19" width="15.28515625" style="314" hidden="1" customWidth="1"/>
    <col min="20" max="20" width="14.7109375" style="583" hidden="1" customWidth="1"/>
    <col min="21" max="21" width="19.7109375" style="314" hidden="1" customWidth="1"/>
    <col min="22" max="22" width="14.140625" style="318" hidden="1" customWidth="1"/>
    <col min="23" max="23" width="14" style="318" hidden="1" customWidth="1"/>
    <col min="24" max="24" width="19.140625" style="318" hidden="1" customWidth="1"/>
    <col min="25" max="25" width="18.42578125" style="318" hidden="1" customWidth="1"/>
    <col min="26" max="26" width="12.28515625" style="318" hidden="1" customWidth="1"/>
    <col min="27" max="27" width="16.140625" style="318" hidden="1" customWidth="1"/>
    <col min="28" max="28" width="17.7109375" style="318" customWidth="1"/>
    <col min="29" max="31" width="9.140625" style="318" customWidth="1"/>
    <col min="32" max="243" width="9.140625" style="314" customWidth="1"/>
    <col min="244" max="244" width="12.5703125" style="314" customWidth="1"/>
    <col min="245" max="245" width="73.42578125" style="314" customWidth="1"/>
    <col min="246" max="246" width="8.7109375" style="314" customWidth="1"/>
    <col min="247" max="247" width="10.5703125" style="314" customWidth="1"/>
    <col min="248" max="248" width="14.5703125" style="314" customWidth="1"/>
    <col min="249" max="16384" width="38.5703125" style="314"/>
  </cols>
  <sheetData>
    <row r="1" spans="1:31" ht="24.75" customHeight="1">
      <c r="A1" s="659" t="str">
        <f>Cover!B3</f>
        <v>Spec No: NR1/NT/W-TW/DOM/I00/25/03940 (Rfx-5002004353)</v>
      </c>
      <c r="B1" s="659"/>
      <c r="C1" s="659"/>
      <c r="D1" s="659"/>
      <c r="E1" s="659"/>
      <c r="F1" s="660"/>
      <c r="G1" s="660"/>
      <c r="H1" s="660"/>
      <c r="I1" s="660"/>
      <c r="J1" s="660"/>
      <c r="K1" s="660"/>
      <c r="L1" s="661"/>
      <c r="M1" s="626"/>
      <c r="N1" s="626"/>
      <c r="O1" s="570"/>
      <c r="P1" s="662" t="s">
        <v>17</v>
      </c>
    </row>
    <row r="2" spans="1:31">
      <c r="A2" s="663"/>
      <c r="B2" s="663"/>
      <c r="C2" s="663"/>
      <c r="D2" s="663"/>
      <c r="E2" s="663"/>
      <c r="F2" s="664"/>
      <c r="G2" s="664"/>
      <c r="H2" s="664"/>
      <c r="I2" s="664"/>
      <c r="J2" s="664"/>
      <c r="K2" s="664"/>
      <c r="L2" s="665"/>
      <c r="M2" s="583"/>
      <c r="N2" s="583"/>
      <c r="O2" s="314"/>
      <c r="P2" s="314"/>
    </row>
    <row r="3" spans="1:31" ht="80.25" customHeight="1">
      <c r="A3" s="864" t="str">
        <f>Cover!$B$2</f>
        <v>Transmission Line package TW02 for Diversion / modification of various POWERGRID’s 400kV Transmission Lines due to upcoming Green Field Airport at Kota under Consultancy Services to Kota Development Authority, Kota</v>
      </c>
      <c r="B3" s="864"/>
      <c r="C3" s="864"/>
      <c r="D3" s="864"/>
      <c r="E3" s="864"/>
      <c r="F3" s="864"/>
      <c r="G3" s="864"/>
      <c r="H3" s="864"/>
      <c r="I3" s="864"/>
      <c r="J3" s="864"/>
      <c r="K3" s="864"/>
      <c r="L3" s="864"/>
      <c r="M3" s="864"/>
      <c r="N3" s="864"/>
      <c r="O3" s="864"/>
      <c r="P3" s="864"/>
    </row>
    <row r="4" spans="1:31" ht="16.5">
      <c r="A4" s="865" t="s">
        <v>19</v>
      </c>
      <c r="B4" s="865"/>
      <c r="C4" s="865"/>
      <c r="D4" s="865"/>
      <c r="E4" s="865"/>
      <c r="F4" s="865"/>
      <c r="G4" s="865"/>
      <c r="H4" s="865"/>
      <c r="I4" s="865"/>
      <c r="J4" s="865"/>
      <c r="K4" s="865"/>
      <c r="L4" s="865"/>
      <c r="M4" s="865"/>
      <c r="N4" s="865"/>
      <c r="O4" s="865"/>
      <c r="P4" s="865"/>
    </row>
    <row r="6" spans="1:31" ht="21.75" customHeight="1">
      <c r="A6" s="866" t="s">
        <v>338</v>
      </c>
      <c r="B6" s="866"/>
      <c r="C6" s="583"/>
      <c r="D6" s="577"/>
      <c r="E6" s="583"/>
      <c r="F6" s="583"/>
      <c r="G6" s="583"/>
      <c r="H6" s="583"/>
      <c r="I6" s="583"/>
    </row>
    <row r="7" spans="1:31" ht="21" customHeight="1">
      <c r="A7" s="870" t="str">
        <f>'Sch-1'!A7</f>
        <v>abc</v>
      </c>
      <c r="B7" s="870"/>
      <c r="C7" s="870"/>
      <c r="D7" s="870"/>
      <c r="E7" s="870"/>
      <c r="F7" s="870"/>
      <c r="G7" s="870"/>
      <c r="H7" s="870"/>
      <c r="I7" s="870"/>
      <c r="J7" s="669"/>
      <c r="K7" s="669"/>
      <c r="L7" s="593"/>
      <c r="M7" s="670" t="s">
        <v>1</v>
      </c>
      <c r="N7" s="671"/>
      <c r="O7" s="314"/>
      <c r="P7" s="314"/>
    </row>
    <row r="8" spans="1:31" ht="22.5" customHeight="1">
      <c r="A8" s="867" t="str">
        <f>"Bidder’s Name and Address  (" &amp; MID('Names of Bidder'!A9,9, 20) &amp; ") :"</f>
        <v>Bidder’s Name and Address  (Sole Bidder) :</v>
      </c>
      <c r="B8" s="867"/>
      <c r="C8" s="867"/>
      <c r="D8" s="867"/>
      <c r="E8" s="867"/>
      <c r="F8" s="867"/>
      <c r="G8" s="867"/>
      <c r="H8" s="588"/>
      <c r="I8" s="588"/>
      <c r="J8" s="672"/>
      <c r="K8" s="672"/>
      <c r="L8" s="672"/>
      <c r="M8" s="673" t="str">
        <f>'Sch-1'!K8</f>
        <v>Contract Services</v>
      </c>
      <c r="N8" s="672"/>
      <c r="O8" s="314"/>
      <c r="P8" s="314"/>
    </row>
    <row r="9" spans="1:31" ht="24.75" customHeight="1">
      <c r="A9" s="584" t="s">
        <v>12</v>
      </c>
      <c r="B9" s="589"/>
      <c r="C9" s="870" t="str">
        <f>IF('Names of Bidder'!C9=0, "", 'Names of Bidder'!C9)</f>
        <v>abc</v>
      </c>
      <c r="D9" s="870"/>
      <c r="E9" s="870"/>
      <c r="F9" s="870"/>
      <c r="G9" s="870"/>
      <c r="H9" s="591"/>
      <c r="I9" s="591"/>
      <c r="J9" s="674"/>
      <c r="K9" s="674"/>
      <c r="L9" s="674"/>
      <c r="M9" s="673" t="str">
        <f>'Sch-1'!K9</f>
        <v>Power Grid Corporation of India Ltd.,</v>
      </c>
      <c r="N9" s="583"/>
      <c r="O9" s="314"/>
      <c r="P9" s="314"/>
    </row>
    <row r="10" spans="1:31" ht="21" customHeight="1">
      <c r="A10" s="584" t="s">
        <v>11</v>
      </c>
      <c r="B10" s="589"/>
      <c r="C10" s="869" t="str">
        <f>IF('Names of Bidder'!C10=0, "", 'Names of Bidder'!C10)</f>
        <v>abc</v>
      </c>
      <c r="D10" s="869"/>
      <c r="E10" s="869"/>
      <c r="F10" s="869"/>
      <c r="G10" s="869"/>
      <c r="H10" s="591"/>
      <c r="I10" s="591"/>
      <c r="J10" s="674"/>
      <c r="K10" s="674"/>
      <c r="L10" s="674"/>
      <c r="M10" s="673" t="str">
        <f>'Sch-1'!K10</f>
        <v>"Saudamini", Plot No.-2</v>
      </c>
      <c r="N10" s="583"/>
      <c r="O10" s="314"/>
      <c r="P10" s="314"/>
    </row>
    <row r="11" spans="1:31" ht="20.25" customHeight="1">
      <c r="A11" s="591"/>
      <c r="B11" s="591"/>
      <c r="C11" s="869" t="str">
        <f>IF('Names of Bidder'!C11=0, "", 'Names of Bidder'!C11)</f>
        <v>abc</v>
      </c>
      <c r="D11" s="869"/>
      <c r="E11" s="869"/>
      <c r="F11" s="869"/>
      <c r="G11" s="869"/>
      <c r="H11" s="591"/>
      <c r="I11" s="591"/>
      <c r="J11" s="674"/>
      <c r="K11" s="674"/>
      <c r="L11" s="674"/>
      <c r="M11" s="673" t="str">
        <f>'Sch-1'!K11</f>
        <v xml:space="preserve">Sector-29, </v>
      </c>
      <c r="N11" s="583"/>
      <c r="O11" s="314"/>
      <c r="P11" s="314"/>
    </row>
    <row r="12" spans="1:31" ht="21" customHeight="1">
      <c r="A12" s="591"/>
      <c r="B12" s="591"/>
      <c r="C12" s="869" t="str">
        <f>IF('Names of Bidder'!C12=0, "", 'Names of Bidder'!C12)</f>
        <v>abc</v>
      </c>
      <c r="D12" s="869"/>
      <c r="E12" s="869"/>
      <c r="F12" s="869"/>
      <c r="G12" s="869"/>
      <c r="H12" s="591"/>
      <c r="I12" s="591"/>
      <c r="J12" s="674"/>
      <c r="K12" s="674"/>
      <c r="L12" s="674"/>
      <c r="M12" s="673" t="str">
        <f>'Sch-1'!K12</f>
        <v>Gurugram (Haryana) - 122001</v>
      </c>
      <c r="N12" s="583"/>
      <c r="O12" s="314"/>
      <c r="P12" s="314"/>
    </row>
    <row r="13" spans="1:31">
      <c r="A13" s="675"/>
      <c r="B13" s="675"/>
      <c r="C13" s="675"/>
      <c r="D13" s="675"/>
      <c r="E13" s="675"/>
      <c r="F13" s="676"/>
      <c r="G13" s="676"/>
      <c r="H13" s="676"/>
      <c r="I13" s="676"/>
      <c r="J13" s="676"/>
      <c r="K13" s="676"/>
      <c r="L13" s="674"/>
      <c r="M13" s="587"/>
      <c r="N13" s="591"/>
      <c r="O13" s="673"/>
      <c r="P13" s="314"/>
    </row>
    <row r="14" spans="1:31" ht="24.75" customHeight="1" thickBot="1">
      <c r="A14" s="677" t="s">
        <v>21</v>
      </c>
      <c r="B14" s="677"/>
      <c r="C14" s="677"/>
      <c r="D14" s="677"/>
      <c r="E14" s="677"/>
      <c r="F14" s="677"/>
      <c r="G14" s="677"/>
      <c r="H14" s="677"/>
      <c r="I14" s="677"/>
      <c r="J14" s="677"/>
      <c r="K14" s="677"/>
      <c r="L14" s="677"/>
      <c r="M14" s="677"/>
      <c r="N14" s="677"/>
      <c r="O14" s="880" t="s">
        <v>343</v>
      </c>
      <c r="P14" s="880"/>
    </row>
    <row r="15" spans="1:31" s="685" customFormat="1" ht="125.25" customHeight="1">
      <c r="A15" s="678" t="s">
        <v>7</v>
      </c>
      <c r="B15" s="679" t="s">
        <v>259</v>
      </c>
      <c r="C15" s="679" t="s">
        <v>271</v>
      </c>
      <c r="D15" s="679" t="s">
        <v>270</v>
      </c>
      <c r="E15" s="679" t="s">
        <v>272</v>
      </c>
      <c r="F15" s="679" t="s">
        <v>273</v>
      </c>
      <c r="G15" s="678" t="s">
        <v>25</v>
      </c>
      <c r="H15" s="413" t="s">
        <v>310</v>
      </c>
      <c r="I15" s="414" t="s">
        <v>466</v>
      </c>
      <c r="J15" s="414" t="s">
        <v>300</v>
      </c>
      <c r="K15" s="414" t="s">
        <v>465</v>
      </c>
      <c r="L15" s="680" t="s">
        <v>15</v>
      </c>
      <c r="M15" s="681" t="s">
        <v>9</v>
      </c>
      <c r="N15" s="681" t="s">
        <v>16</v>
      </c>
      <c r="O15" s="680" t="s">
        <v>23</v>
      </c>
      <c r="P15" s="680" t="s">
        <v>24</v>
      </c>
      <c r="Q15" s="682"/>
      <c r="R15" s="683" t="s">
        <v>333</v>
      </c>
      <c r="S15" s="684" t="s">
        <v>334</v>
      </c>
      <c r="T15" s="683" t="s">
        <v>331</v>
      </c>
      <c r="U15" s="683" t="s">
        <v>332</v>
      </c>
      <c r="V15" s="682"/>
      <c r="W15" s="682"/>
      <c r="X15" s="682"/>
      <c r="Y15" s="682"/>
      <c r="Z15" s="682"/>
      <c r="AA15" s="682"/>
      <c r="AB15" s="682"/>
      <c r="AC15" s="682"/>
      <c r="AD15" s="682"/>
      <c r="AE15" s="682"/>
    </row>
    <row r="16" spans="1:31" s="685" customFormat="1" ht="16.5">
      <c r="A16" s="636">
        <v>1</v>
      </c>
      <c r="B16" s="636">
        <v>2</v>
      </c>
      <c r="C16" s="636">
        <v>3</v>
      </c>
      <c r="D16" s="636">
        <v>4</v>
      </c>
      <c r="E16" s="636">
        <v>5</v>
      </c>
      <c r="F16" s="633">
        <v>6</v>
      </c>
      <c r="G16" s="633">
        <v>7</v>
      </c>
      <c r="H16" s="413">
        <v>8</v>
      </c>
      <c r="I16" s="413">
        <v>9</v>
      </c>
      <c r="J16" s="413">
        <v>10</v>
      </c>
      <c r="K16" s="413">
        <v>11</v>
      </c>
      <c r="L16" s="633">
        <v>12</v>
      </c>
      <c r="M16" s="636">
        <v>13</v>
      </c>
      <c r="N16" s="636">
        <v>14</v>
      </c>
      <c r="O16" s="636">
        <v>15</v>
      </c>
      <c r="P16" s="636" t="s">
        <v>311</v>
      </c>
      <c r="Q16" s="682"/>
      <c r="V16" s="682"/>
      <c r="W16" s="682"/>
      <c r="X16" s="682"/>
      <c r="Y16" s="682"/>
      <c r="Z16" s="682"/>
      <c r="AA16" s="682"/>
      <c r="AB16" s="682"/>
      <c r="AC16" s="682"/>
      <c r="AD16" s="682"/>
      <c r="AE16" s="682"/>
    </row>
    <row r="17" spans="1:31" s="685" customFormat="1" ht="34.5" customHeight="1">
      <c r="A17" s="686" t="str">
        <f>'Sch-1'!A17</f>
        <v>A</v>
      </c>
      <c r="B17" s="604" t="str">
        <f>'Sch-1'!B17:N17</f>
        <v xml:space="preserve">400 KV RAPP (C ) -KOTA </v>
      </c>
      <c r="C17" s="605"/>
      <c r="D17" s="605"/>
      <c r="E17" s="605"/>
      <c r="F17" s="606"/>
      <c r="G17" s="687"/>
      <c r="H17" s="687"/>
      <c r="I17" s="687"/>
      <c r="J17" s="687"/>
      <c r="K17" s="687"/>
      <c r="L17" s="687"/>
      <c r="M17" s="687"/>
      <c r="N17" s="687"/>
      <c r="O17" s="687"/>
      <c r="P17" s="687"/>
      <c r="Q17" s="682"/>
      <c r="V17" s="682"/>
      <c r="W17" s="682"/>
      <c r="X17" s="682"/>
      <c r="Y17" s="682"/>
      <c r="Z17" s="682"/>
      <c r="AA17" s="682"/>
      <c r="AB17" s="682"/>
      <c r="AC17" s="682"/>
      <c r="AD17" s="682"/>
      <c r="AE17" s="682"/>
    </row>
    <row r="18" spans="1:31" ht="16.5">
      <c r="A18" s="562">
        <v>1</v>
      </c>
      <c r="B18" s="567"/>
      <c r="C18" s="567"/>
      <c r="D18" s="567"/>
      <c r="E18" s="567"/>
      <c r="F18" s="567"/>
      <c r="G18" s="772">
        <v>100002672</v>
      </c>
      <c r="H18" s="567"/>
      <c r="I18" s="430"/>
      <c r="J18" s="425">
        <v>18</v>
      </c>
      <c r="K18" s="429"/>
      <c r="L18" s="763" t="s">
        <v>535</v>
      </c>
      <c r="M18" s="741" t="s">
        <v>530</v>
      </c>
      <c r="N18" s="785">
        <v>5.5069999999999997</v>
      </c>
      <c r="O18" s="426"/>
      <c r="P18" s="428" t="str">
        <f t="shared" ref="P18:P39" si="0">IF(O18=0, "INCLUDED", IF(ISERROR(N18*O18), O18, N18*O18))</f>
        <v>INCLUDED</v>
      </c>
      <c r="Q18" s="657">
        <f t="shared" ref="Q18:Q39" si="1">IF(P18="Included",0,P18)</f>
        <v>0</v>
      </c>
      <c r="R18" s="688">
        <f>IF( K18="",J18*(IF(P18="Included",0,P18))/100,K18*(IF(P18="Included",0,P18)))</f>
        <v>0</v>
      </c>
      <c r="S18" s="689">
        <f>Discount!$J$36</f>
        <v>0</v>
      </c>
      <c r="T18" s="688">
        <f>S18*Q18</f>
        <v>0</v>
      </c>
      <c r="U18" s="690">
        <f>IF(K18="",J18*T18/100,K18*T18)</f>
        <v>0</v>
      </c>
      <c r="V18" s="691">
        <f>O18*N18</f>
        <v>0</v>
      </c>
      <c r="W18" s="692"/>
      <c r="X18" s="692"/>
      <c r="Y18" s="692"/>
      <c r="Z18" s="692"/>
      <c r="AA18" s="692"/>
    </row>
    <row r="19" spans="1:31" ht="16.5">
      <c r="A19" s="562">
        <v>2</v>
      </c>
      <c r="B19" s="567"/>
      <c r="C19" s="567"/>
      <c r="D19" s="567"/>
      <c r="E19" s="567"/>
      <c r="F19" s="567"/>
      <c r="G19" s="774">
        <v>100001243</v>
      </c>
      <c r="H19" s="567"/>
      <c r="I19" s="430"/>
      <c r="J19" s="425">
        <v>18</v>
      </c>
      <c r="K19" s="429"/>
      <c r="L19" s="764" t="s">
        <v>536</v>
      </c>
      <c r="M19" s="741" t="s">
        <v>530</v>
      </c>
      <c r="N19" s="785">
        <v>5.5069999999999997</v>
      </c>
      <c r="O19" s="426"/>
      <c r="P19" s="428" t="str">
        <f t="shared" si="0"/>
        <v>INCLUDED</v>
      </c>
      <c r="Q19" s="657">
        <f t="shared" si="1"/>
        <v>0</v>
      </c>
      <c r="R19" s="688">
        <f t="shared" ref="R19:R38" si="2">IF( K19="",J19*(IF(P19="Included",0,P19))/100,K19*(IF(P19="Included",0,P19)))</f>
        <v>0</v>
      </c>
      <c r="S19" s="689">
        <f>Discount!$J$36</f>
        <v>0</v>
      </c>
      <c r="T19" s="688">
        <f t="shared" ref="T19:T38" si="3">S19*Q19</f>
        <v>0</v>
      </c>
      <c r="U19" s="690">
        <f t="shared" ref="U19:U38" si="4">IF(K19="",J19*T19/100,K19*T19)</f>
        <v>0</v>
      </c>
      <c r="V19" s="691">
        <f t="shared" ref="V19:V80" si="5">O19*N19</f>
        <v>0</v>
      </c>
      <c r="W19" s="692"/>
      <c r="X19" s="692"/>
      <c r="Y19" s="692"/>
      <c r="Z19" s="692"/>
      <c r="AA19" s="692"/>
    </row>
    <row r="20" spans="1:31" ht="16.5">
      <c r="A20" s="562">
        <v>3</v>
      </c>
      <c r="B20" s="567"/>
      <c r="C20" s="567"/>
      <c r="D20" s="567"/>
      <c r="E20" s="567"/>
      <c r="F20" s="567"/>
      <c r="G20" s="774">
        <v>100001244</v>
      </c>
      <c r="H20" s="567"/>
      <c r="I20" s="430"/>
      <c r="J20" s="425">
        <v>18</v>
      </c>
      <c r="K20" s="429"/>
      <c r="L20" s="764" t="s">
        <v>568</v>
      </c>
      <c r="M20" s="741" t="s">
        <v>570</v>
      </c>
      <c r="N20" s="785">
        <v>1</v>
      </c>
      <c r="O20" s="426"/>
      <c r="P20" s="428" t="str">
        <f t="shared" si="0"/>
        <v>INCLUDED</v>
      </c>
      <c r="Q20" s="657">
        <f t="shared" si="1"/>
        <v>0</v>
      </c>
      <c r="R20" s="688">
        <f t="shared" si="2"/>
        <v>0</v>
      </c>
      <c r="S20" s="689">
        <f>Discount!$J$36</f>
        <v>0</v>
      </c>
      <c r="T20" s="688">
        <f t="shared" si="3"/>
        <v>0</v>
      </c>
      <c r="U20" s="690">
        <f t="shared" si="4"/>
        <v>0</v>
      </c>
      <c r="V20" s="691">
        <f t="shared" si="5"/>
        <v>0</v>
      </c>
      <c r="W20" s="692"/>
      <c r="X20" s="692"/>
      <c r="Y20" s="692"/>
      <c r="Z20" s="692"/>
      <c r="AA20" s="692"/>
    </row>
    <row r="21" spans="1:31" ht="16.5">
      <c r="A21" s="562">
        <v>4</v>
      </c>
      <c r="B21" s="567"/>
      <c r="C21" s="567"/>
      <c r="D21" s="567"/>
      <c r="E21" s="567"/>
      <c r="F21" s="567"/>
      <c r="G21" s="774">
        <v>100001246</v>
      </c>
      <c r="H21" s="567"/>
      <c r="I21" s="430"/>
      <c r="J21" s="425">
        <v>18</v>
      </c>
      <c r="K21" s="429"/>
      <c r="L21" s="764" t="s">
        <v>569</v>
      </c>
      <c r="M21" s="741" t="s">
        <v>570</v>
      </c>
      <c r="N21" s="785">
        <v>1</v>
      </c>
      <c r="O21" s="426"/>
      <c r="P21" s="428" t="str">
        <f t="shared" si="0"/>
        <v>INCLUDED</v>
      </c>
      <c r="Q21" s="657">
        <f t="shared" si="1"/>
        <v>0</v>
      </c>
      <c r="R21" s="688">
        <f t="shared" si="2"/>
        <v>0</v>
      </c>
      <c r="S21" s="689">
        <f>Discount!$J$36</f>
        <v>0</v>
      </c>
      <c r="T21" s="688">
        <f t="shared" si="3"/>
        <v>0</v>
      </c>
      <c r="U21" s="690">
        <f t="shared" si="4"/>
        <v>0</v>
      </c>
      <c r="V21" s="691">
        <f t="shared" si="5"/>
        <v>0</v>
      </c>
      <c r="W21" s="692"/>
      <c r="X21" s="692"/>
      <c r="Y21" s="692"/>
      <c r="Z21" s="692"/>
      <c r="AA21" s="692"/>
    </row>
    <row r="22" spans="1:31" ht="16.5">
      <c r="A22" s="562">
        <v>5</v>
      </c>
      <c r="B22" s="567"/>
      <c r="C22" s="567"/>
      <c r="D22" s="567"/>
      <c r="E22" s="567"/>
      <c r="F22" s="567"/>
      <c r="G22" s="774">
        <v>100001255</v>
      </c>
      <c r="H22" s="567"/>
      <c r="I22" s="430"/>
      <c r="J22" s="425">
        <v>18</v>
      </c>
      <c r="K22" s="429"/>
      <c r="L22" s="764" t="s">
        <v>537</v>
      </c>
      <c r="M22" s="741" t="s">
        <v>561</v>
      </c>
      <c r="N22" s="785">
        <v>0</v>
      </c>
      <c r="O22" s="426"/>
      <c r="P22" s="428" t="str">
        <f t="shared" si="0"/>
        <v>INCLUDED</v>
      </c>
      <c r="Q22" s="657">
        <f t="shared" si="1"/>
        <v>0</v>
      </c>
      <c r="R22" s="688">
        <f t="shared" si="2"/>
        <v>0</v>
      </c>
      <c r="S22" s="689">
        <f>Discount!$J$36</f>
        <v>0</v>
      </c>
      <c r="T22" s="688">
        <f t="shared" si="3"/>
        <v>0</v>
      </c>
      <c r="U22" s="690">
        <f t="shared" si="4"/>
        <v>0</v>
      </c>
      <c r="V22" s="691">
        <f t="shared" si="5"/>
        <v>0</v>
      </c>
      <c r="W22" s="692"/>
      <c r="X22" s="692"/>
      <c r="Y22" s="692"/>
      <c r="Z22" s="692"/>
      <c r="AA22" s="692"/>
    </row>
    <row r="23" spans="1:31" ht="16.5">
      <c r="A23" s="562">
        <v>6</v>
      </c>
      <c r="B23" s="567"/>
      <c r="C23" s="567"/>
      <c r="D23" s="567"/>
      <c r="E23" s="567"/>
      <c r="F23" s="567"/>
      <c r="G23" s="774">
        <v>100001256</v>
      </c>
      <c r="H23" s="567"/>
      <c r="I23" s="430"/>
      <c r="J23" s="425">
        <v>18</v>
      </c>
      <c r="K23" s="429"/>
      <c r="L23" s="764" t="s">
        <v>538</v>
      </c>
      <c r="M23" s="741" t="s">
        <v>561</v>
      </c>
      <c r="N23" s="785">
        <v>0</v>
      </c>
      <c r="O23" s="426"/>
      <c r="P23" s="428" t="str">
        <f t="shared" si="0"/>
        <v>INCLUDED</v>
      </c>
      <c r="Q23" s="657">
        <f t="shared" si="1"/>
        <v>0</v>
      </c>
      <c r="R23" s="688">
        <f t="shared" si="2"/>
        <v>0</v>
      </c>
      <c r="S23" s="689">
        <f>Discount!$J$36</f>
        <v>0</v>
      </c>
      <c r="T23" s="688">
        <f t="shared" si="3"/>
        <v>0</v>
      </c>
      <c r="U23" s="690">
        <f t="shared" si="4"/>
        <v>0</v>
      </c>
      <c r="V23" s="691">
        <f t="shared" si="5"/>
        <v>0</v>
      </c>
      <c r="W23" s="692"/>
      <c r="X23" s="692"/>
      <c r="Y23" s="692"/>
      <c r="Z23" s="692"/>
      <c r="AA23" s="692"/>
    </row>
    <row r="24" spans="1:31" ht="16.5">
      <c r="A24" s="562">
        <v>7</v>
      </c>
      <c r="B24" s="567"/>
      <c r="C24" s="567"/>
      <c r="D24" s="567"/>
      <c r="E24" s="567"/>
      <c r="F24" s="567"/>
      <c r="G24" s="774">
        <v>100001257</v>
      </c>
      <c r="H24" s="567"/>
      <c r="I24" s="430"/>
      <c r="J24" s="425">
        <v>18</v>
      </c>
      <c r="K24" s="429"/>
      <c r="L24" s="761" t="s">
        <v>488</v>
      </c>
      <c r="M24" s="741" t="s">
        <v>561</v>
      </c>
      <c r="N24" s="785">
        <v>2476.7190000000001</v>
      </c>
      <c r="O24" s="426"/>
      <c r="P24" s="428" t="str">
        <f t="shared" si="0"/>
        <v>INCLUDED</v>
      </c>
      <c r="Q24" s="657">
        <f t="shared" si="1"/>
        <v>0</v>
      </c>
      <c r="R24" s="688">
        <f t="shared" si="2"/>
        <v>0</v>
      </c>
      <c r="S24" s="689">
        <f>Discount!$J$36</f>
        <v>0</v>
      </c>
      <c r="T24" s="688">
        <f t="shared" si="3"/>
        <v>0</v>
      </c>
      <c r="U24" s="690">
        <f t="shared" si="4"/>
        <v>0</v>
      </c>
      <c r="V24" s="691">
        <f t="shared" si="5"/>
        <v>0</v>
      </c>
      <c r="W24" s="692"/>
      <c r="X24" s="692"/>
      <c r="Y24" s="692"/>
      <c r="Z24" s="692"/>
      <c r="AA24" s="692"/>
    </row>
    <row r="25" spans="1:31" ht="16.5">
      <c r="A25" s="562">
        <v>8</v>
      </c>
      <c r="B25" s="567"/>
      <c r="C25" s="567"/>
      <c r="D25" s="567"/>
      <c r="E25" s="567"/>
      <c r="F25" s="567"/>
      <c r="G25" s="774">
        <v>100001259</v>
      </c>
      <c r="H25" s="567"/>
      <c r="I25" s="430"/>
      <c r="J25" s="425">
        <v>18</v>
      </c>
      <c r="K25" s="429"/>
      <c r="L25" s="761" t="s">
        <v>539</v>
      </c>
      <c r="M25" s="741" t="s">
        <v>561</v>
      </c>
      <c r="N25" s="785">
        <v>100</v>
      </c>
      <c r="O25" s="426"/>
      <c r="P25" s="428" t="str">
        <f t="shared" si="0"/>
        <v>INCLUDED</v>
      </c>
      <c r="Q25" s="657">
        <f t="shared" si="1"/>
        <v>0</v>
      </c>
      <c r="R25" s="688">
        <f t="shared" si="2"/>
        <v>0</v>
      </c>
      <c r="S25" s="689">
        <f>Discount!$J$36</f>
        <v>0</v>
      </c>
      <c r="T25" s="688">
        <f t="shared" si="3"/>
        <v>0</v>
      </c>
      <c r="U25" s="690">
        <f t="shared" si="4"/>
        <v>0</v>
      </c>
      <c r="V25" s="691">
        <f t="shared" si="5"/>
        <v>0</v>
      </c>
      <c r="W25" s="692"/>
      <c r="X25" s="692"/>
      <c r="Y25" s="692"/>
      <c r="Z25" s="692"/>
      <c r="AA25" s="692"/>
    </row>
    <row r="26" spans="1:31" ht="31.5">
      <c r="A26" s="562">
        <v>9</v>
      </c>
      <c r="B26" s="567"/>
      <c r="C26" s="567"/>
      <c r="D26" s="567"/>
      <c r="E26" s="567"/>
      <c r="F26" s="567"/>
      <c r="G26" s="774">
        <v>100001260</v>
      </c>
      <c r="H26" s="567"/>
      <c r="I26" s="430"/>
      <c r="J26" s="425">
        <v>18</v>
      </c>
      <c r="K26" s="429"/>
      <c r="L26" s="764" t="s">
        <v>540</v>
      </c>
      <c r="M26" s="741" t="s">
        <v>561</v>
      </c>
      <c r="N26" s="785">
        <v>178.446</v>
      </c>
      <c r="O26" s="426"/>
      <c r="P26" s="428" t="str">
        <f t="shared" si="0"/>
        <v>INCLUDED</v>
      </c>
      <c r="Q26" s="657">
        <f t="shared" si="1"/>
        <v>0</v>
      </c>
      <c r="R26" s="688">
        <f t="shared" si="2"/>
        <v>0</v>
      </c>
      <c r="S26" s="689">
        <f>Discount!$J$36</f>
        <v>0</v>
      </c>
      <c r="T26" s="688">
        <f t="shared" si="3"/>
        <v>0</v>
      </c>
      <c r="U26" s="690">
        <f t="shared" si="4"/>
        <v>0</v>
      </c>
      <c r="V26" s="691">
        <f t="shared" si="5"/>
        <v>0</v>
      </c>
      <c r="W26" s="692"/>
      <c r="X26" s="692"/>
      <c r="Y26" s="692"/>
      <c r="Z26" s="692"/>
      <c r="AA26" s="692"/>
    </row>
    <row r="27" spans="1:31" ht="31.5">
      <c r="A27" s="562">
        <v>10</v>
      </c>
      <c r="B27" s="567"/>
      <c r="C27" s="567"/>
      <c r="D27" s="567"/>
      <c r="E27" s="567"/>
      <c r="F27" s="567"/>
      <c r="G27" s="774">
        <v>100001261</v>
      </c>
      <c r="H27" s="567"/>
      <c r="I27" s="430"/>
      <c r="J27" s="425">
        <v>18</v>
      </c>
      <c r="K27" s="429"/>
      <c r="L27" s="764" t="s">
        <v>541</v>
      </c>
      <c r="M27" s="741" t="s">
        <v>561</v>
      </c>
      <c r="N27" s="785">
        <v>20.378</v>
      </c>
      <c r="O27" s="426"/>
      <c r="P27" s="428" t="str">
        <f t="shared" si="0"/>
        <v>INCLUDED</v>
      </c>
      <c r="Q27" s="657">
        <f t="shared" si="1"/>
        <v>0</v>
      </c>
      <c r="R27" s="688">
        <f t="shared" si="2"/>
        <v>0</v>
      </c>
      <c r="S27" s="689">
        <f>Discount!$J$36</f>
        <v>0</v>
      </c>
      <c r="T27" s="688">
        <f t="shared" si="3"/>
        <v>0</v>
      </c>
      <c r="U27" s="690">
        <f t="shared" si="4"/>
        <v>0</v>
      </c>
      <c r="V27" s="691">
        <f t="shared" si="5"/>
        <v>0</v>
      </c>
      <c r="W27" s="692"/>
      <c r="X27" s="692"/>
      <c r="Y27" s="692"/>
      <c r="Z27" s="692"/>
      <c r="AA27" s="692"/>
    </row>
    <row r="28" spans="1:31" ht="16.5">
      <c r="A28" s="562">
        <v>11</v>
      </c>
      <c r="B28" s="567"/>
      <c r="C28" s="567"/>
      <c r="D28" s="567"/>
      <c r="E28" s="567"/>
      <c r="F28" s="567"/>
      <c r="G28" s="774">
        <v>100001262</v>
      </c>
      <c r="H28" s="567"/>
      <c r="I28" s="430"/>
      <c r="J28" s="425">
        <v>18</v>
      </c>
      <c r="K28" s="429"/>
      <c r="L28" s="764" t="s">
        <v>542</v>
      </c>
      <c r="M28" s="741" t="s">
        <v>527</v>
      </c>
      <c r="N28" s="785">
        <v>14.608000000000001</v>
      </c>
      <c r="O28" s="426"/>
      <c r="P28" s="428" t="str">
        <f t="shared" si="0"/>
        <v>INCLUDED</v>
      </c>
      <c r="Q28" s="657">
        <f t="shared" si="1"/>
        <v>0</v>
      </c>
      <c r="R28" s="688">
        <f t="shared" si="2"/>
        <v>0</v>
      </c>
      <c r="S28" s="689">
        <f>Discount!$J$36</f>
        <v>0</v>
      </c>
      <c r="T28" s="688">
        <f t="shared" si="3"/>
        <v>0</v>
      </c>
      <c r="U28" s="690">
        <f t="shared" si="4"/>
        <v>0</v>
      </c>
      <c r="V28" s="691">
        <f t="shared" si="5"/>
        <v>0</v>
      </c>
      <c r="W28" s="692"/>
      <c r="X28" s="692"/>
      <c r="Y28" s="692"/>
      <c r="Z28" s="692"/>
      <c r="AA28" s="692"/>
    </row>
    <row r="29" spans="1:31" ht="16.5">
      <c r="A29" s="562">
        <v>12</v>
      </c>
      <c r="B29" s="567"/>
      <c r="C29" s="567"/>
      <c r="D29" s="567"/>
      <c r="E29" s="567"/>
      <c r="F29" s="567"/>
      <c r="G29" s="774">
        <v>100001263</v>
      </c>
      <c r="H29" s="567"/>
      <c r="I29" s="430"/>
      <c r="J29" s="425">
        <v>18</v>
      </c>
      <c r="K29" s="429"/>
      <c r="L29" s="764" t="s">
        <v>543</v>
      </c>
      <c r="M29" s="741" t="s">
        <v>527</v>
      </c>
      <c r="N29" s="785">
        <v>5.3570000000000002</v>
      </c>
      <c r="O29" s="426"/>
      <c r="P29" s="428" t="str">
        <f t="shared" si="0"/>
        <v>INCLUDED</v>
      </c>
      <c r="Q29" s="657">
        <f t="shared" si="1"/>
        <v>0</v>
      </c>
      <c r="R29" s="688">
        <f t="shared" si="2"/>
        <v>0</v>
      </c>
      <c r="S29" s="689">
        <f>Discount!$J$36</f>
        <v>0</v>
      </c>
      <c r="T29" s="688">
        <f t="shared" si="3"/>
        <v>0</v>
      </c>
      <c r="U29" s="690">
        <f t="shared" si="4"/>
        <v>0</v>
      </c>
      <c r="V29" s="691">
        <f t="shared" si="5"/>
        <v>0</v>
      </c>
      <c r="W29" s="692"/>
      <c r="X29" s="692"/>
      <c r="Y29" s="692"/>
      <c r="Z29" s="692"/>
      <c r="AA29" s="692"/>
    </row>
    <row r="30" spans="1:31" ht="47.25">
      <c r="A30" s="562">
        <v>13</v>
      </c>
      <c r="B30" s="567"/>
      <c r="C30" s="567"/>
      <c r="D30" s="567"/>
      <c r="E30" s="567"/>
      <c r="F30" s="567"/>
      <c r="G30" s="774">
        <v>100001248</v>
      </c>
      <c r="H30" s="567"/>
      <c r="I30" s="430"/>
      <c r="J30" s="425">
        <v>18</v>
      </c>
      <c r="K30" s="429"/>
      <c r="L30" s="764" t="s">
        <v>544</v>
      </c>
      <c r="M30" s="741" t="s">
        <v>527</v>
      </c>
      <c r="N30" s="785">
        <v>156.98599999999999</v>
      </c>
      <c r="O30" s="426"/>
      <c r="P30" s="428" t="str">
        <f t="shared" si="0"/>
        <v>INCLUDED</v>
      </c>
      <c r="Q30" s="657">
        <f t="shared" si="1"/>
        <v>0</v>
      </c>
      <c r="R30" s="688">
        <f t="shared" si="2"/>
        <v>0</v>
      </c>
      <c r="S30" s="689">
        <f>Discount!$J$36</f>
        <v>0</v>
      </c>
      <c r="T30" s="688">
        <f t="shared" si="3"/>
        <v>0</v>
      </c>
      <c r="U30" s="690">
        <f t="shared" si="4"/>
        <v>0</v>
      </c>
      <c r="V30" s="691">
        <f t="shared" si="5"/>
        <v>0</v>
      </c>
      <c r="W30" s="692"/>
      <c r="X30" s="692"/>
      <c r="Y30" s="692"/>
      <c r="Z30" s="692"/>
      <c r="AA30" s="692"/>
    </row>
    <row r="31" spans="1:31" ht="16.5">
      <c r="A31" s="562">
        <v>14</v>
      </c>
      <c r="B31" s="567"/>
      <c r="C31" s="567"/>
      <c r="D31" s="567"/>
      <c r="E31" s="567"/>
      <c r="F31" s="567"/>
      <c r="G31" s="774">
        <v>100001270</v>
      </c>
      <c r="H31" s="567"/>
      <c r="I31" s="430"/>
      <c r="J31" s="425">
        <v>18</v>
      </c>
      <c r="K31" s="429"/>
      <c r="L31" s="764" t="s">
        <v>545</v>
      </c>
      <c r="M31" s="741" t="s">
        <v>528</v>
      </c>
      <c r="N31" s="785">
        <v>15</v>
      </c>
      <c r="O31" s="426"/>
      <c r="P31" s="428" t="str">
        <f t="shared" si="0"/>
        <v>INCLUDED</v>
      </c>
      <c r="Q31" s="657">
        <f t="shared" si="1"/>
        <v>0</v>
      </c>
      <c r="R31" s="688">
        <f t="shared" si="2"/>
        <v>0</v>
      </c>
      <c r="S31" s="689">
        <f>Discount!$J$36</f>
        <v>0</v>
      </c>
      <c r="T31" s="688">
        <f t="shared" si="3"/>
        <v>0</v>
      </c>
      <c r="U31" s="690">
        <f t="shared" si="4"/>
        <v>0</v>
      </c>
      <c r="V31" s="691">
        <f t="shared" si="5"/>
        <v>0</v>
      </c>
      <c r="W31" s="692"/>
      <c r="X31" s="692"/>
      <c r="Y31" s="692"/>
      <c r="Z31" s="692"/>
      <c r="AA31" s="692"/>
    </row>
    <row r="32" spans="1:31" ht="31.5">
      <c r="A32" s="562">
        <v>15</v>
      </c>
      <c r="B32" s="567"/>
      <c r="C32" s="567"/>
      <c r="D32" s="567"/>
      <c r="E32" s="567"/>
      <c r="F32" s="567"/>
      <c r="G32" s="774">
        <v>100002203</v>
      </c>
      <c r="H32" s="567"/>
      <c r="I32" s="430"/>
      <c r="J32" s="425">
        <v>18</v>
      </c>
      <c r="K32" s="429"/>
      <c r="L32" s="764" t="s">
        <v>546</v>
      </c>
      <c r="M32" s="741" t="s">
        <v>528</v>
      </c>
      <c r="N32" s="785">
        <v>1</v>
      </c>
      <c r="O32" s="426"/>
      <c r="P32" s="428" t="str">
        <f t="shared" si="0"/>
        <v>INCLUDED</v>
      </c>
      <c r="Q32" s="657">
        <f t="shared" si="1"/>
        <v>0</v>
      </c>
      <c r="R32" s="688">
        <f t="shared" si="2"/>
        <v>0</v>
      </c>
      <c r="S32" s="689">
        <f>Discount!$J$36</f>
        <v>0</v>
      </c>
      <c r="T32" s="688">
        <f t="shared" si="3"/>
        <v>0</v>
      </c>
      <c r="U32" s="690">
        <f t="shared" si="4"/>
        <v>0</v>
      </c>
      <c r="V32" s="691">
        <f t="shared" si="5"/>
        <v>0</v>
      </c>
      <c r="W32" s="692"/>
      <c r="X32" s="692"/>
      <c r="Y32" s="692"/>
      <c r="Z32" s="692"/>
      <c r="AA32" s="692"/>
    </row>
    <row r="33" spans="1:27" ht="16.5">
      <c r="A33" s="562">
        <v>16</v>
      </c>
      <c r="B33" s="567"/>
      <c r="C33" s="567"/>
      <c r="D33" s="567"/>
      <c r="E33" s="567"/>
      <c r="F33" s="567"/>
      <c r="G33" s="774">
        <v>100001274</v>
      </c>
      <c r="H33" s="567"/>
      <c r="I33" s="430"/>
      <c r="J33" s="425">
        <v>18</v>
      </c>
      <c r="K33" s="429"/>
      <c r="L33" s="764" t="s">
        <v>547</v>
      </c>
      <c r="M33" s="741" t="s">
        <v>528</v>
      </c>
      <c r="N33" s="785">
        <v>15</v>
      </c>
      <c r="O33" s="426"/>
      <c r="P33" s="428" t="str">
        <f t="shared" si="0"/>
        <v>INCLUDED</v>
      </c>
      <c r="Q33" s="657">
        <f t="shared" si="1"/>
        <v>0</v>
      </c>
      <c r="R33" s="688">
        <f t="shared" si="2"/>
        <v>0</v>
      </c>
      <c r="S33" s="689">
        <f>Discount!$J$36</f>
        <v>0</v>
      </c>
      <c r="T33" s="688">
        <f t="shared" si="3"/>
        <v>0</v>
      </c>
      <c r="U33" s="690">
        <f t="shared" si="4"/>
        <v>0</v>
      </c>
      <c r="V33" s="691">
        <f t="shared" si="5"/>
        <v>0</v>
      </c>
      <c r="W33" s="692"/>
      <c r="X33" s="692"/>
      <c r="Y33" s="692"/>
      <c r="Z33" s="692"/>
      <c r="AA33" s="692"/>
    </row>
    <row r="34" spans="1:27" ht="16.5">
      <c r="A34" s="562">
        <v>17</v>
      </c>
      <c r="B34" s="567"/>
      <c r="C34" s="567"/>
      <c r="D34" s="567"/>
      <c r="E34" s="567"/>
      <c r="F34" s="567"/>
      <c r="G34" s="774">
        <v>100001275</v>
      </c>
      <c r="H34" s="567"/>
      <c r="I34" s="430"/>
      <c r="J34" s="425">
        <v>18</v>
      </c>
      <c r="K34" s="429"/>
      <c r="L34" s="764" t="s">
        <v>548</v>
      </c>
      <c r="M34" s="741" t="s">
        <v>528</v>
      </c>
      <c r="N34" s="785">
        <v>15</v>
      </c>
      <c r="O34" s="426"/>
      <c r="P34" s="428" t="str">
        <f t="shared" si="0"/>
        <v>INCLUDED</v>
      </c>
      <c r="Q34" s="657">
        <f t="shared" si="1"/>
        <v>0</v>
      </c>
      <c r="R34" s="688">
        <f t="shared" si="2"/>
        <v>0</v>
      </c>
      <c r="S34" s="689">
        <f>Discount!$J$36</f>
        <v>0</v>
      </c>
      <c r="T34" s="688">
        <f t="shared" si="3"/>
        <v>0</v>
      </c>
      <c r="U34" s="690">
        <f t="shared" si="4"/>
        <v>0</v>
      </c>
      <c r="V34" s="691">
        <f t="shared" si="5"/>
        <v>0</v>
      </c>
      <c r="W34" s="692"/>
      <c r="X34" s="692"/>
      <c r="Y34" s="692"/>
      <c r="Z34" s="692"/>
      <c r="AA34" s="692"/>
    </row>
    <row r="35" spans="1:27" ht="16.5">
      <c r="A35" s="562">
        <v>18</v>
      </c>
      <c r="B35" s="567"/>
      <c r="C35" s="567"/>
      <c r="D35" s="567"/>
      <c r="E35" s="567"/>
      <c r="F35" s="567"/>
      <c r="G35" s="774">
        <v>100001277</v>
      </c>
      <c r="H35" s="567"/>
      <c r="I35" s="430"/>
      <c r="J35" s="425">
        <v>18</v>
      </c>
      <c r="K35" s="429"/>
      <c r="L35" s="764" t="s">
        <v>549</v>
      </c>
      <c r="M35" s="741" t="s">
        <v>528</v>
      </c>
      <c r="N35" s="785">
        <v>15</v>
      </c>
      <c r="O35" s="426"/>
      <c r="P35" s="428" t="str">
        <f t="shared" si="0"/>
        <v>INCLUDED</v>
      </c>
      <c r="Q35" s="657">
        <f t="shared" si="1"/>
        <v>0</v>
      </c>
      <c r="R35" s="688">
        <f t="shared" si="2"/>
        <v>0</v>
      </c>
      <c r="S35" s="689">
        <f>Discount!$J$36</f>
        <v>0</v>
      </c>
      <c r="T35" s="688">
        <f t="shared" si="3"/>
        <v>0</v>
      </c>
      <c r="U35" s="690">
        <f t="shared" si="4"/>
        <v>0</v>
      </c>
      <c r="V35" s="691">
        <f t="shared" si="5"/>
        <v>0</v>
      </c>
      <c r="W35" s="692"/>
      <c r="X35" s="692"/>
      <c r="Y35" s="692"/>
      <c r="Z35" s="692"/>
      <c r="AA35" s="692"/>
    </row>
    <row r="36" spans="1:27" ht="16.5">
      <c r="A36" s="562">
        <v>19</v>
      </c>
      <c r="B36" s="567"/>
      <c r="C36" s="567"/>
      <c r="D36" s="567"/>
      <c r="E36" s="567"/>
      <c r="F36" s="567"/>
      <c r="G36" s="774">
        <v>100001276</v>
      </c>
      <c r="H36" s="567"/>
      <c r="I36" s="430"/>
      <c r="J36" s="425">
        <v>18</v>
      </c>
      <c r="K36" s="429"/>
      <c r="L36" s="764" t="s">
        <v>550</v>
      </c>
      <c r="M36" s="741" t="s">
        <v>476</v>
      </c>
      <c r="N36" s="785">
        <v>15</v>
      </c>
      <c r="O36" s="426"/>
      <c r="P36" s="428" t="str">
        <f t="shared" si="0"/>
        <v>INCLUDED</v>
      </c>
      <c r="Q36" s="657">
        <f t="shared" si="1"/>
        <v>0</v>
      </c>
      <c r="R36" s="688">
        <f t="shared" si="2"/>
        <v>0</v>
      </c>
      <c r="S36" s="689">
        <f>Discount!$J$36</f>
        <v>0</v>
      </c>
      <c r="T36" s="688">
        <f t="shared" si="3"/>
        <v>0</v>
      </c>
      <c r="U36" s="690">
        <f t="shared" si="4"/>
        <v>0</v>
      </c>
      <c r="V36" s="691">
        <f t="shared" si="5"/>
        <v>0</v>
      </c>
      <c r="W36" s="692"/>
      <c r="X36" s="692"/>
      <c r="Y36" s="692"/>
      <c r="Z36" s="692"/>
      <c r="AA36" s="692"/>
    </row>
    <row r="37" spans="1:27" ht="16.5">
      <c r="A37" s="562">
        <v>20</v>
      </c>
      <c r="B37" s="567"/>
      <c r="C37" s="567"/>
      <c r="D37" s="567"/>
      <c r="E37" s="567"/>
      <c r="F37" s="567"/>
      <c r="G37" s="774">
        <v>100001278</v>
      </c>
      <c r="H37" s="567"/>
      <c r="I37" s="430"/>
      <c r="J37" s="425">
        <v>18</v>
      </c>
      <c r="K37" s="429"/>
      <c r="L37" s="764" t="s">
        <v>551</v>
      </c>
      <c r="M37" s="741" t="s">
        <v>476</v>
      </c>
      <c r="N37" s="785">
        <v>0</v>
      </c>
      <c r="O37" s="426"/>
      <c r="P37" s="428" t="str">
        <f t="shared" si="0"/>
        <v>INCLUDED</v>
      </c>
      <c r="Q37" s="657">
        <f t="shared" si="1"/>
        <v>0</v>
      </c>
      <c r="R37" s="688">
        <f t="shared" si="2"/>
        <v>0</v>
      </c>
      <c r="S37" s="689">
        <f>Discount!$J$36</f>
        <v>0</v>
      </c>
      <c r="T37" s="688">
        <f t="shared" si="3"/>
        <v>0</v>
      </c>
      <c r="U37" s="690">
        <f t="shared" si="4"/>
        <v>0</v>
      </c>
      <c r="V37" s="691">
        <f t="shared" si="5"/>
        <v>0</v>
      </c>
      <c r="W37" s="692"/>
      <c r="X37" s="692"/>
      <c r="Y37" s="692"/>
      <c r="Z37" s="692"/>
      <c r="AA37" s="692"/>
    </row>
    <row r="38" spans="1:27" ht="16.5">
      <c r="A38" s="562">
        <v>21</v>
      </c>
      <c r="B38" s="567"/>
      <c r="C38" s="567"/>
      <c r="D38" s="567"/>
      <c r="E38" s="567"/>
      <c r="F38" s="567"/>
      <c r="G38" s="774">
        <v>100001279</v>
      </c>
      <c r="H38" s="567"/>
      <c r="I38" s="430"/>
      <c r="J38" s="425">
        <v>18</v>
      </c>
      <c r="K38" s="429"/>
      <c r="L38" s="764" t="s">
        <v>552</v>
      </c>
      <c r="M38" s="741" t="s">
        <v>476</v>
      </c>
      <c r="N38" s="785">
        <v>8</v>
      </c>
      <c r="O38" s="426"/>
      <c r="P38" s="428" t="str">
        <f t="shared" si="0"/>
        <v>INCLUDED</v>
      </c>
      <c r="Q38" s="657">
        <f t="shared" si="1"/>
        <v>0</v>
      </c>
      <c r="R38" s="688">
        <f t="shared" si="2"/>
        <v>0</v>
      </c>
      <c r="S38" s="689">
        <f>Discount!$J$36</f>
        <v>0</v>
      </c>
      <c r="T38" s="688">
        <f t="shared" si="3"/>
        <v>0</v>
      </c>
      <c r="U38" s="690">
        <f t="shared" si="4"/>
        <v>0</v>
      </c>
      <c r="V38" s="691">
        <f t="shared" si="5"/>
        <v>0</v>
      </c>
      <c r="W38" s="692"/>
      <c r="X38" s="692"/>
      <c r="Y38" s="692"/>
      <c r="Z38" s="692"/>
      <c r="AA38" s="692"/>
    </row>
    <row r="39" spans="1:27" ht="47.25">
      <c r="A39" s="562">
        <v>22</v>
      </c>
      <c r="B39" s="567"/>
      <c r="C39" s="567"/>
      <c r="D39" s="567"/>
      <c r="E39" s="567"/>
      <c r="F39" s="567"/>
      <c r="G39" s="774">
        <v>100001290</v>
      </c>
      <c r="H39" s="567"/>
      <c r="I39" s="430"/>
      <c r="J39" s="425">
        <v>18</v>
      </c>
      <c r="K39" s="429"/>
      <c r="L39" s="764" t="s">
        <v>553</v>
      </c>
      <c r="M39" s="741" t="s">
        <v>530</v>
      </c>
      <c r="N39" s="785">
        <v>5.5069999999999997</v>
      </c>
      <c r="O39" s="426"/>
      <c r="P39" s="428" t="str">
        <f t="shared" si="0"/>
        <v>INCLUDED</v>
      </c>
      <c r="Q39" s="657">
        <f t="shared" si="1"/>
        <v>0</v>
      </c>
      <c r="R39" s="688">
        <f>IF( K39="",J39*(IF(P39="Included",0,P39))/100,K39*(IF(P39="Included",0,P39)))</f>
        <v>0</v>
      </c>
      <c r="S39" s="689">
        <f>Discount!$J$36</f>
        <v>0</v>
      </c>
      <c r="T39" s="688">
        <f>S39*Q39</f>
        <v>0</v>
      </c>
      <c r="U39" s="690">
        <f t="shared" ref="U39:U80" si="6">IF(K39="",J39*T39/100,K39*T39)</f>
        <v>0</v>
      </c>
      <c r="V39" s="691">
        <f t="shared" si="5"/>
        <v>0</v>
      </c>
      <c r="W39" s="692"/>
      <c r="X39" s="692"/>
      <c r="Y39" s="692"/>
      <c r="Z39" s="692"/>
      <c r="AA39" s="692"/>
    </row>
    <row r="40" spans="1:27" ht="16.5">
      <c r="A40" s="562">
        <v>23</v>
      </c>
      <c r="B40" s="567"/>
      <c r="C40" s="567"/>
      <c r="D40" s="567"/>
      <c r="E40" s="567"/>
      <c r="F40" s="567"/>
      <c r="G40" s="774">
        <v>100001308</v>
      </c>
      <c r="H40" s="567"/>
      <c r="I40" s="430"/>
      <c r="J40" s="425">
        <v>18</v>
      </c>
      <c r="K40" s="429"/>
      <c r="L40" s="764" t="s">
        <v>554</v>
      </c>
      <c r="M40" s="741" t="s">
        <v>530</v>
      </c>
      <c r="N40" s="785">
        <v>3.1509999999999998</v>
      </c>
      <c r="O40" s="426"/>
      <c r="P40" s="428" t="str">
        <f t="shared" ref="P40:P80" si="7">IF(O40=0, "INCLUDED", IF(ISERROR(N40*O40), O40, N40*O40))</f>
        <v>INCLUDED</v>
      </c>
      <c r="Q40" s="657">
        <f t="shared" ref="Q40:Q80" si="8">IF(P40="Included",0,P40)</f>
        <v>0</v>
      </c>
      <c r="R40" s="688">
        <f t="shared" ref="R40:R80" si="9">IF( K40="",J40*(IF(P40="Included",0,P40))/100,K40*(IF(P40="Included",0,P40)))</f>
        <v>0</v>
      </c>
      <c r="S40" s="689">
        <f>Discount!$J$36</f>
        <v>0</v>
      </c>
      <c r="T40" s="688">
        <f t="shared" ref="T40:T80" si="10">S40*Q40</f>
        <v>0</v>
      </c>
      <c r="U40" s="690">
        <f t="shared" si="6"/>
        <v>0</v>
      </c>
      <c r="V40" s="691">
        <f t="shared" si="5"/>
        <v>0</v>
      </c>
      <c r="W40" s="692"/>
      <c r="X40" s="692"/>
      <c r="Y40" s="692"/>
      <c r="Z40" s="692"/>
      <c r="AA40" s="692"/>
    </row>
    <row r="41" spans="1:27" ht="16.5">
      <c r="A41" s="562">
        <v>24</v>
      </c>
      <c r="B41" s="567"/>
      <c r="C41" s="567"/>
      <c r="D41" s="567"/>
      <c r="E41" s="567"/>
      <c r="F41" s="567"/>
      <c r="G41" s="774">
        <v>100001307</v>
      </c>
      <c r="H41" s="567"/>
      <c r="I41" s="430"/>
      <c r="J41" s="425">
        <v>18</v>
      </c>
      <c r="K41" s="429"/>
      <c r="L41" s="764" t="s">
        <v>555</v>
      </c>
      <c r="M41" s="741" t="s">
        <v>530</v>
      </c>
      <c r="N41" s="785">
        <v>2.1640000000000001</v>
      </c>
      <c r="O41" s="426"/>
      <c r="P41" s="428" t="str">
        <f t="shared" si="7"/>
        <v>INCLUDED</v>
      </c>
      <c r="Q41" s="657">
        <f t="shared" si="8"/>
        <v>0</v>
      </c>
      <c r="R41" s="688">
        <f t="shared" si="9"/>
        <v>0</v>
      </c>
      <c r="S41" s="689">
        <f>Discount!$J$36</f>
        <v>0</v>
      </c>
      <c r="T41" s="688">
        <f t="shared" si="10"/>
        <v>0</v>
      </c>
      <c r="U41" s="690">
        <f t="shared" si="6"/>
        <v>0</v>
      </c>
      <c r="V41" s="691">
        <f t="shared" si="5"/>
        <v>0</v>
      </c>
      <c r="W41" s="692"/>
      <c r="X41" s="692"/>
      <c r="Y41" s="692"/>
      <c r="Z41" s="692"/>
      <c r="AA41" s="692"/>
    </row>
    <row r="42" spans="1:27" ht="45" customHeight="1">
      <c r="A42" s="562">
        <v>25</v>
      </c>
      <c r="B42" s="567"/>
      <c r="C42" s="567"/>
      <c r="D42" s="567"/>
      <c r="E42" s="567"/>
      <c r="F42" s="567"/>
      <c r="G42" s="774">
        <v>100001309</v>
      </c>
      <c r="H42" s="567"/>
      <c r="I42" s="430"/>
      <c r="J42" s="425">
        <v>18</v>
      </c>
      <c r="K42" s="429"/>
      <c r="L42" s="764" t="s">
        <v>556</v>
      </c>
      <c r="M42" s="741" t="s">
        <v>527</v>
      </c>
      <c r="N42" s="785">
        <v>264.767</v>
      </c>
      <c r="O42" s="426"/>
      <c r="P42" s="428" t="str">
        <f t="shared" si="7"/>
        <v>INCLUDED</v>
      </c>
      <c r="Q42" s="657">
        <f t="shared" si="8"/>
        <v>0</v>
      </c>
      <c r="R42" s="688">
        <f t="shared" si="9"/>
        <v>0</v>
      </c>
      <c r="S42" s="689">
        <f>Discount!$J$36</f>
        <v>0</v>
      </c>
      <c r="T42" s="688">
        <f t="shared" si="10"/>
        <v>0</v>
      </c>
      <c r="U42" s="690">
        <f t="shared" si="6"/>
        <v>0</v>
      </c>
      <c r="V42" s="691">
        <f t="shared" si="5"/>
        <v>0</v>
      </c>
      <c r="W42" s="692"/>
      <c r="X42" s="692"/>
      <c r="Y42" s="692"/>
      <c r="Z42" s="692"/>
      <c r="AA42" s="692"/>
    </row>
    <row r="43" spans="1:27" ht="31.5">
      <c r="A43" s="562">
        <v>26</v>
      </c>
      <c r="B43" s="567"/>
      <c r="C43" s="567"/>
      <c r="D43" s="567"/>
      <c r="E43" s="567"/>
      <c r="F43" s="567"/>
      <c r="G43" s="774">
        <v>100001285</v>
      </c>
      <c r="H43" s="567"/>
      <c r="I43" s="430"/>
      <c r="J43" s="425">
        <v>18</v>
      </c>
      <c r="K43" s="429"/>
      <c r="L43" s="764" t="s">
        <v>557</v>
      </c>
      <c r="M43" s="746" t="s">
        <v>527</v>
      </c>
      <c r="N43" s="785">
        <v>0</v>
      </c>
      <c r="O43" s="426"/>
      <c r="P43" s="428" t="str">
        <f t="shared" si="7"/>
        <v>INCLUDED</v>
      </c>
      <c r="Q43" s="657">
        <f t="shared" si="8"/>
        <v>0</v>
      </c>
      <c r="R43" s="688">
        <f t="shared" si="9"/>
        <v>0</v>
      </c>
      <c r="S43" s="689">
        <f>Discount!$J$36</f>
        <v>0</v>
      </c>
      <c r="T43" s="688">
        <f t="shared" si="10"/>
        <v>0</v>
      </c>
      <c r="U43" s="690">
        <f t="shared" si="6"/>
        <v>0</v>
      </c>
      <c r="V43" s="691">
        <f t="shared" si="5"/>
        <v>0</v>
      </c>
      <c r="W43" s="692"/>
      <c r="X43" s="692"/>
      <c r="Y43" s="692"/>
      <c r="Z43" s="692"/>
      <c r="AA43" s="692"/>
    </row>
    <row r="44" spans="1:27" ht="31.5">
      <c r="A44" s="562">
        <v>27</v>
      </c>
      <c r="B44" s="567"/>
      <c r="C44" s="567"/>
      <c r="D44" s="567"/>
      <c r="E44" s="567"/>
      <c r="F44" s="567"/>
      <c r="G44" s="774">
        <v>100001282</v>
      </c>
      <c r="H44" s="567"/>
      <c r="I44" s="430"/>
      <c r="J44" s="425">
        <v>18</v>
      </c>
      <c r="K44" s="429"/>
      <c r="L44" s="764" t="s">
        <v>558</v>
      </c>
      <c r="M44" s="746" t="s">
        <v>531</v>
      </c>
      <c r="N44" s="785">
        <v>15</v>
      </c>
      <c r="O44" s="426"/>
      <c r="P44" s="428" t="str">
        <f t="shared" si="7"/>
        <v>INCLUDED</v>
      </c>
      <c r="Q44" s="657">
        <f t="shared" si="8"/>
        <v>0</v>
      </c>
      <c r="R44" s="688">
        <f t="shared" si="9"/>
        <v>0</v>
      </c>
      <c r="S44" s="689">
        <f>Discount!$J$36</f>
        <v>0</v>
      </c>
      <c r="T44" s="688">
        <f t="shared" si="10"/>
        <v>0</v>
      </c>
      <c r="U44" s="690">
        <f t="shared" si="6"/>
        <v>0</v>
      </c>
      <c r="V44" s="691">
        <f t="shared" si="5"/>
        <v>0</v>
      </c>
      <c r="W44" s="692"/>
      <c r="X44" s="692"/>
      <c r="Y44" s="692"/>
      <c r="Z44" s="692"/>
      <c r="AA44" s="692"/>
    </row>
    <row r="45" spans="1:27" ht="42" customHeight="1">
      <c r="A45" s="562">
        <v>28</v>
      </c>
      <c r="B45" s="567"/>
      <c r="C45" s="567"/>
      <c r="D45" s="567"/>
      <c r="E45" s="567"/>
      <c r="F45" s="567"/>
      <c r="G45" s="784">
        <v>100001283</v>
      </c>
      <c r="H45" s="567"/>
      <c r="I45" s="430"/>
      <c r="J45" s="425">
        <v>18</v>
      </c>
      <c r="K45" s="429"/>
      <c r="L45" s="766" t="s">
        <v>559</v>
      </c>
      <c r="M45" s="795" t="s">
        <v>562</v>
      </c>
      <c r="N45" s="792">
        <v>15</v>
      </c>
      <c r="O45" s="426"/>
      <c r="P45" s="428" t="str">
        <f t="shared" si="7"/>
        <v>INCLUDED</v>
      </c>
      <c r="Q45" s="657">
        <f t="shared" si="8"/>
        <v>0</v>
      </c>
      <c r="R45" s="688">
        <f t="shared" si="9"/>
        <v>0</v>
      </c>
      <c r="S45" s="689">
        <f>Discount!$J$36</f>
        <v>0</v>
      </c>
      <c r="T45" s="688">
        <f t="shared" si="10"/>
        <v>0</v>
      </c>
      <c r="U45" s="690">
        <f t="shared" si="6"/>
        <v>0</v>
      </c>
      <c r="V45" s="691">
        <f t="shared" si="5"/>
        <v>0</v>
      </c>
      <c r="W45" s="692"/>
      <c r="X45" s="692"/>
      <c r="Y45" s="692"/>
      <c r="Z45" s="692"/>
      <c r="AA45" s="692"/>
    </row>
    <row r="46" spans="1:27" ht="47.25" customHeight="1">
      <c r="A46" s="562">
        <v>29</v>
      </c>
      <c r="B46" s="567"/>
      <c r="C46" s="567"/>
      <c r="D46" s="567"/>
      <c r="E46" s="567"/>
      <c r="F46" s="567"/>
      <c r="G46" s="767">
        <v>100002882</v>
      </c>
      <c r="H46" s="567"/>
      <c r="I46" s="430"/>
      <c r="J46" s="425">
        <v>18</v>
      </c>
      <c r="K46" s="429"/>
      <c r="L46" s="765" t="s">
        <v>560</v>
      </c>
      <c r="M46" s="630" t="s">
        <v>534</v>
      </c>
      <c r="N46" s="786">
        <v>5.2409999999999997</v>
      </c>
      <c r="O46" s="426"/>
      <c r="P46" s="428" t="str">
        <f t="shared" si="7"/>
        <v>INCLUDED</v>
      </c>
      <c r="Q46" s="657">
        <f t="shared" si="8"/>
        <v>0</v>
      </c>
      <c r="R46" s="688">
        <f t="shared" si="9"/>
        <v>0</v>
      </c>
      <c r="S46" s="689">
        <f>Discount!$J$36</f>
        <v>0</v>
      </c>
      <c r="T46" s="688">
        <f t="shared" si="10"/>
        <v>0</v>
      </c>
      <c r="U46" s="690">
        <f t="shared" si="6"/>
        <v>0</v>
      </c>
      <c r="V46" s="691">
        <f t="shared" si="5"/>
        <v>0</v>
      </c>
      <c r="W46" s="692"/>
      <c r="X46" s="692"/>
      <c r="Y46" s="692"/>
      <c r="Z46" s="692"/>
      <c r="AA46" s="692"/>
    </row>
    <row r="47" spans="1:27" ht="16.5">
      <c r="A47" s="562">
        <v>30</v>
      </c>
      <c r="B47" s="567"/>
      <c r="C47" s="567"/>
      <c r="D47" s="567"/>
      <c r="E47" s="567"/>
      <c r="F47" s="567"/>
      <c r="G47" s="767">
        <v>170000265</v>
      </c>
      <c r="H47" s="567"/>
      <c r="I47" s="430"/>
      <c r="J47" s="425">
        <v>18</v>
      </c>
      <c r="K47" s="429"/>
      <c r="L47" s="765" t="s">
        <v>483</v>
      </c>
      <c r="M47" s="630" t="s">
        <v>528</v>
      </c>
      <c r="N47" s="786">
        <v>2</v>
      </c>
      <c r="O47" s="426"/>
      <c r="P47" s="428" t="str">
        <f t="shared" si="7"/>
        <v>INCLUDED</v>
      </c>
      <c r="Q47" s="657">
        <f t="shared" si="8"/>
        <v>0</v>
      </c>
      <c r="R47" s="688">
        <f t="shared" si="9"/>
        <v>0</v>
      </c>
      <c r="S47" s="689">
        <f>Discount!$J$36</f>
        <v>0</v>
      </c>
      <c r="T47" s="688">
        <f t="shared" si="10"/>
        <v>0</v>
      </c>
      <c r="U47" s="690">
        <f t="shared" si="6"/>
        <v>0</v>
      </c>
      <c r="V47" s="691">
        <f t="shared" si="5"/>
        <v>0</v>
      </c>
      <c r="W47" s="692"/>
      <c r="X47" s="692"/>
      <c r="Y47" s="692"/>
      <c r="Z47" s="692"/>
      <c r="AA47" s="692"/>
    </row>
    <row r="48" spans="1:27" ht="18.75">
      <c r="A48" s="762" t="s">
        <v>565</v>
      </c>
      <c r="B48" s="861" t="s">
        <v>567</v>
      </c>
      <c r="C48" s="862"/>
      <c r="D48" s="863"/>
      <c r="E48" s="567"/>
      <c r="F48" s="567"/>
      <c r="G48" s="567"/>
      <c r="H48" s="567"/>
      <c r="I48" s="802"/>
      <c r="J48" s="425"/>
      <c r="K48" s="803"/>
      <c r="L48" s="764"/>
      <c r="M48" s="754"/>
      <c r="N48" s="425"/>
      <c r="O48" s="801"/>
      <c r="P48" s="428"/>
      <c r="Q48" s="657">
        <f t="shared" si="8"/>
        <v>0</v>
      </c>
      <c r="R48" s="688">
        <f t="shared" si="9"/>
        <v>0</v>
      </c>
      <c r="S48" s="689">
        <f>Discount!$J$36</f>
        <v>0</v>
      </c>
      <c r="T48" s="688">
        <f t="shared" si="10"/>
        <v>0</v>
      </c>
      <c r="U48" s="690">
        <f t="shared" si="6"/>
        <v>0</v>
      </c>
      <c r="V48" s="691">
        <f t="shared" si="5"/>
        <v>0</v>
      </c>
      <c r="W48" s="692"/>
      <c r="X48" s="692"/>
      <c r="Y48" s="692"/>
      <c r="Z48" s="692"/>
      <c r="AA48" s="692"/>
    </row>
    <row r="49" spans="1:27" ht="16.5">
      <c r="A49" s="562">
        <v>1</v>
      </c>
      <c r="B49" s="567"/>
      <c r="C49" s="567"/>
      <c r="D49" s="567"/>
      <c r="E49" s="567"/>
      <c r="F49" s="567"/>
      <c r="G49" s="787">
        <v>100002672</v>
      </c>
      <c r="H49" s="567"/>
      <c r="I49" s="430"/>
      <c r="J49" s="425">
        <v>18</v>
      </c>
      <c r="K49" s="429"/>
      <c r="L49" s="401" t="s">
        <v>535</v>
      </c>
      <c r="M49" s="752" t="s">
        <v>530</v>
      </c>
      <c r="N49" s="785">
        <v>2E-3</v>
      </c>
      <c r="O49" s="426"/>
      <c r="P49" s="428" t="str">
        <f t="shared" si="7"/>
        <v>INCLUDED</v>
      </c>
      <c r="Q49" s="657">
        <f t="shared" si="8"/>
        <v>0</v>
      </c>
      <c r="R49" s="688">
        <f t="shared" si="9"/>
        <v>0</v>
      </c>
      <c r="S49" s="689">
        <f>Discount!$J$36</f>
        <v>0</v>
      </c>
      <c r="T49" s="688">
        <f t="shared" si="10"/>
        <v>0</v>
      </c>
      <c r="U49" s="690">
        <f t="shared" si="6"/>
        <v>0</v>
      </c>
      <c r="V49" s="691">
        <f t="shared" si="5"/>
        <v>0</v>
      </c>
      <c r="W49" s="692"/>
      <c r="X49" s="692"/>
      <c r="Y49" s="692"/>
      <c r="Z49" s="692"/>
      <c r="AA49" s="692"/>
    </row>
    <row r="50" spans="1:27" ht="16.5">
      <c r="A50" s="562">
        <v>2</v>
      </c>
      <c r="B50" s="567"/>
      <c r="C50" s="567"/>
      <c r="D50" s="567"/>
      <c r="E50" s="567"/>
      <c r="F50" s="567"/>
      <c r="G50" s="401">
        <v>100001243</v>
      </c>
      <c r="H50" s="567"/>
      <c r="I50" s="430"/>
      <c r="J50" s="425">
        <v>18</v>
      </c>
      <c r="K50" s="429"/>
      <c r="L50" s="788" t="s">
        <v>536</v>
      </c>
      <c r="M50" s="752" t="s">
        <v>530</v>
      </c>
      <c r="N50" s="785">
        <v>2E-3</v>
      </c>
      <c r="O50" s="426"/>
      <c r="P50" s="428" t="str">
        <f t="shared" si="7"/>
        <v>INCLUDED</v>
      </c>
      <c r="Q50" s="657">
        <f t="shared" si="8"/>
        <v>0</v>
      </c>
      <c r="R50" s="688">
        <f t="shared" si="9"/>
        <v>0</v>
      </c>
      <c r="S50" s="689">
        <f>Discount!$J$36</f>
        <v>0</v>
      </c>
      <c r="T50" s="688">
        <f t="shared" si="10"/>
        <v>0</v>
      </c>
      <c r="U50" s="690">
        <f t="shared" si="6"/>
        <v>0</v>
      </c>
      <c r="V50" s="691">
        <f t="shared" si="5"/>
        <v>0</v>
      </c>
      <c r="W50" s="692"/>
      <c r="X50" s="692"/>
      <c r="Y50" s="692"/>
      <c r="Z50" s="692"/>
      <c r="AA50" s="692"/>
    </row>
    <row r="51" spans="1:27" ht="16.5">
      <c r="A51" s="562">
        <v>3</v>
      </c>
      <c r="B51" s="567"/>
      <c r="C51" s="567"/>
      <c r="D51" s="567"/>
      <c r="E51" s="567"/>
      <c r="F51" s="567"/>
      <c r="G51" s="401">
        <v>100001244</v>
      </c>
      <c r="H51" s="567"/>
      <c r="I51" s="430"/>
      <c r="J51" s="425">
        <v>18</v>
      </c>
      <c r="K51" s="429"/>
      <c r="L51" s="788" t="s">
        <v>568</v>
      </c>
      <c r="M51" s="752" t="s">
        <v>570</v>
      </c>
      <c r="N51" s="785">
        <v>3</v>
      </c>
      <c r="O51" s="426"/>
      <c r="P51" s="428" t="str">
        <f t="shared" si="7"/>
        <v>INCLUDED</v>
      </c>
      <c r="Q51" s="657">
        <f t="shared" si="8"/>
        <v>0</v>
      </c>
      <c r="R51" s="688">
        <f t="shared" si="9"/>
        <v>0</v>
      </c>
      <c r="S51" s="689">
        <f>Discount!$J$36</f>
        <v>0</v>
      </c>
      <c r="T51" s="688">
        <f t="shared" si="10"/>
        <v>0</v>
      </c>
      <c r="U51" s="690">
        <f t="shared" si="6"/>
        <v>0</v>
      </c>
      <c r="V51" s="691">
        <f t="shared" si="5"/>
        <v>0</v>
      </c>
      <c r="W51" s="692"/>
      <c r="X51" s="692"/>
      <c r="Y51" s="692"/>
      <c r="Z51" s="692"/>
      <c r="AA51" s="692"/>
    </row>
    <row r="52" spans="1:27" ht="16.5">
      <c r="A52" s="562">
        <v>4</v>
      </c>
      <c r="B52" s="567"/>
      <c r="C52" s="567"/>
      <c r="D52" s="567"/>
      <c r="E52" s="567"/>
      <c r="F52" s="567"/>
      <c r="G52" s="401">
        <v>100001246</v>
      </c>
      <c r="H52" s="567"/>
      <c r="I52" s="430"/>
      <c r="J52" s="425">
        <v>18</v>
      </c>
      <c r="K52" s="429"/>
      <c r="L52" s="788" t="s">
        <v>569</v>
      </c>
      <c r="M52" s="752" t="s">
        <v>570</v>
      </c>
      <c r="N52" s="785">
        <v>1</v>
      </c>
      <c r="O52" s="426"/>
      <c r="P52" s="428" t="str">
        <f t="shared" si="7"/>
        <v>INCLUDED</v>
      </c>
      <c r="Q52" s="657">
        <f t="shared" si="8"/>
        <v>0</v>
      </c>
      <c r="R52" s="688">
        <f t="shared" si="9"/>
        <v>0</v>
      </c>
      <c r="S52" s="689">
        <f>Discount!$J$36</f>
        <v>0</v>
      </c>
      <c r="T52" s="688">
        <f t="shared" si="10"/>
        <v>0</v>
      </c>
      <c r="U52" s="690">
        <f t="shared" si="6"/>
        <v>0</v>
      </c>
      <c r="V52" s="691">
        <f t="shared" si="5"/>
        <v>0</v>
      </c>
      <c r="W52" s="692"/>
      <c r="X52" s="692"/>
      <c r="Y52" s="692"/>
      <c r="Z52" s="692"/>
      <c r="AA52" s="692"/>
    </row>
    <row r="53" spans="1:27" ht="16.5">
      <c r="A53" s="562">
        <v>5</v>
      </c>
      <c r="B53" s="567"/>
      <c r="C53" s="567"/>
      <c r="D53" s="567"/>
      <c r="E53" s="567"/>
      <c r="F53" s="567"/>
      <c r="G53" s="401">
        <v>100001245</v>
      </c>
      <c r="H53" s="567"/>
      <c r="I53" s="430"/>
      <c r="J53" s="425">
        <v>18</v>
      </c>
      <c r="K53" s="429"/>
      <c r="L53" s="788" t="s">
        <v>574</v>
      </c>
      <c r="M53" s="752" t="s">
        <v>570</v>
      </c>
      <c r="N53" s="785">
        <v>1</v>
      </c>
      <c r="O53" s="426"/>
      <c r="P53" s="428" t="str">
        <f t="shared" si="7"/>
        <v>INCLUDED</v>
      </c>
      <c r="Q53" s="657">
        <f t="shared" si="8"/>
        <v>0</v>
      </c>
      <c r="R53" s="688">
        <f t="shared" si="9"/>
        <v>0</v>
      </c>
      <c r="S53" s="689">
        <f>Discount!$J$36</f>
        <v>0</v>
      </c>
      <c r="T53" s="688">
        <f t="shared" si="10"/>
        <v>0</v>
      </c>
      <c r="U53" s="690">
        <f t="shared" si="6"/>
        <v>0</v>
      </c>
      <c r="V53" s="691">
        <f t="shared" si="5"/>
        <v>0</v>
      </c>
      <c r="W53" s="692"/>
      <c r="X53" s="692"/>
      <c r="Y53" s="692"/>
      <c r="Z53" s="692"/>
      <c r="AA53" s="692"/>
    </row>
    <row r="54" spans="1:27" ht="16.5">
      <c r="A54" s="562">
        <v>6</v>
      </c>
      <c r="B54" s="567"/>
      <c r="C54" s="567"/>
      <c r="D54" s="567"/>
      <c r="E54" s="567"/>
      <c r="F54" s="567"/>
      <c r="G54" s="401">
        <v>100001255</v>
      </c>
      <c r="H54" s="567"/>
      <c r="I54" s="430"/>
      <c r="J54" s="425">
        <v>18</v>
      </c>
      <c r="K54" s="429"/>
      <c r="L54" s="788" t="s">
        <v>537</v>
      </c>
      <c r="M54" s="752" t="s">
        <v>561</v>
      </c>
      <c r="N54" s="785">
        <v>0</v>
      </c>
      <c r="O54" s="426"/>
      <c r="P54" s="428" t="str">
        <f t="shared" si="7"/>
        <v>INCLUDED</v>
      </c>
      <c r="Q54" s="657">
        <f t="shared" si="8"/>
        <v>0</v>
      </c>
      <c r="R54" s="688">
        <f t="shared" si="9"/>
        <v>0</v>
      </c>
      <c r="S54" s="689">
        <f>Discount!$J$36</f>
        <v>0</v>
      </c>
      <c r="T54" s="688">
        <f t="shared" si="10"/>
        <v>0</v>
      </c>
      <c r="U54" s="690">
        <f t="shared" si="6"/>
        <v>0</v>
      </c>
      <c r="V54" s="691">
        <f t="shared" si="5"/>
        <v>0</v>
      </c>
      <c r="W54" s="692"/>
      <c r="X54" s="692"/>
      <c r="Y54" s="692"/>
      <c r="Z54" s="692"/>
      <c r="AA54" s="692"/>
    </row>
    <row r="55" spans="1:27" ht="16.5">
      <c r="A55" s="562">
        <v>7</v>
      </c>
      <c r="B55" s="567"/>
      <c r="C55" s="567"/>
      <c r="D55" s="567"/>
      <c r="E55" s="567"/>
      <c r="F55" s="567"/>
      <c r="G55" s="401">
        <v>100001256</v>
      </c>
      <c r="H55" s="567"/>
      <c r="I55" s="430"/>
      <c r="J55" s="425">
        <v>18</v>
      </c>
      <c r="K55" s="429"/>
      <c r="L55" s="788" t="s">
        <v>538</v>
      </c>
      <c r="M55" s="752" t="s">
        <v>561</v>
      </c>
      <c r="N55" s="785">
        <v>0</v>
      </c>
      <c r="O55" s="426"/>
      <c r="P55" s="428" t="str">
        <f t="shared" si="7"/>
        <v>INCLUDED</v>
      </c>
      <c r="Q55" s="657">
        <f t="shared" si="8"/>
        <v>0</v>
      </c>
      <c r="R55" s="688">
        <f t="shared" si="9"/>
        <v>0</v>
      </c>
      <c r="S55" s="689">
        <f>Discount!$J$36</f>
        <v>0</v>
      </c>
      <c r="T55" s="688">
        <f t="shared" si="10"/>
        <v>0</v>
      </c>
      <c r="U55" s="690">
        <f t="shared" si="6"/>
        <v>0</v>
      </c>
      <c r="V55" s="691">
        <f t="shared" si="5"/>
        <v>0</v>
      </c>
      <c r="W55" s="692"/>
      <c r="X55" s="692"/>
      <c r="Y55" s="692"/>
      <c r="Z55" s="692"/>
      <c r="AA55" s="692"/>
    </row>
    <row r="56" spans="1:27" ht="16.5">
      <c r="A56" s="562">
        <v>8</v>
      </c>
      <c r="B56" s="567"/>
      <c r="C56" s="567"/>
      <c r="D56" s="567"/>
      <c r="E56" s="567"/>
      <c r="F56" s="567"/>
      <c r="G56" s="401">
        <v>100001257</v>
      </c>
      <c r="H56" s="567"/>
      <c r="I56" s="430"/>
      <c r="J56" s="425">
        <v>18</v>
      </c>
      <c r="K56" s="429"/>
      <c r="L56" s="401" t="s">
        <v>488</v>
      </c>
      <c r="M56" s="752" t="s">
        <v>561</v>
      </c>
      <c r="N56" s="785">
        <v>2694.74</v>
      </c>
      <c r="O56" s="426"/>
      <c r="P56" s="428" t="str">
        <f t="shared" si="7"/>
        <v>INCLUDED</v>
      </c>
      <c r="Q56" s="657">
        <f t="shared" si="8"/>
        <v>0</v>
      </c>
      <c r="R56" s="688">
        <f t="shared" si="9"/>
        <v>0</v>
      </c>
      <c r="S56" s="689">
        <f>Discount!$J$36</f>
        <v>0</v>
      </c>
      <c r="T56" s="688">
        <f t="shared" si="10"/>
        <v>0</v>
      </c>
      <c r="U56" s="690">
        <f t="shared" si="6"/>
        <v>0</v>
      </c>
      <c r="V56" s="691">
        <f t="shared" si="5"/>
        <v>0</v>
      </c>
      <c r="W56" s="692"/>
      <c r="X56" s="692"/>
      <c r="Y56" s="692"/>
      <c r="Z56" s="692"/>
      <c r="AA56" s="692"/>
    </row>
    <row r="57" spans="1:27" ht="16.5">
      <c r="A57" s="562">
        <v>9</v>
      </c>
      <c r="B57" s="567"/>
      <c r="C57" s="567"/>
      <c r="D57" s="567"/>
      <c r="E57" s="567"/>
      <c r="F57" s="567"/>
      <c r="G57" s="401">
        <v>100001259</v>
      </c>
      <c r="H57" s="567"/>
      <c r="I57" s="430"/>
      <c r="J57" s="425">
        <v>18</v>
      </c>
      <c r="K57" s="429"/>
      <c r="L57" s="401" t="s">
        <v>539</v>
      </c>
      <c r="M57" s="752" t="s">
        <v>561</v>
      </c>
      <c r="N57" s="785">
        <v>50</v>
      </c>
      <c r="O57" s="426"/>
      <c r="P57" s="428" t="str">
        <f t="shared" si="7"/>
        <v>INCLUDED</v>
      </c>
      <c r="Q57" s="657">
        <f t="shared" si="8"/>
        <v>0</v>
      </c>
      <c r="R57" s="688">
        <f t="shared" si="9"/>
        <v>0</v>
      </c>
      <c r="S57" s="689">
        <f>Discount!$J$36</f>
        <v>0</v>
      </c>
      <c r="T57" s="688">
        <f t="shared" si="10"/>
        <v>0</v>
      </c>
      <c r="U57" s="690">
        <f t="shared" si="6"/>
        <v>0</v>
      </c>
      <c r="V57" s="691">
        <f t="shared" si="5"/>
        <v>0</v>
      </c>
      <c r="W57" s="692"/>
      <c r="X57" s="692"/>
      <c r="Y57" s="692"/>
      <c r="Z57" s="692"/>
      <c r="AA57" s="692"/>
    </row>
    <row r="58" spans="1:27" ht="31.5">
      <c r="A58" s="562">
        <v>10</v>
      </c>
      <c r="B58" s="567"/>
      <c r="C58" s="567"/>
      <c r="D58" s="567"/>
      <c r="E58" s="567"/>
      <c r="F58" s="567"/>
      <c r="G58" s="401">
        <v>100001260</v>
      </c>
      <c r="H58" s="567"/>
      <c r="I58" s="430"/>
      <c r="J58" s="425">
        <v>18</v>
      </c>
      <c r="K58" s="429"/>
      <c r="L58" s="788" t="s">
        <v>540</v>
      </c>
      <c r="M58" s="752" t="s">
        <v>561</v>
      </c>
      <c r="N58" s="785">
        <v>456.85</v>
      </c>
      <c r="O58" s="426"/>
      <c r="P58" s="428" t="str">
        <f t="shared" si="7"/>
        <v>INCLUDED</v>
      </c>
      <c r="Q58" s="657">
        <f t="shared" si="8"/>
        <v>0</v>
      </c>
      <c r="R58" s="688">
        <f t="shared" si="9"/>
        <v>0</v>
      </c>
      <c r="S58" s="689">
        <f>Discount!$J$36</f>
        <v>0</v>
      </c>
      <c r="T58" s="688">
        <f t="shared" si="10"/>
        <v>0</v>
      </c>
      <c r="U58" s="690">
        <f t="shared" si="6"/>
        <v>0</v>
      </c>
      <c r="V58" s="691">
        <f t="shared" si="5"/>
        <v>0</v>
      </c>
      <c r="W58" s="692"/>
      <c r="X58" s="692"/>
      <c r="Y58" s="692"/>
      <c r="Z58" s="692"/>
      <c r="AA58" s="692"/>
    </row>
    <row r="59" spans="1:27" ht="31.5">
      <c r="A59" s="562">
        <v>11</v>
      </c>
      <c r="B59" s="567"/>
      <c r="C59" s="567"/>
      <c r="D59" s="567"/>
      <c r="E59" s="567"/>
      <c r="F59" s="567"/>
      <c r="G59" s="401">
        <v>100001261</v>
      </c>
      <c r="H59" s="567"/>
      <c r="I59" s="430"/>
      <c r="J59" s="425">
        <v>18</v>
      </c>
      <c r="K59" s="429"/>
      <c r="L59" s="788" t="s">
        <v>541</v>
      </c>
      <c r="M59" s="752" t="s">
        <v>561</v>
      </c>
      <c r="N59" s="785">
        <v>53.292000000000002</v>
      </c>
      <c r="O59" s="426"/>
      <c r="P59" s="428" t="str">
        <f t="shared" si="7"/>
        <v>INCLUDED</v>
      </c>
      <c r="Q59" s="657">
        <f t="shared" si="8"/>
        <v>0</v>
      </c>
      <c r="R59" s="688">
        <f t="shared" si="9"/>
        <v>0</v>
      </c>
      <c r="S59" s="689">
        <f>Discount!$J$36</f>
        <v>0</v>
      </c>
      <c r="T59" s="688">
        <f t="shared" si="10"/>
        <v>0</v>
      </c>
      <c r="U59" s="690">
        <f t="shared" si="6"/>
        <v>0</v>
      </c>
      <c r="V59" s="691">
        <f t="shared" si="5"/>
        <v>0</v>
      </c>
      <c r="W59" s="692"/>
      <c r="X59" s="692"/>
      <c r="Y59" s="692"/>
      <c r="Z59" s="692"/>
      <c r="AA59" s="692"/>
    </row>
    <row r="60" spans="1:27" ht="16.5">
      <c r="A60" s="562">
        <v>12</v>
      </c>
      <c r="B60" s="567"/>
      <c r="C60" s="567"/>
      <c r="D60" s="567"/>
      <c r="E60" s="567"/>
      <c r="F60" s="567"/>
      <c r="G60" s="401">
        <v>100001262</v>
      </c>
      <c r="H60" s="567"/>
      <c r="I60" s="430"/>
      <c r="J60" s="425">
        <v>18</v>
      </c>
      <c r="K60" s="429"/>
      <c r="L60" s="788" t="s">
        <v>542</v>
      </c>
      <c r="M60" s="752" t="s">
        <v>527</v>
      </c>
      <c r="N60" s="785">
        <v>49.951999999999998</v>
      </c>
      <c r="O60" s="426"/>
      <c r="P60" s="428" t="str">
        <f t="shared" si="7"/>
        <v>INCLUDED</v>
      </c>
      <c r="Q60" s="657">
        <f t="shared" si="8"/>
        <v>0</v>
      </c>
      <c r="R60" s="688">
        <f t="shared" si="9"/>
        <v>0</v>
      </c>
      <c r="S60" s="689">
        <f>Discount!$J$36</f>
        <v>0</v>
      </c>
      <c r="T60" s="688">
        <f t="shared" si="10"/>
        <v>0</v>
      </c>
      <c r="U60" s="690">
        <f t="shared" si="6"/>
        <v>0</v>
      </c>
      <c r="V60" s="691">
        <f t="shared" si="5"/>
        <v>0</v>
      </c>
      <c r="W60" s="692"/>
      <c r="X60" s="692"/>
      <c r="Y60" s="692"/>
      <c r="Z60" s="692"/>
      <c r="AA60" s="692"/>
    </row>
    <row r="61" spans="1:27" ht="16.5">
      <c r="A61" s="562">
        <v>13</v>
      </c>
      <c r="B61" s="567"/>
      <c r="C61" s="567"/>
      <c r="D61" s="567"/>
      <c r="E61" s="567"/>
      <c r="F61" s="567"/>
      <c r="G61" s="401">
        <v>100001263</v>
      </c>
      <c r="H61" s="567"/>
      <c r="I61" s="430"/>
      <c r="J61" s="425">
        <v>18</v>
      </c>
      <c r="K61" s="429"/>
      <c r="L61" s="788" t="s">
        <v>543</v>
      </c>
      <c r="M61" s="752" t="s">
        <v>527</v>
      </c>
      <c r="N61" s="785">
        <v>8.3059999999999992</v>
      </c>
      <c r="O61" s="426"/>
      <c r="P61" s="428" t="str">
        <f t="shared" si="7"/>
        <v>INCLUDED</v>
      </c>
      <c r="Q61" s="657">
        <f t="shared" si="8"/>
        <v>0</v>
      </c>
      <c r="R61" s="688">
        <f t="shared" si="9"/>
        <v>0</v>
      </c>
      <c r="S61" s="689">
        <f>Discount!$J$36</f>
        <v>0</v>
      </c>
      <c r="T61" s="688">
        <f t="shared" si="10"/>
        <v>0</v>
      </c>
      <c r="U61" s="690">
        <f t="shared" si="6"/>
        <v>0</v>
      </c>
      <c r="V61" s="691">
        <f t="shared" si="5"/>
        <v>0</v>
      </c>
      <c r="W61" s="692"/>
      <c r="X61" s="692"/>
      <c r="Y61" s="692"/>
      <c r="Z61" s="692"/>
      <c r="AA61" s="692"/>
    </row>
    <row r="62" spans="1:27" ht="47.25">
      <c r="A62" s="562">
        <v>14</v>
      </c>
      <c r="B62" s="567"/>
      <c r="C62" s="567"/>
      <c r="D62" s="567"/>
      <c r="E62" s="567"/>
      <c r="F62" s="567"/>
      <c r="G62" s="401">
        <v>100001248</v>
      </c>
      <c r="H62" s="567"/>
      <c r="I62" s="430"/>
      <c r="J62" s="425">
        <v>18</v>
      </c>
      <c r="K62" s="429"/>
      <c r="L62" s="788" t="s">
        <v>544</v>
      </c>
      <c r="M62" s="752" t="s">
        <v>527</v>
      </c>
      <c r="N62" s="785">
        <v>208.21199999999999</v>
      </c>
      <c r="O62" s="426"/>
      <c r="P62" s="428" t="str">
        <f t="shared" si="7"/>
        <v>INCLUDED</v>
      </c>
      <c r="Q62" s="657">
        <f t="shared" si="8"/>
        <v>0</v>
      </c>
      <c r="R62" s="688">
        <f t="shared" si="9"/>
        <v>0</v>
      </c>
      <c r="S62" s="689">
        <f>Discount!$J$36</f>
        <v>0</v>
      </c>
      <c r="T62" s="688">
        <f t="shared" si="10"/>
        <v>0</v>
      </c>
      <c r="U62" s="690">
        <f t="shared" si="6"/>
        <v>0</v>
      </c>
      <c r="V62" s="691">
        <f t="shared" si="5"/>
        <v>0</v>
      </c>
      <c r="W62" s="692"/>
      <c r="X62" s="692"/>
      <c r="Y62" s="692"/>
      <c r="Z62" s="692"/>
      <c r="AA62" s="692"/>
    </row>
    <row r="63" spans="1:27" ht="16.5">
      <c r="A63" s="562">
        <v>15</v>
      </c>
      <c r="B63" s="567"/>
      <c r="C63" s="567"/>
      <c r="D63" s="567"/>
      <c r="E63" s="567"/>
      <c r="F63" s="567"/>
      <c r="G63" s="401">
        <v>100001269</v>
      </c>
      <c r="H63" s="567"/>
      <c r="I63" s="430"/>
      <c r="J63" s="425">
        <v>18</v>
      </c>
      <c r="K63" s="429"/>
      <c r="L63" s="788" t="s">
        <v>575</v>
      </c>
      <c r="M63" s="752" t="s">
        <v>528</v>
      </c>
      <c r="N63" s="785">
        <v>0</v>
      </c>
      <c r="O63" s="426"/>
      <c r="P63" s="428" t="str">
        <f t="shared" si="7"/>
        <v>INCLUDED</v>
      </c>
      <c r="Q63" s="657">
        <f t="shared" si="8"/>
        <v>0</v>
      </c>
      <c r="R63" s="688">
        <f t="shared" si="9"/>
        <v>0</v>
      </c>
      <c r="S63" s="689">
        <f>Discount!$J$36</f>
        <v>0</v>
      </c>
      <c r="T63" s="688">
        <f t="shared" si="10"/>
        <v>0</v>
      </c>
      <c r="U63" s="690">
        <f t="shared" si="6"/>
        <v>0</v>
      </c>
      <c r="V63" s="691">
        <f t="shared" si="5"/>
        <v>0</v>
      </c>
      <c r="W63" s="692"/>
      <c r="X63" s="692"/>
      <c r="Y63" s="692"/>
      <c r="Z63" s="692"/>
      <c r="AA63" s="692"/>
    </row>
    <row r="64" spans="1:27" ht="31.5">
      <c r="A64" s="562">
        <v>16</v>
      </c>
      <c r="B64" s="567"/>
      <c r="C64" s="567"/>
      <c r="D64" s="567"/>
      <c r="E64" s="567"/>
      <c r="F64" s="567"/>
      <c r="G64" s="401">
        <v>100002202</v>
      </c>
      <c r="H64" s="567"/>
      <c r="I64" s="430"/>
      <c r="J64" s="425">
        <v>18</v>
      </c>
      <c r="K64" s="429"/>
      <c r="L64" s="788" t="s">
        <v>576</v>
      </c>
      <c r="M64" s="752" t="s">
        <v>528</v>
      </c>
      <c r="N64" s="785">
        <v>0</v>
      </c>
      <c r="O64" s="426"/>
      <c r="P64" s="428" t="str">
        <f t="shared" si="7"/>
        <v>INCLUDED</v>
      </c>
      <c r="Q64" s="657">
        <f t="shared" si="8"/>
        <v>0</v>
      </c>
      <c r="R64" s="688">
        <f t="shared" si="9"/>
        <v>0</v>
      </c>
      <c r="S64" s="689">
        <f>Discount!$J$36</f>
        <v>0</v>
      </c>
      <c r="T64" s="688">
        <f t="shared" si="10"/>
        <v>0</v>
      </c>
      <c r="U64" s="690">
        <f t="shared" si="6"/>
        <v>0</v>
      </c>
      <c r="V64" s="691">
        <f t="shared" si="5"/>
        <v>0</v>
      </c>
      <c r="W64" s="692"/>
      <c r="X64" s="692"/>
      <c r="Y64" s="692"/>
      <c r="Z64" s="692"/>
      <c r="AA64" s="692"/>
    </row>
    <row r="65" spans="1:27" ht="16.5">
      <c r="A65" s="562">
        <v>17</v>
      </c>
      <c r="B65" s="567"/>
      <c r="C65" s="567"/>
      <c r="D65" s="567"/>
      <c r="E65" s="567"/>
      <c r="F65" s="567"/>
      <c r="G65" s="401">
        <v>100001270</v>
      </c>
      <c r="H65" s="567"/>
      <c r="I65" s="430"/>
      <c r="J65" s="425">
        <v>18</v>
      </c>
      <c r="K65" s="429"/>
      <c r="L65" s="789" t="s">
        <v>545</v>
      </c>
      <c r="M65" s="752" t="s">
        <v>528</v>
      </c>
      <c r="N65" s="785">
        <v>8</v>
      </c>
      <c r="O65" s="426"/>
      <c r="P65" s="428" t="str">
        <f t="shared" si="7"/>
        <v>INCLUDED</v>
      </c>
      <c r="Q65" s="657">
        <f t="shared" si="8"/>
        <v>0</v>
      </c>
      <c r="R65" s="688">
        <f t="shared" si="9"/>
        <v>0</v>
      </c>
      <c r="S65" s="689">
        <f>Discount!$J$36</f>
        <v>0</v>
      </c>
      <c r="T65" s="688">
        <f t="shared" si="10"/>
        <v>0</v>
      </c>
      <c r="U65" s="690">
        <f t="shared" si="6"/>
        <v>0</v>
      </c>
      <c r="V65" s="691">
        <f t="shared" si="5"/>
        <v>0</v>
      </c>
      <c r="W65" s="692"/>
      <c r="X65" s="692"/>
      <c r="Y65" s="692"/>
      <c r="Z65" s="692"/>
      <c r="AA65" s="692"/>
    </row>
    <row r="66" spans="1:27" ht="31.5">
      <c r="A66" s="562">
        <v>18</v>
      </c>
      <c r="B66" s="567"/>
      <c r="C66" s="567"/>
      <c r="D66" s="567"/>
      <c r="E66" s="567"/>
      <c r="F66" s="567"/>
      <c r="G66" s="401">
        <v>100002203</v>
      </c>
      <c r="H66" s="567"/>
      <c r="I66" s="430"/>
      <c r="J66" s="425">
        <v>18</v>
      </c>
      <c r="K66" s="429"/>
      <c r="L66" s="788" t="s">
        <v>546</v>
      </c>
      <c r="M66" s="752" t="s">
        <v>528</v>
      </c>
      <c r="N66" s="785">
        <v>1</v>
      </c>
      <c r="O66" s="426"/>
      <c r="P66" s="428" t="str">
        <f t="shared" si="7"/>
        <v>INCLUDED</v>
      </c>
      <c r="Q66" s="657">
        <f t="shared" si="8"/>
        <v>0</v>
      </c>
      <c r="R66" s="688">
        <f t="shared" si="9"/>
        <v>0</v>
      </c>
      <c r="S66" s="689">
        <f>Discount!$J$36</f>
        <v>0</v>
      </c>
      <c r="T66" s="688">
        <f t="shared" si="10"/>
        <v>0</v>
      </c>
      <c r="U66" s="690">
        <f t="shared" si="6"/>
        <v>0</v>
      </c>
      <c r="V66" s="691">
        <f t="shared" si="5"/>
        <v>0</v>
      </c>
      <c r="W66" s="692"/>
      <c r="X66" s="692"/>
      <c r="Y66" s="692"/>
      <c r="Z66" s="692"/>
      <c r="AA66" s="692"/>
    </row>
    <row r="67" spans="1:27" ht="16.5">
      <c r="A67" s="562">
        <v>19</v>
      </c>
      <c r="B67" s="567"/>
      <c r="C67" s="567"/>
      <c r="D67" s="567"/>
      <c r="E67" s="567"/>
      <c r="F67" s="567"/>
      <c r="G67" s="401">
        <v>100001274</v>
      </c>
      <c r="H67" s="567"/>
      <c r="I67" s="430"/>
      <c r="J67" s="425">
        <v>18</v>
      </c>
      <c r="K67" s="429"/>
      <c r="L67" s="788" t="s">
        <v>547</v>
      </c>
      <c r="M67" s="752" t="s">
        <v>528</v>
      </c>
      <c r="N67" s="785">
        <v>8</v>
      </c>
      <c r="O67" s="426"/>
      <c r="P67" s="428" t="str">
        <f t="shared" si="7"/>
        <v>INCLUDED</v>
      </c>
      <c r="Q67" s="657">
        <f t="shared" si="8"/>
        <v>0</v>
      </c>
      <c r="R67" s="688">
        <f t="shared" si="9"/>
        <v>0</v>
      </c>
      <c r="S67" s="689">
        <f>Discount!$J$36</f>
        <v>0</v>
      </c>
      <c r="T67" s="688">
        <f t="shared" si="10"/>
        <v>0</v>
      </c>
      <c r="U67" s="690">
        <f t="shared" si="6"/>
        <v>0</v>
      </c>
      <c r="V67" s="691">
        <f t="shared" si="5"/>
        <v>0</v>
      </c>
      <c r="W67" s="692"/>
      <c r="X67" s="692"/>
      <c r="Y67" s="692"/>
      <c r="Z67" s="692"/>
      <c r="AA67" s="692"/>
    </row>
    <row r="68" spans="1:27" ht="16.5">
      <c r="A68" s="562">
        <v>20</v>
      </c>
      <c r="B68" s="567"/>
      <c r="C68" s="567"/>
      <c r="D68" s="567"/>
      <c r="E68" s="567"/>
      <c r="F68" s="567"/>
      <c r="G68" s="401">
        <v>100001275</v>
      </c>
      <c r="H68" s="567"/>
      <c r="I68" s="430"/>
      <c r="J68" s="425">
        <v>18</v>
      </c>
      <c r="K68" s="429"/>
      <c r="L68" s="788" t="s">
        <v>548</v>
      </c>
      <c r="M68" s="752" t="s">
        <v>528</v>
      </c>
      <c r="N68" s="785">
        <v>8</v>
      </c>
      <c r="O68" s="426"/>
      <c r="P68" s="428" t="str">
        <f t="shared" si="7"/>
        <v>INCLUDED</v>
      </c>
      <c r="Q68" s="657">
        <f t="shared" si="8"/>
        <v>0</v>
      </c>
      <c r="R68" s="688">
        <f t="shared" si="9"/>
        <v>0</v>
      </c>
      <c r="S68" s="689">
        <f>Discount!$J$36</f>
        <v>0</v>
      </c>
      <c r="T68" s="688">
        <f t="shared" si="10"/>
        <v>0</v>
      </c>
      <c r="U68" s="690">
        <f t="shared" si="6"/>
        <v>0</v>
      </c>
      <c r="V68" s="691">
        <f t="shared" si="5"/>
        <v>0</v>
      </c>
      <c r="W68" s="692"/>
      <c r="X68" s="692"/>
      <c r="Y68" s="692"/>
      <c r="Z68" s="692"/>
      <c r="AA68" s="692"/>
    </row>
    <row r="69" spans="1:27" ht="16.5">
      <c r="A69" s="562">
        <v>21</v>
      </c>
      <c r="B69" s="567"/>
      <c r="C69" s="567"/>
      <c r="D69" s="567"/>
      <c r="E69" s="567"/>
      <c r="F69" s="567"/>
      <c r="G69" s="401">
        <v>100001277</v>
      </c>
      <c r="H69" s="567"/>
      <c r="I69" s="430"/>
      <c r="J69" s="425">
        <v>18</v>
      </c>
      <c r="K69" s="429"/>
      <c r="L69" s="788" t="s">
        <v>549</v>
      </c>
      <c r="M69" s="752" t="s">
        <v>528</v>
      </c>
      <c r="N69" s="785">
        <v>8</v>
      </c>
      <c r="O69" s="426"/>
      <c r="P69" s="428" t="str">
        <f t="shared" si="7"/>
        <v>INCLUDED</v>
      </c>
      <c r="Q69" s="657">
        <f t="shared" si="8"/>
        <v>0</v>
      </c>
      <c r="R69" s="688">
        <f t="shared" si="9"/>
        <v>0</v>
      </c>
      <c r="S69" s="689">
        <f>Discount!$J$36</f>
        <v>0</v>
      </c>
      <c r="T69" s="688">
        <f t="shared" si="10"/>
        <v>0</v>
      </c>
      <c r="U69" s="690">
        <f t="shared" si="6"/>
        <v>0</v>
      </c>
      <c r="V69" s="691">
        <f t="shared" si="5"/>
        <v>0</v>
      </c>
      <c r="W69" s="692"/>
      <c r="X69" s="692"/>
      <c r="Y69" s="692"/>
      <c r="Z69" s="692"/>
      <c r="AA69" s="692"/>
    </row>
    <row r="70" spans="1:27" ht="16.5">
      <c r="A70" s="562">
        <v>22</v>
      </c>
      <c r="B70" s="567"/>
      <c r="C70" s="567"/>
      <c r="D70" s="567"/>
      <c r="E70" s="567"/>
      <c r="F70" s="567"/>
      <c r="G70" s="401">
        <v>100001276</v>
      </c>
      <c r="H70" s="567"/>
      <c r="I70" s="430"/>
      <c r="J70" s="425">
        <v>18</v>
      </c>
      <c r="K70" s="429"/>
      <c r="L70" s="788" t="s">
        <v>550</v>
      </c>
      <c r="M70" s="752" t="s">
        <v>476</v>
      </c>
      <c r="N70" s="785">
        <v>16</v>
      </c>
      <c r="O70" s="426"/>
      <c r="P70" s="428" t="str">
        <f t="shared" si="7"/>
        <v>INCLUDED</v>
      </c>
      <c r="Q70" s="657">
        <f t="shared" si="8"/>
        <v>0</v>
      </c>
      <c r="R70" s="688">
        <f t="shared" si="9"/>
        <v>0</v>
      </c>
      <c r="S70" s="689">
        <f>Discount!$J$36</f>
        <v>0</v>
      </c>
      <c r="T70" s="688">
        <f t="shared" si="10"/>
        <v>0</v>
      </c>
      <c r="U70" s="690">
        <f t="shared" si="6"/>
        <v>0</v>
      </c>
      <c r="V70" s="691">
        <f t="shared" si="5"/>
        <v>0</v>
      </c>
      <c r="W70" s="692"/>
      <c r="X70" s="692"/>
      <c r="Y70" s="692"/>
      <c r="Z70" s="692"/>
      <c r="AA70" s="692"/>
    </row>
    <row r="71" spans="1:27" ht="16.5">
      <c r="A71" s="562">
        <v>23</v>
      </c>
      <c r="B71" s="567"/>
      <c r="C71" s="567"/>
      <c r="D71" s="567"/>
      <c r="E71" s="567"/>
      <c r="F71" s="567"/>
      <c r="G71" s="401">
        <v>100001278</v>
      </c>
      <c r="H71" s="567"/>
      <c r="I71" s="430"/>
      <c r="J71" s="425">
        <v>18</v>
      </c>
      <c r="K71" s="429"/>
      <c r="L71" s="788" t="s">
        <v>551</v>
      </c>
      <c r="M71" s="752" t="s">
        <v>476</v>
      </c>
      <c r="N71" s="785">
        <v>8</v>
      </c>
      <c r="O71" s="426"/>
      <c r="P71" s="428" t="str">
        <f t="shared" si="7"/>
        <v>INCLUDED</v>
      </c>
      <c r="Q71" s="657">
        <f t="shared" si="8"/>
        <v>0</v>
      </c>
      <c r="R71" s="688">
        <f t="shared" si="9"/>
        <v>0</v>
      </c>
      <c r="S71" s="689">
        <f>Discount!$J$36</f>
        <v>0</v>
      </c>
      <c r="T71" s="688">
        <f t="shared" si="10"/>
        <v>0</v>
      </c>
      <c r="U71" s="690">
        <f t="shared" si="6"/>
        <v>0</v>
      </c>
      <c r="V71" s="691">
        <f t="shared" si="5"/>
        <v>0</v>
      </c>
      <c r="W71" s="692"/>
      <c r="X71" s="692"/>
      <c r="Y71" s="692"/>
      <c r="Z71" s="692"/>
      <c r="AA71" s="692"/>
    </row>
    <row r="72" spans="1:27" ht="16.5">
      <c r="A72" s="562">
        <v>24</v>
      </c>
      <c r="B72" s="567"/>
      <c r="C72" s="567"/>
      <c r="D72" s="567"/>
      <c r="E72" s="567"/>
      <c r="F72" s="567"/>
      <c r="G72" s="401">
        <v>100001279</v>
      </c>
      <c r="H72" s="567"/>
      <c r="I72" s="430"/>
      <c r="J72" s="425">
        <v>18</v>
      </c>
      <c r="K72" s="429"/>
      <c r="L72" s="788" t="s">
        <v>552</v>
      </c>
      <c r="M72" s="752" t="s">
        <v>476</v>
      </c>
      <c r="N72" s="785">
        <v>16</v>
      </c>
      <c r="O72" s="426"/>
      <c r="P72" s="428" t="str">
        <f t="shared" si="7"/>
        <v>INCLUDED</v>
      </c>
      <c r="Q72" s="657">
        <f t="shared" si="8"/>
        <v>0</v>
      </c>
      <c r="R72" s="688">
        <f t="shared" si="9"/>
        <v>0</v>
      </c>
      <c r="S72" s="689">
        <f>Discount!$J$36</f>
        <v>0</v>
      </c>
      <c r="T72" s="688">
        <f t="shared" si="10"/>
        <v>0</v>
      </c>
      <c r="U72" s="690">
        <f t="shared" si="6"/>
        <v>0</v>
      </c>
      <c r="V72" s="691">
        <f t="shared" si="5"/>
        <v>0</v>
      </c>
      <c r="W72" s="692"/>
      <c r="X72" s="692"/>
      <c r="Y72" s="692"/>
      <c r="Z72" s="692"/>
      <c r="AA72" s="692"/>
    </row>
    <row r="73" spans="1:27" ht="47.25">
      <c r="A73" s="562">
        <v>25</v>
      </c>
      <c r="B73" s="567"/>
      <c r="C73" s="567"/>
      <c r="D73" s="567"/>
      <c r="E73" s="567"/>
      <c r="F73" s="567"/>
      <c r="G73" s="401">
        <v>100001291</v>
      </c>
      <c r="H73" s="567"/>
      <c r="I73" s="430"/>
      <c r="J73" s="425">
        <v>18</v>
      </c>
      <c r="K73" s="429"/>
      <c r="L73" s="788" t="s">
        <v>577</v>
      </c>
      <c r="M73" s="752" t="s">
        <v>530</v>
      </c>
      <c r="N73" s="785">
        <v>2.2250000000000001</v>
      </c>
      <c r="O73" s="426"/>
      <c r="P73" s="428" t="str">
        <f t="shared" si="7"/>
        <v>INCLUDED</v>
      </c>
      <c r="Q73" s="657">
        <f t="shared" si="8"/>
        <v>0</v>
      </c>
      <c r="R73" s="688">
        <f t="shared" si="9"/>
        <v>0</v>
      </c>
      <c r="S73" s="689">
        <f>Discount!$J$36</f>
        <v>0</v>
      </c>
      <c r="T73" s="688">
        <f t="shared" si="10"/>
        <v>0</v>
      </c>
      <c r="U73" s="690">
        <f t="shared" si="6"/>
        <v>0</v>
      </c>
      <c r="V73" s="691">
        <f t="shared" si="5"/>
        <v>0</v>
      </c>
      <c r="W73" s="692"/>
      <c r="X73" s="692"/>
      <c r="Y73" s="692"/>
      <c r="Z73" s="692"/>
      <c r="AA73" s="692"/>
    </row>
    <row r="74" spans="1:27" ht="16.5">
      <c r="A74" s="562">
        <v>26</v>
      </c>
      <c r="B74" s="567"/>
      <c r="C74" s="567"/>
      <c r="D74" s="567"/>
      <c r="E74" s="567"/>
      <c r="F74" s="567"/>
      <c r="G74" s="401">
        <v>100001308</v>
      </c>
      <c r="H74" s="567"/>
      <c r="I74" s="430"/>
      <c r="J74" s="425">
        <v>18</v>
      </c>
      <c r="K74" s="429"/>
      <c r="L74" s="788" t="s">
        <v>554</v>
      </c>
      <c r="M74" s="752" t="s">
        <v>530</v>
      </c>
      <c r="N74" s="785">
        <v>1.4750000000000001</v>
      </c>
      <c r="O74" s="426"/>
      <c r="P74" s="428" t="str">
        <f t="shared" si="7"/>
        <v>INCLUDED</v>
      </c>
      <c r="Q74" s="657">
        <f t="shared" si="8"/>
        <v>0</v>
      </c>
      <c r="R74" s="688">
        <f t="shared" si="9"/>
        <v>0</v>
      </c>
      <c r="S74" s="689">
        <f>Discount!$J$36</f>
        <v>0</v>
      </c>
      <c r="T74" s="688">
        <f t="shared" si="10"/>
        <v>0</v>
      </c>
      <c r="U74" s="690">
        <f t="shared" si="6"/>
        <v>0</v>
      </c>
      <c r="V74" s="691">
        <f t="shared" si="5"/>
        <v>0</v>
      </c>
      <c r="W74" s="692"/>
      <c r="X74" s="692"/>
      <c r="Y74" s="692"/>
      <c r="Z74" s="692"/>
      <c r="AA74" s="692"/>
    </row>
    <row r="75" spans="1:27" ht="47.25">
      <c r="A75" s="562">
        <v>27</v>
      </c>
      <c r="B75" s="567"/>
      <c r="C75" s="567"/>
      <c r="D75" s="567"/>
      <c r="E75" s="567"/>
      <c r="F75" s="567"/>
      <c r="G75" s="401">
        <v>100001309</v>
      </c>
      <c r="H75" s="567"/>
      <c r="I75" s="430"/>
      <c r="J75" s="425">
        <v>18</v>
      </c>
      <c r="K75" s="429"/>
      <c r="L75" s="790" t="s">
        <v>578</v>
      </c>
      <c r="M75" s="752" t="s">
        <v>527</v>
      </c>
      <c r="N75" s="785">
        <v>123.154</v>
      </c>
      <c r="O75" s="426"/>
      <c r="P75" s="428" t="str">
        <f t="shared" si="7"/>
        <v>INCLUDED</v>
      </c>
      <c r="Q75" s="657">
        <f t="shared" si="8"/>
        <v>0</v>
      </c>
      <c r="R75" s="688">
        <f t="shared" si="9"/>
        <v>0</v>
      </c>
      <c r="S75" s="689">
        <f>Discount!$J$36</f>
        <v>0</v>
      </c>
      <c r="T75" s="688">
        <f t="shared" si="10"/>
        <v>0</v>
      </c>
      <c r="U75" s="690">
        <f t="shared" si="6"/>
        <v>0</v>
      </c>
      <c r="V75" s="691">
        <f t="shared" si="5"/>
        <v>0</v>
      </c>
      <c r="W75" s="692"/>
      <c r="X75" s="692"/>
      <c r="Y75" s="692"/>
      <c r="Z75" s="692"/>
      <c r="AA75" s="692"/>
    </row>
    <row r="76" spans="1:27" ht="31.5">
      <c r="A76" s="562">
        <v>28</v>
      </c>
      <c r="B76" s="567"/>
      <c r="C76" s="567"/>
      <c r="D76" s="567"/>
      <c r="E76" s="567"/>
      <c r="F76" s="567"/>
      <c r="G76" s="401">
        <v>100001285</v>
      </c>
      <c r="H76" s="567"/>
      <c r="I76" s="430"/>
      <c r="J76" s="425">
        <v>18</v>
      </c>
      <c r="K76" s="429"/>
      <c r="L76" s="790" t="s">
        <v>557</v>
      </c>
      <c r="M76" s="754" t="s">
        <v>527</v>
      </c>
      <c r="N76" s="785">
        <v>0</v>
      </c>
      <c r="O76" s="426"/>
      <c r="P76" s="428" t="str">
        <f t="shared" si="7"/>
        <v>INCLUDED</v>
      </c>
      <c r="Q76" s="657">
        <f t="shared" si="8"/>
        <v>0</v>
      </c>
      <c r="R76" s="688">
        <f t="shared" si="9"/>
        <v>0</v>
      </c>
      <c r="S76" s="689">
        <f>Discount!$J$36</f>
        <v>0</v>
      </c>
      <c r="T76" s="688">
        <f t="shared" si="10"/>
        <v>0</v>
      </c>
      <c r="U76" s="690">
        <f t="shared" si="6"/>
        <v>0</v>
      </c>
      <c r="V76" s="691">
        <f t="shared" si="5"/>
        <v>0</v>
      </c>
      <c r="W76" s="692"/>
      <c r="X76" s="692"/>
      <c r="Y76" s="692"/>
      <c r="Z76" s="692"/>
      <c r="AA76" s="692"/>
    </row>
    <row r="77" spans="1:27" ht="31.5">
      <c r="A77" s="562">
        <v>29</v>
      </c>
      <c r="B77" s="567"/>
      <c r="C77" s="567"/>
      <c r="D77" s="567"/>
      <c r="E77" s="567"/>
      <c r="F77" s="567"/>
      <c r="G77" s="401">
        <v>100001282</v>
      </c>
      <c r="H77" s="567"/>
      <c r="I77" s="430"/>
      <c r="J77" s="425">
        <v>18</v>
      </c>
      <c r="K77" s="429"/>
      <c r="L77" s="790" t="s">
        <v>558</v>
      </c>
      <c r="M77" s="754" t="s">
        <v>531</v>
      </c>
      <c r="N77" s="785">
        <v>14</v>
      </c>
      <c r="O77" s="426"/>
      <c r="P77" s="428" t="str">
        <f t="shared" si="7"/>
        <v>INCLUDED</v>
      </c>
      <c r="Q77" s="657">
        <f t="shared" si="8"/>
        <v>0</v>
      </c>
      <c r="R77" s="688">
        <f t="shared" si="9"/>
        <v>0</v>
      </c>
      <c r="S77" s="689">
        <f>Discount!$J$36</f>
        <v>0</v>
      </c>
      <c r="T77" s="688">
        <f t="shared" si="10"/>
        <v>0</v>
      </c>
      <c r="U77" s="690">
        <f t="shared" si="6"/>
        <v>0</v>
      </c>
      <c r="V77" s="691">
        <f t="shared" si="5"/>
        <v>0</v>
      </c>
      <c r="W77" s="692"/>
      <c r="X77" s="692"/>
      <c r="Y77" s="692"/>
      <c r="Z77" s="692"/>
      <c r="AA77" s="692"/>
    </row>
    <row r="78" spans="1:27" ht="31.5">
      <c r="A78" s="562">
        <v>30</v>
      </c>
      <c r="B78" s="567"/>
      <c r="C78" s="567"/>
      <c r="D78" s="567"/>
      <c r="E78" s="567"/>
      <c r="F78" s="567"/>
      <c r="G78" s="793">
        <v>100001283</v>
      </c>
      <c r="H78" s="567"/>
      <c r="I78" s="430"/>
      <c r="J78" s="425">
        <v>18</v>
      </c>
      <c r="K78" s="429"/>
      <c r="L78" s="790" t="s">
        <v>559</v>
      </c>
      <c r="M78" s="754" t="s">
        <v>562</v>
      </c>
      <c r="N78" s="785">
        <v>8</v>
      </c>
      <c r="O78" s="426"/>
      <c r="P78" s="428" t="str">
        <f t="shared" si="7"/>
        <v>INCLUDED</v>
      </c>
      <c r="Q78" s="657">
        <f t="shared" si="8"/>
        <v>0</v>
      </c>
      <c r="R78" s="688">
        <f t="shared" si="9"/>
        <v>0</v>
      </c>
      <c r="S78" s="689">
        <f>Discount!$J$36</f>
        <v>0</v>
      </c>
      <c r="T78" s="688">
        <f t="shared" si="10"/>
        <v>0</v>
      </c>
      <c r="U78" s="690">
        <f t="shared" si="6"/>
        <v>0</v>
      </c>
      <c r="V78" s="691">
        <f t="shared" si="5"/>
        <v>0</v>
      </c>
      <c r="W78" s="692"/>
      <c r="X78" s="692"/>
      <c r="Y78" s="692"/>
      <c r="Z78" s="692"/>
      <c r="AA78" s="692"/>
    </row>
    <row r="79" spans="1:27" ht="31.5">
      <c r="A79" s="562">
        <v>31</v>
      </c>
      <c r="B79" s="567"/>
      <c r="C79" s="567"/>
      <c r="D79" s="567"/>
      <c r="E79" s="567"/>
      <c r="F79" s="567"/>
      <c r="G79" s="794">
        <v>100002882</v>
      </c>
      <c r="H79" s="567"/>
      <c r="I79" s="430"/>
      <c r="J79" s="425">
        <v>18</v>
      </c>
      <c r="K79" s="429"/>
      <c r="L79" s="791" t="s">
        <v>560</v>
      </c>
      <c r="M79" s="630" t="s">
        <v>534</v>
      </c>
      <c r="N79" s="786">
        <v>2.6339999999999999</v>
      </c>
      <c r="O79" s="426"/>
      <c r="P79" s="428" t="str">
        <f t="shared" si="7"/>
        <v>INCLUDED</v>
      </c>
      <c r="Q79" s="657">
        <f t="shared" si="8"/>
        <v>0</v>
      </c>
      <c r="R79" s="688">
        <f t="shared" si="9"/>
        <v>0</v>
      </c>
      <c r="S79" s="689">
        <f>Discount!$J$36</f>
        <v>0</v>
      </c>
      <c r="T79" s="688">
        <f t="shared" si="10"/>
        <v>0</v>
      </c>
      <c r="U79" s="690">
        <f t="shared" si="6"/>
        <v>0</v>
      </c>
      <c r="V79" s="691">
        <f t="shared" si="5"/>
        <v>0</v>
      </c>
      <c r="W79" s="692"/>
      <c r="X79" s="692"/>
      <c r="Y79" s="692"/>
      <c r="Z79" s="692"/>
      <c r="AA79" s="692"/>
    </row>
    <row r="80" spans="1:27" ht="16.5">
      <c r="A80" s="562">
        <v>32</v>
      </c>
      <c r="B80" s="567"/>
      <c r="C80" s="567"/>
      <c r="D80" s="567"/>
      <c r="E80" s="567"/>
      <c r="F80" s="567"/>
      <c r="G80" s="794">
        <v>170000265</v>
      </c>
      <c r="H80" s="567"/>
      <c r="I80" s="430"/>
      <c r="J80" s="425">
        <v>18</v>
      </c>
      <c r="K80" s="429"/>
      <c r="L80" s="791" t="s">
        <v>483</v>
      </c>
      <c r="M80" s="630" t="s">
        <v>528</v>
      </c>
      <c r="N80" s="786">
        <v>1</v>
      </c>
      <c r="O80" s="426"/>
      <c r="P80" s="428" t="str">
        <f t="shared" si="7"/>
        <v>INCLUDED</v>
      </c>
      <c r="Q80" s="657">
        <f t="shared" si="8"/>
        <v>0</v>
      </c>
      <c r="R80" s="688">
        <f t="shared" si="9"/>
        <v>0</v>
      </c>
      <c r="S80" s="689">
        <f>Discount!$J$36</f>
        <v>0</v>
      </c>
      <c r="T80" s="688">
        <f t="shared" si="10"/>
        <v>0</v>
      </c>
      <c r="U80" s="690">
        <f t="shared" si="6"/>
        <v>0</v>
      </c>
      <c r="V80" s="691">
        <f t="shared" si="5"/>
        <v>0</v>
      </c>
      <c r="W80" s="692"/>
      <c r="X80" s="692"/>
      <c r="Y80" s="692"/>
      <c r="Z80" s="692"/>
      <c r="AA80" s="692"/>
    </row>
    <row r="81" spans="1:27" ht="39" customHeight="1">
      <c r="A81" s="887"/>
      <c r="B81" s="888"/>
      <c r="C81" s="888"/>
      <c r="D81" s="888"/>
      <c r="E81" s="888"/>
      <c r="F81" s="888"/>
      <c r="G81" s="888"/>
      <c r="H81" s="888"/>
      <c r="I81" s="888"/>
      <c r="J81" s="888"/>
      <c r="K81" s="888"/>
      <c r="L81" s="888"/>
      <c r="M81" s="888"/>
      <c r="N81" s="888"/>
      <c r="O81" s="888"/>
      <c r="P81" s="889"/>
      <c r="Q81" s="657">
        <f t="shared" ref="Q81" si="11">IF(P81="Included",0,P81)</f>
        <v>0</v>
      </c>
      <c r="R81" s="688">
        <f t="shared" ref="R81" si="12">IF( K81="",J81*(IF(P81="Included",0,P81))/100,K81*(IF(P81="Included",0,P81)))</f>
        <v>0</v>
      </c>
      <c r="S81" s="689">
        <f>Discount!$J$36</f>
        <v>0</v>
      </c>
      <c r="T81" s="688">
        <f t="shared" ref="T81" si="13">S81*Q81</f>
        <v>0</v>
      </c>
      <c r="U81" s="690">
        <f t="shared" ref="U81" si="14">IF(K81="",J81*T81/100,K81*T81)</f>
        <v>0</v>
      </c>
      <c r="V81" s="691">
        <f t="shared" ref="V81" si="15">O81*N81</f>
        <v>0</v>
      </c>
      <c r="W81" s="692"/>
      <c r="X81" s="692"/>
      <c r="Y81" s="692"/>
      <c r="Z81" s="692"/>
      <c r="AA81" s="692"/>
    </row>
    <row r="82" spans="1:27" ht="28.5" customHeight="1">
      <c r="A82" s="693"/>
      <c r="B82" s="884" t="s">
        <v>467</v>
      </c>
      <c r="C82" s="885"/>
      <c r="D82" s="885"/>
      <c r="E82" s="885"/>
      <c r="F82" s="885"/>
      <c r="G82" s="885"/>
      <c r="H82" s="885"/>
      <c r="I82" s="885"/>
      <c r="J82" s="885"/>
      <c r="K82" s="885"/>
      <c r="L82" s="886"/>
      <c r="M82" s="694"/>
      <c r="N82" s="695"/>
      <c r="O82" s="694"/>
      <c r="P82" s="696">
        <f>SUM(P18:P81)</f>
        <v>0</v>
      </c>
      <c r="Q82" s="658"/>
      <c r="R82" s="697">
        <f>SUM(R18:R81)</f>
        <v>0</v>
      </c>
      <c r="S82" s="698"/>
      <c r="T82" s="699"/>
      <c r="U82" s="697">
        <f>SUM(U18:U81)</f>
        <v>0</v>
      </c>
      <c r="V82" s="691">
        <f>SUM(V18:V81)</f>
        <v>0</v>
      </c>
      <c r="W82" s="692"/>
      <c r="X82" s="692"/>
      <c r="Y82" s="692"/>
      <c r="Z82" s="692"/>
      <c r="AA82" s="692"/>
    </row>
    <row r="83" spans="1:27" ht="21.75" customHeight="1">
      <c r="B83" s="701"/>
      <c r="C83" s="702"/>
      <c r="D83" s="702"/>
      <c r="E83" s="702"/>
      <c r="F83" s="702"/>
      <c r="G83" s="702"/>
      <c r="H83" s="702"/>
      <c r="I83" s="702"/>
      <c r="J83" s="702"/>
      <c r="K83" s="702"/>
      <c r="L83" s="702"/>
      <c r="M83" s="703"/>
      <c r="N83" s="704"/>
      <c r="O83" s="703"/>
      <c r="P83" s="703"/>
      <c r="Q83" s="703"/>
      <c r="R83" s="698"/>
      <c r="S83" s="698"/>
      <c r="T83" s="699"/>
      <c r="U83" s="698"/>
      <c r="V83" s="692"/>
      <c r="W83" s="692"/>
      <c r="X83" s="692"/>
      <c r="Y83" s="692"/>
      <c r="Z83" s="692"/>
      <c r="AA83" s="692"/>
    </row>
    <row r="84" spans="1:27" ht="30" customHeight="1">
      <c r="A84" s="705" t="s">
        <v>345</v>
      </c>
      <c r="B84" s="890" t="s">
        <v>346</v>
      </c>
      <c r="C84" s="890"/>
      <c r="D84" s="890"/>
      <c r="E84" s="890"/>
      <c r="F84" s="890"/>
      <c r="G84" s="890"/>
      <c r="H84" s="890"/>
      <c r="I84" s="890"/>
      <c r="J84" s="890"/>
      <c r="K84" s="890"/>
      <c r="L84" s="890"/>
      <c r="M84" s="890"/>
      <c r="N84" s="890"/>
      <c r="O84" s="890"/>
      <c r="P84" s="890"/>
      <c r="Q84" s="703"/>
      <c r="R84" s="698"/>
      <c r="S84" s="698"/>
      <c r="T84" s="699"/>
      <c r="U84" s="698"/>
      <c r="V84" s="692"/>
      <c r="W84" s="692"/>
      <c r="X84" s="692"/>
      <c r="Y84" s="692"/>
      <c r="Z84" s="692"/>
      <c r="AA84" s="692"/>
    </row>
    <row r="85" spans="1:27" ht="21.75" customHeight="1">
      <c r="A85" s="706"/>
      <c r="B85" s="310"/>
      <c r="C85" s="311"/>
      <c r="D85" s="312"/>
      <c r="E85" s="313"/>
      <c r="F85" s="576"/>
      <c r="G85" s="576"/>
      <c r="H85" s="576"/>
      <c r="I85" s="576"/>
      <c r="J85" s="576"/>
      <c r="K85" s="576"/>
      <c r="L85" s="575"/>
      <c r="M85" s="703"/>
      <c r="N85" s="704"/>
      <c r="O85" s="703"/>
      <c r="P85" s="703"/>
      <c r="Q85" s="703"/>
      <c r="R85" s="698"/>
      <c r="S85" s="698"/>
      <c r="T85" s="699"/>
      <c r="U85" s="698"/>
      <c r="V85" s="692"/>
      <c r="W85" s="692"/>
      <c r="X85" s="692"/>
      <c r="Y85" s="692"/>
      <c r="Z85" s="692"/>
      <c r="AA85" s="692"/>
    </row>
    <row r="86" spans="1:27" ht="21.75" customHeight="1">
      <c r="A86" s="706"/>
      <c r="B86" s="310"/>
      <c r="C86" s="311"/>
      <c r="D86" s="312"/>
      <c r="E86" s="313"/>
      <c r="F86" s="576"/>
      <c r="G86" s="576"/>
      <c r="H86" s="576"/>
      <c r="I86" s="576"/>
      <c r="J86" s="576"/>
      <c r="K86" s="576"/>
      <c r="L86" s="575"/>
      <c r="M86" s="703"/>
      <c r="N86" s="704"/>
      <c r="O86" s="703"/>
      <c r="P86" s="703"/>
      <c r="Q86" s="703"/>
      <c r="R86" s="698"/>
      <c r="S86" s="698"/>
      <c r="T86" s="699"/>
      <c r="U86" s="698"/>
      <c r="V86" s="692"/>
      <c r="W86" s="692"/>
      <c r="X86" s="692"/>
      <c r="Y86" s="692"/>
      <c r="Z86" s="692"/>
      <c r="AA86" s="692"/>
    </row>
    <row r="87" spans="1:27" s="704" customFormat="1" ht="16.5">
      <c r="A87" s="705"/>
      <c r="B87" s="707" t="s">
        <v>306</v>
      </c>
      <c r="C87" s="893" t="str">
        <f>'Sch-1'!C109:D109</f>
        <v xml:space="preserve">  </v>
      </c>
      <c r="D87" s="893"/>
      <c r="E87" s="893"/>
      <c r="F87" s="705"/>
      <c r="G87" s="705"/>
      <c r="H87" s="705"/>
      <c r="I87" s="705"/>
      <c r="J87" s="705"/>
      <c r="K87" s="705"/>
      <c r="L87" s="705"/>
      <c r="M87" s="891" t="s">
        <v>308</v>
      </c>
      <c r="N87" s="891"/>
      <c r="O87" s="894" t="str">
        <f>'Sch-1'!K109</f>
        <v/>
      </c>
      <c r="P87" s="894"/>
      <c r="R87" s="708"/>
      <c r="S87" s="708"/>
      <c r="T87" s="708"/>
      <c r="U87" s="708"/>
    </row>
    <row r="88" spans="1:27" s="704" customFormat="1" ht="16.5">
      <c r="A88" s="705"/>
      <c r="B88" s="707" t="s">
        <v>307</v>
      </c>
      <c r="C88" s="892" t="str">
        <f>'Sch-1'!C110:D110</f>
        <v/>
      </c>
      <c r="D88" s="892"/>
      <c r="E88" s="892"/>
      <c r="F88" s="705"/>
      <c r="G88" s="705"/>
      <c r="H88" s="705"/>
      <c r="I88" s="705"/>
      <c r="J88" s="705"/>
      <c r="K88" s="705"/>
      <c r="L88" s="705"/>
      <c r="M88" s="891" t="s">
        <v>123</v>
      </c>
      <c r="N88" s="891"/>
      <c r="O88" s="894" t="str">
        <f>'Sch-1'!K110</f>
        <v/>
      </c>
      <c r="P88" s="894"/>
      <c r="R88" s="708"/>
      <c r="S88" s="708"/>
      <c r="T88" s="708"/>
      <c r="U88" s="708"/>
    </row>
    <row r="89" spans="1:27" ht="16.5">
      <c r="B89" s="310"/>
      <c r="C89" s="311"/>
      <c r="D89" s="314"/>
      <c r="E89" s="313"/>
      <c r="F89" s="588"/>
      <c r="G89" s="576"/>
      <c r="H89" s="576"/>
      <c r="I89" s="576"/>
      <c r="J89" s="576"/>
      <c r="K89" s="576"/>
      <c r="L89" s="575"/>
      <c r="M89" s="703"/>
      <c r="N89" s="704"/>
      <c r="O89" s="703"/>
      <c r="P89" s="703"/>
      <c r="Q89" s="703"/>
    </row>
    <row r="90" spans="1:27" ht="16.5">
      <c r="B90" s="316"/>
      <c r="C90" s="317"/>
      <c r="D90" s="318"/>
      <c r="E90" s="313"/>
      <c r="F90" s="588"/>
      <c r="G90" s="575"/>
      <c r="H90" s="575"/>
      <c r="I90" s="575"/>
      <c r="J90" s="575"/>
      <c r="K90" s="575"/>
      <c r="L90" s="575"/>
      <c r="M90" s="703"/>
      <c r="N90" s="704"/>
      <c r="O90" s="703"/>
      <c r="P90" s="703"/>
      <c r="Q90" s="703"/>
    </row>
    <row r="92" spans="1:27">
      <c r="P92" s="709">
        <f>P82*0.18</f>
        <v>0</v>
      </c>
    </row>
  </sheetData>
  <sheetProtection algorithmName="SHA-512" hashValue="G8o6bDMxbqrde1kS4oUKtlEWHrVhBEgappE3lAmhopjI1zVjBWKGJXFT7Iy91ZGy2m4nyDj2KWKu8eVF6BV5Hg==" saltValue="XeI2IJBWhvtzhx+/veTDRg==" spinCount="100000" sheet="1" formatColumns="0" formatRows="0" selectLockedCells="1"/>
  <customSheetViews>
    <customSheetView guid="{ADF3F130-0A37-42E7-A525-50C5A6B01A26}" scale="85" showPageBreaks="1" fitToPage="1" printArea="1" hiddenColumns="1" view="pageBreakPreview">
      <selection activeCell="O457" sqref="O457"/>
      <pageMargins left="0.2" right="0.2" top="0.75" bottom="0.5" header="0.3" footer="0.3"/>
      <printOptions horizontalCentered="1"/>
      <pageSetup paperSize="9" scale="45" fitToHeight="0" orientation="landscape" r:id="rId1"/>
      <headerFooter>
        <oddHeader>&amp;RSchedule-3Page &amp;P of &amp;N</oddHeader>
      </headerFooter>
    </customSheetView>
    <customSheetView guid="{889C3D82-0A24-4765-A688-A80A782F5056}" scale="85" showPageBreaks="1" fitToPage="1" printArea="1" hiddenColumns="1" view="pageBreakPreview">
      <selection activeCell="O391" sqref="O391"/>
      <pageMargins left="0.2" right="0.2" top="0.75" bottom="0.5" header="0.3" footer="0.3"/>
      <printOptions horizontalCentered="1"/>
      <pageSetup paperSize="9" scale="45" fitToHeight="0" orientation="landscape" r:id="rId2"/>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3"/>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4"/>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5"/>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6"/>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8"/>
      <headerFooter>
        <oddHeader>&amp;RSchedule-3Page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9"/>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10"/>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11"/>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12"/>
      <headerFooter>
        <oddHeader>&amp;RSchedule-3Page &amp;P of &amp;N</oddHeader>
      </headerFooter>
    </customSheetView>
    <customSheetView guid="{1211E1B9-FC37-4364-9CF0-0FFC01866726}" scale="85" showPageBreaks="1" fitToPage="1" printArea="1" hiddenColumns="1" view="pageBreakPreview">
      <selection activeCell="O457" sqref="O457"/>
      <pageMargins left="0.2" right="0.2" top="0.75" bottom="0.5" header="0.3" footer="0.3"/>
      <printOptions horizontalCentered="1"/>
      <pageSetup paperSize="9" scale="45" fitToHeight="0" orientation="landscape" r:id="rId13"/>
      <headerFooter>
        <oddHeader>&amp;RSchedule-3Page &amp;P of &amp;N</oddHeader>
      </headerFooter>
    </customSheetView>
  </customSheetViews>
  <mergeCells count="20">
    <mergeCell ref="B84:P84"/>
    <mergeCell ref="M88:N88"/>
    <mergeCell ref="M87:N87"/>
    <mergeCell ref="C88:E88"/>
    <mergeCell ref="C87:E87"/>
    <mergeCell ref="O88:P88"/>
    <mergeCell ref="O87:P87"/>
    <mergeCell ref="A3:P3"/>
    <mergeCell ref="A4:P4"/>
    <mergeCell ref="A6:B6"/>
    <mergeCell ref="A7:I7"/>
    <mergeCell ref="A8:G8"/>
    <mergeCell ref="B82:L82"/>
    <mergeCell ref="C12:G12"/>
    <mergeCell ref="C11:G11"/>
    <mergeCell ref="C10:G10"/>
    <mergeCell ref="C9:G9"/>
    <mergeCell ref="A81:P81"/>
    <mergeCell ref="O14:P14"/>
    <mergeCell ref="B48:D48"/>
  </mergeCells>
  <conditionalFormatting sqref="K18:K80">
    <cfRule type="expression" dxfId="3" priority="1" stopIfTrue="1">
      <formula>J18&gt;0</formula>
    </cfRule>
  </conditionalFormatting>
  <dataValidations count="5">
    <dataValidation type="list" allowBlank="1" showInputMessage="1" showErrorMessage="1" sqref="IJ64517 A64517:K64517" xr:uid="{00000000-0002-0000-0600-000000000000}">
      <formula1>#REF!</formula1>
    </dataValidation>
    <dataValidation type="decimal" operator="greaterThan" allowBlank="1" showInputMessage="1" showErrorMessage="1" error="Enter only Numeric Value greater than zero or leave the cell blank !" sqref="O64487:O64533" xr:uid="{00000000-0002-0000-0600-000001000000}">
      <formula1>0</formula1>
    </dataValidation>
    <dataValidation type="list" operator="greaterThan" allowBlank="1" showInputMessage="1" showErrorMessage="1" sqref="K18:K80" xr:uid="{00000000-0002-0000-0600-000002000000}">
      <formula1>"0%,5%,12%,18%,28%"</formula1>
    </dataValidation>
    <dataValidation type="whole" operator="greaterThan" allowBlank="1" showInputMessage="1" showErrorMessage="1" sqref="I18:I80" xr:uid="{00000000-0002-0000-0600-000003000000}">
      <formula1>0</formula1>
    </dataValidation>
    <dataValidation type="decimal" operator="greaterThanOrEqual" allowBlank="1" showInputMessage="1" showErrorMessage="1" sqref="O18:O80" xr:uid="{00000000-0002-0000-0600-000004000000}">
      <formula1>0</formula1>
    </dataValidation>
  </dataValidations>
  <printOptions horizontalCentered="1"/>
  <pageMargins left="0.2" right="0.2" top="0.75" bottom="0.5" header="0.3" footer="0.3"/>
  <pageSetup paperSize="9" scale="40" fitToHeight="0" orientation="landscape" r:id="rId14"/>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U19" sqref="U19"/>
    </sheetView>
  </sheetViews>
  <sheetFormatPr defaultRowHeight="15.75"/>
  <cols>
    <col min="1" max="1" width="7.5703125" style="395" customWidth="1"/>
    <col min="2" max="2" width="9" style="395" customWidth="1"/>
    <col min="3" max="3" width="10.28515625" style="395" customWidth="1"/>
    <col min="4" max="4" width="10.85546875" style="395" customWidth="1"/>
    <col min="5" max="5" width="11.140625" style="395" customWidth="1"/>
    <col min="6" max="6" width="13.7109375" style="395" customWidth="1"/>
    <col min="7" max="7" width="15.42578125" style="395" customWidth="1"/>
    <col min="8" max="11" width="16.85546875" style="395" customWidth="1"/>
    <col min="12" max="12" width="14.42578125" style="396" customWidth="1"/>
    <col min="13" max="13" width="9" style="395" customWidth="1"/>
    <col min="14" max="14" width="11.42578125" style="395" customWidth="1"/>
    <col min="15" max="15" width="13.28515625" style="395" customWidth="1"/>
    <col min="16" max="16" width="19.140625" style="400" customWidth="1"/>
    <col min="17" max="16384" width="9.140625" style="400"/>
  </cols>
  <sheetData>
    <row r="1" spans="1:16" s="397" customFormat="1" ht="24.75" customHeight="1">
      <c r="A1" s="380" t="str">
        <f>Cover!B3</f>
        <v>Spec No: NR1/NT/W-TW/DOM/I00/25/03940 (Rfx-5002004353)</v>
      </c>
      <c r="B1" s="380"/>
      <c r="C1" s="380"/>
      <c r="D1" s="380"/>
      <c r="E1" s="380"/>
      <c r="F1" s="380"/>
      <c r="G1" s="381"/>
      <c r="H1" s="381"/>
      <c r="I1" s="381"/>
      <c r="J1" s="381"/>
      <c r="K1" s="381"/>
      <c r="L1" s="382"/>
      <c r="M1" s="383"/>
      <c r="N1" s="384"/>
      <c r="O1" s="384"/>
      <c r="P1" s="385" t="s">
        <v>26</v>
      </c>
    </row>
    <row r="2" spans="1:16" s="397" customFormat="1">
      <c r="A2" s="5"/>
      <c r="B2" s="5"/>
      <c r="C2" s="5"/>
      <c r="D2" s="5"/>
      <c r="E2" s="5"/>
      <c r="F2" s="5"/>
      <c r="G2" s="386"/>
      <c r="H2" s="386"/>
      <c r="I2" s="386"/>
      <c r="J2" s="386"/>
      <c r="K2" s="386"/>
      <c r="L2" s="387"/>
      <c r="M2" s="388"/>
      <c r="N2" s="389"/>
      <c r="O2" s="389"/>
    </row>
    <row r="3" spans="1:16" s="397" customFormat="1" ht="87" customHeight="1">
      <c r="A3" s="895" t="str">
        <f>Cover!$B$2</f>
        <v>Transmission Line package TW02 for Diversion / modification of various POWERGRID’s 400kV Transmission Lines due to upcoming Green Field Airport at Kota under Consultancy Services to Kota Development Authority, Kota</v>
      </c>
      <c r="B3" s="895"/>
      <c r="C3" s="895"/>
      <c r="D3" s="895"/>
      <c r="E3" s="895"/>
      <c r="F3" s="895"/>
      <c r="G3" s="895"/>
      <c r="H3" s="895"/>
      <c r="I3" s="895"/>
      <c r="J3" s="895"/>
      <c r="K3" s="895"/>
      <c r="L3" s="895"/>
      <c r="M3" s="895"/>
      <c r="N3" s="895"/>
      <c r="O3" s="895"/>
      <c r="P3" s="895"/>
    </row>
    <row r="4" spans="1:16" s="397" customFormat="1" ht="16.5">
      <c r="A4" s="900" t="s">
        <v>19</v>
      </c>
      <c r="B4" s="900"/>
      <c r="C4" s="900"/>
      <c r="D4" s="900"/>
      <c r="E4" s="900"/>
      <c r="F4" s="900"/>
      <c r="G4" s="900"/>
      <c r="H4" s="900"/>
      <c r="I4" s="900"/>
      <c r="J4" s="900"/>
      <c r="K4" s="900"/>
      <c r="L4" s="900"/>
      <c r="M4" s="900"/>
      <c r="N4" s="900"/>
      <c r="O4" s="900"/>
      <c r="P4" s="900"/>
    </row>
    <row r="5" spans="1:16" s="397" customFormat="1">
      <c r="A5" s="390"/>
      <c r="B5" s="390"/>
      <c r="C5" s="390"/>
      <c r="D5" s="390"/>
      <c r="E5" s="390"/>
      <c r="F5" s="390"/>
      <c r="G5" s="391"/>
      <c r="H5" s="391"/>
      <c r="I5" s="391"/>
      <c r="J5" s="391"/>
      <c r="K5" s="391"/>
      <c r="L5" s="391"/>
      <c r="M5" s="390"/>
      <c r="N5" s="390"/>
      <c r="O5" s="390"/>
    </row>
    <row r="6" spans="1:16" s="397" customFormat="1" ht="20.25" customHeight="1">
      <c r="A6" s="896" t="s">
        <v>338</v>
      </c>
      <c r="B6" s="896"/>
      <c r="C6" s="2"/>
      <c r="D6" s="304"/>
      <c r="E6" s="2"/>
      <c r="F6" s="2"/>
      <c r="G6" s="2"/>
      <c r="H6" s="2"/>
      <c r="I6" s="2"/>
      <c r="J6" s="391"/>
      <c r="K6" s="391"/>
      <c r="L6" s="391"/>
      <c r="M6" s="390"/>
      <c r="N6" s="390"/>
      <c r="O6" s="390"/>
    </row>
    <row r="7" spans="1:16" s="397" customFormat="1" ht="21" customHeight="1">
      <c r="A7" s="897" t="str">
        <f>'Sch-1'!A7</f>
        <v>abc</v>
      </c>
      <c r="B7" s="897"/>
      <c r="C7" s="897"/>
      <c r="D7" s="897"/>
      <c r="E7" s="897"/>
      <c r="F7" s="897"/>
      <c r="G7" s="897"/>
      <c r="H7" s="897"/>
      <c r="I7" s="897"/>
      <c r="J7" s="3"/>
      <c r="K7" s="3"/>
      <c r="L7" s="342"/>
      <c r="M7" s="3"/>
      <c r="N7" s="392" t="s">
        <v>1</v>
      </c>
      <c r="O7" s="389"/>
    </row>
    <row r="8" spans="1:16" s="397" customFormat="1" ht="21" customHeight="1">
      <c r="A8" s="898" t="str">
        <f>"Bidder’s Name and Address  (" &amp; MID('Names of Bidder'!A9,9, 20) &amp; ") :"</f>
        <v>Bidder’s Name and Address  (Sole Bidder) :</v>
      </c>
      <c r="B8" s="898"/>
      <c r="C8" s="898"/>
      <c r="D8" s="898"/>
      <c r="E8" s="898"/>
      <c r="F8" s="898"/>
      <c r="G8" s="898"/>
      <c r="H8" s="356"/>
      <c r="I8" s="356"/>
      <c r="J8" s="406"/>
      <c r="K8" s="406"/>
      <c r="L8" s="406"/>
      <c r="M8" s="406"/>
      <c r="N8" s="6" t="str">
        <f>'Sch-1'!K8</f>
        <v>Contract Services</v>
      </c>
      <c r="O8" s="389"/>
    </row>
    <row r="9" spans="1:16" s="397" customFormat="1" ht="24" customHeight="1">
      <c r="A9" s="368" t="s">
        <v>12</v>
      </c>
      <c r="B9" s="353"/>
      <c r="C9" s="897" t="str">
        <f>IF('Names of Bidder'!C9=0, "", 'Names of Bidder'!C9)</f>
        <v>abc</v>
      </c>
      <c r="D9" s="897"/>
      <c r="E9" s="897"/>
      <c r="F9" s="897"/>
      <c r="G9" s="897"/>
      <c r="H9" s="354"/>
      <c r="I9" s="354"/>
      <c r="J9" s="220"/>
      <c r="K9" s="220"/>
      <c r="L9" s="398"/>
      <c r="N9" s="6" t="str">
        <f>'Sch-1'!K9</f>
        <v>Power Grid Corporation of India Ltd.,</v>
      </c>
      <c r="O9" s="389"/>
    </row>
    <row r="10" spans="1:16" s="397" customFormat="1" ht="16.5">
      <c r="A10" s="368" t="s">
        <v>11</v>
      </c>
      <c r="B10" s="353"/>
      <c r="C10" s="899" t="str">
        <f>IF('Names of Bidder'!C10=0, "", 'Names of Bidder'!C10)</f>
        <v>abc</v>
      </c>
      <c r="D10" s="899"/>
      <c r="E10" s="899"/>
      <c r="F10" s="899"/>
      <c r="G10" s="899"/>
      <c r="H10" s="354"/>
      <c r="I10" s="354"/>
      <c r="J10" s="220"/>
      <c r="K10" s="220"/>
      <c r="L10" s="398"/>
      <c r="N10" s="6" t="str">
        <f>'Sch-1'!K10</f>
        <v>"Saudamini", Plot No.-2</v>
      </c>
      <c r="O10" s="389"/>
    </row>
    <row r="11" spans="1:16" s="397" customFormat="1">
      <c r="A11" s="354"/>
      <c r="B11" s="354"/>
      <c r="C11" s="899" t="str">
        <f>IF('Names of Bidder'!C11=0, "", 'Names of Bidder'!C11)</f>
        <v>abc</v>
      </c>
      <c r="D11" s="899"/>
      <c r="E11" s="899"/>
      <c r="F11" s="899"/>
      <c r="G11" s="899"/>
      <c r="H11" s="354"/>
      <c r="I11" s="354"/>
      <c r="J11" s="220"/>
      <c r="K11" s="220"/>
      <c r="L11" s="398"/>
      <c r="N11" s="6" t="str">
        <f>'Sch-1'!K11</f>
        <v xml:space="preserve">Sector-29, </v>
      </c>
      <c r="O11" s="389"/>
    </row>
    <row r="12" spans="1:16" s="397" customFormat="1">
      <c r="A12" s="354"/>
      <c r="B12" s="354"/>
      <c r="C12" s="899" t="str">
        <f>IF('Names of Bidder'!C12=0, "", 'Names of Bidder'!C12)</f>
        <v>abc</v>
      </c>
      <c r="D12" s="899"/>
      <c r="E12" s="899"/>
      <c r="F12" s="899"/>
      <c r="G12" s="899"/>
      <c r="H12" s="354"/>
      <c r="I12" s="354"/>
      <c r="J12" s="220"/>
      <c r="K12" s="220"/>
      <c r="L12" s="398"/>
      <c r="N12" s="6" t="str">
        <f>'Sch-1'!K12</f>
        <v>Gurugram (Haryana) - 122001</v>
      </c>
      <c r="O12" s="389"/>
    </row>
    <row r="13" spans="1:16" s="397" customFormat="1">
      <c r="A13" s="354"/>
      <c r="B13" s="354"/>
      <c r="C13" s="220"/>
      <c r="D13" s="220"/>
      <c r="E13" s="220"/>
      <c r="F13" s="220"/>
      <c r="G13" s="220"/>
      <c r="H13" s="354"/>
      <c r="I13" s="354"/>
      <c r="J13" s="220"/>
      <c r="K13" s="220"/>
      <c r="L13" s="398"/>
      <c r="N13" s="6"/>
      <c r="O13" s="389"/>
    </row>
    <row r="14" spans="1:16" s="397" customFormat="1" ht="21" customHeight="1">
      <c r="A14" s="901" t="s">
        <v>27</v>
      </c>
      <c r="B14" s="901"/>
      <c r="C14" s="901"/>
      <c r="D14" s="901"/>
      <c r="E14" s="901"/>
      <c r="F14" s="901"/>
      <c r="G14" s="901"/>
      <c r="H14" s="901"/>
      <c r="I14" s="901"/>
      <c r="J14" s="901"/>
      <c r="K14" s="901"/>
      <c r="L14" s="901"/>
      <c r="M14" s="901"/>
      <c r="N14" s="901"/>
      <c r="O14" s="901"/>
      <c r="P14" s="901"/>
    </row>
    <row r="15" spans="1:16" s="397" customFormat="1" ht="63.75" customHeight="1">
      <c r="A15" s="376" t="s">
        <v>7</v>
      </c>
      <c r="B15" s="377" t="s">
        <v>259</v>
      </c>
      <c r="C15" s="377" t="s">
        <v>260</v>
      </c>
      <c r="D15" s="377" t="s">
        <v>270</v>
      </c>
      <c r="E15" s="377" t="s">
        <v>272</v>
      </c>
      <c r="F15" s="377" t="s">
        <v>273</v>
      </c>
      <c r="G15" s="376" t="s">
        <v>25</v>
      </c>
      <c r="H15" s="407" t="s">
        <v>313</v>
      </c>
      <c r="I15" s="408" t="s">
        <v>312</v>
      </c>
      <c r="J15" s="408" t="s">
        <v>300</v>
      </c>
      <c r="K15" s="408" t="s">
        <v>309</v>
      </c>
      <c r="L15" s="377" t="s">
        <v>15</v>
      </c>
      <c r="M15" s="378" t="s">
        <v>9</v>
      </c>
      <c r="N15" s="378" t="s">
        <v>16</v>
      </c>
      <c r="O15" s="379" t="s">
        <v>28</v>
      </c>
      <c r="P15" s="379" t="s">
        <v>29</v>
      </c>
    </row>
    <row r="16" spans="1:16" s="469" customFormat="1" ht="15">
      <c r="A16" s="466">
        <v>1</v>
      </c>
      <c r="B16" s="466">
        <v>2</v>
      </c>
      <c r="C16" s="466">
        <v>3</v>
      </c>
      <c r="D16" s="466">
        <v>4</v>
      </c>
      <c r="E16" s="466">
        <v>5</v>
      </c>
      <c r="F16" s="466">
        <v>6</v>
      </c>
      <c r="G16" s="466">
        <v>7</v>
      </c>
      <c r="H16" s="467">
        <v>8</v>
      </c>
      <c r="I16" s="467">
        <v>9</v>
      </c>
      <c r="J16" s="467">
        <v>10</v>
      </c>
      <c r="K16" s="467">
        <v>11</v>
      </c>
      <c r="L16" s="468">
        <v>12</v>
      </c>
      <c r="M16" s="466">
        <v>13</v>
      </c>
      <c r="N16" s="466">
        <v>14</v>
      </c>
      <c r="O16" s="466">
        <v>15</v>
      </c>
      <c r="P16" s="466" t="s">
        <v>311</v>
      </c>
    </row>
    <row r="17" spans="1:17">
      <c r="A17" s="393"/>
      <c r="B17" s="393"/>
      <c r="C17" s="393"/>
      <c r="D17" s="393"/>
      <c r="E17" s="393"/>
      <c r="F17" s="393"/>
      <c r="G17" s="393"/>
      <c r="H17" s="393"/>
      <c r="I17" s="393"/>
      <c r="J17" s="393"/>
      <c r="K17" s="393"/>
      <c r="L17" s="394"/>
      <c r="M17" s="393"/>
      <c r="N17" s="393"/>
      <c r="O17" s="393"/>
      <c r="P17" s="399"/>
    </row>
    <row r="18" spans="1:17" s="395" customFormat="1" ht="45" customHeight="1">
      <c r="A18" s="393"/>
      <c r="B18" s="401"/>
      <c r="C18" s="401"/>
      <c r="D18" s="401"/>
      <c r="F18" s="401"/>
      <c r="G18" s="401"/>
      <c r="H18" s="401"/>
      <c r="I18" s="465" t="s">
        <v>326</v>
      </c>
      <c r="J18" s="401"/>
      <c r="K18" s="401"/>
      <c r="L18" s="401"/>
      <c r="M18" s="401"/>
      <c r="N18" s="401"/>
      <c r="O18" s="401"/>
      <c r="P18" s="401"/>
    </row>
    <row r="19" spans="1:17" ht="26.25" customHeight="1">
      <c r="A19" s="393"/>
      <c r="B19" s="907"/>
      <c r="C19" s="908"/>
      <c r="D19" s="908"/>
      <c r="E19" s="908"/>
      <c r="F19" s="908"/>
      <c r="G19" s="908"/>
      <c r="H19" s="908"/>
      <c r="I19" s="908"/>
      <c r="J19" s="908"/>
      <c r="K19" s="909"/>
      <c r="L19" s="402"/>
      <c r="M19" s="402"/>
      <c r="N19" s="402"/>
      <c r="O19" s="402"/>
      <c r="P19" s="403"/>
      <c r="Q19" s="361"/>
    </row>
    <row r="21" spans="1:17" s="404" customFormat="1">
      <c r="B21" s="405" t="s">
        <v>306</v>
      </c>
      <c r="C21" s="905" t="str">
        <f>'Sch-3'!C87:D87</f>
        <v xml:space="preserve">  </v>
      </c>
      <c r="D21" s="904"/>
    </row>
    <row r="22" spans="1:17" s="404" customFormat="1">
      <c r="B22" s="405" t="s">
        <v>307</v>
      </c>
      <c r="C22" s="903" t="str">
        <f>'Sch-3'!C88:D88</f>
        <v/>
      </c>
      <c r="D22" s="904"/>
      <c r="L22" s="902" t="s">
        <v>308</v>
      </c>
      <c r="M22" s="902"/>
      <c r="N22" s="906" t="str">
        <f>'Sch-3'!O87</f>
        <v/>
      </c>
      <c r="O22" s="906"/>
      <c r="P22" s="906"/>
    </row>
    <row r="23" spans="1:17">
      <c r="L23" s="902" t="s">
        <v>123</v>
      </c>
      <c r="M23" s="902"/>
      <c r="N23" s="906" t="str">
        <f>'Sch-3'!O88</f>
        <v/>
      </c>
      <c r="O23" s="906"/>
      <c r="P23" s="906"/>
    </row>
  </sheetData>
  <sheetProtection algorithmName="SHA-512" hashValue="Tf4jwzDjocTkc5kjlJQpY0UmGQD6JqfZQtyXakkiH313A4MLBpIundY6CTAQ2zgZp3fx1w2uzTocCt9Sxn2WLQ==" saltValue="YZmpF9LUROtwhJ+4QvrQAQ==" spinCount="100000" sheet="1" objects="1" scenarios="1" formatColumns="0" formatRows="0" selectLockedCells="1"/>
  <customSheetViews>
    <customSheetView guid="{ADF3F130-0A37-42E7-A525-50C5A6B01A26}" scale="85" showPageBreaks="1" printArea="1" view="pageBreakPreview">
      <selection activeCell="A17" sqref="A17"/>
      <pageMargins left="0.7" right="0.7" top="0.75" bottom="0.75" header="0.3" footer="0.3"/>
      <pageSetup paperSize="9" scale="58" orientation="landscape" r:id="rId1"/>
    </customSheetView>
    <customSheetView guid="{889C3D82-0A24-4765-A688-A80A782F5056}" scale="85" showPageBreaks="1" printArea="1" view="pageBreakPreview">
      <selection activeCell="L24" sqref="L24"/>
      <pageMargins left="0.7" right="0.7" top="0.75" bottom="0.75" header="0.3" footer="0.3"/>
      <pageSetup paperSize="9" scale="58" orientation="landscape" r:id="rId2"/>
    </customSheetView>
    <customSheetView guid="{89CB4E6A-722E-4E39-885D-E2A6D0D08321}" scale="85" showPageBreaks="1" printArea="1" view="pageBreakPreview">
      <selection activeCell="L24" sqref="L24"/>
      <pageMargins left="0.7" right="0.7" top="0.75" bottom="0.75" header="0.3" footer="0.3"/>
      <pageSetup paperSize="9" scale="58" orientation="landscape" r:id="rId3"/>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4"/>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5"/>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63D51328-7CBC-4A1E-B96D-BAE91416501B}" scale="80" showPageBreaks="1" printArea="1" view="pageBreakPreview">
      <selection activeCell="G22" sqref="G22"/>
      <pageMargins left="0.7" right="0.7" top="0.75" bottom="0.75" header="0.3" footer="0.3"/>
      <pageSetup paperSize="9" scale="58" orientation="landscape" r:id="rId8"/>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9"/>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10"/>
    </customSheetView>
    <customSheetView guid="{B96E710B-6DD7-4DE1-95AB-C9EE060CD030}" scale="80" showPageBreaks="1" printArea="1" view="pageBreakPreview">
      <selection activeCell="G22" sqref="G22"/>
      <pageMargins left="0.7" right="0.7" top="0.75" bottom="0.75" header="0.3" footer="0.3"/>
      <pageSetup paperSize="9" scale="58" orientation="landscape" r:id="rId11"/>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12"/>
    </customSheetView>
    <customSheetView guid="{1211E1B9-FC37-4364-9CF0-0FFC01866726}" scale="85" showPageBreaks="1" printArea="1" view="pageBreakPreview">
      <selection activeCell="A17" sqref="A17"/>
      <pageMargins left="0.7" right="0.7" top="0.75" bottom="0.75" header="0.3" footer="0.3"/>
      <pageSetup paperSize="9" scale="58" orientation="landscape" r:id="rId13"/>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4" zoomScale="115" zoomScaleSheetLayoutView="115" workbookViewId="0">
      <selection activeCell="W8" sqref="W8"/>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hidden="1" customWidth="1"/>
    <col min="7" max="7" width="34.140625" style="65" hidden="1" customWidth="1"/>
    <col min="8" max="8" width="11.42578125" style="65" hidden="1" customWidth="1"/>
    <col min="9" max="9" width="14" style="337" hidden="1" customWidth="1"/>
    <col min="10" max="10" width="14.42578125" style="337" hidden="1" customWidth="1"/>
    <col min="11" max="11" width="17.140625" style="337" hidden="1" customWidth="1"/>
    <col min="12" max="13" width="11.42578125" style="337" hidden="1" customWidth="1"/>
    <col min="14" max="14" width="21.28515625" style="337" hidden="1" customWidth="1"/>
    <col min="15" max="15" width="18.28515625" style="65" hidden="1" customWidth="1"/>
    <col min="16" max="17" width="11.42578125" style="65" hidden="1" customWidth="1"/>
    <col min="18" max="18" width="11.42578125" style="91" hidden="1" customWidth="1"/>
    <col min="19" max="20" width="11.42578125" style="65" hidden="1" customWidth="1"/>
    <col min="21" max="24" width="11.42578125" style="65" customWidth="1"/>
    <col min="25" max="16384" width="11.42578125" style="91"/>
  </cols>
  <sheetData>
    <row r="1" spans="1:15" ht="18" customHeight="1">
      <c r="A1" s="61" t="str">
        <f>Cover!B3</f>
        <v>Spec No: NR1/NT/W-TW/DOM/I00/25/03940 (Rfx-5002004353)</v>
      </c>
      <c r="B1" s="62"/>
      <c r="C1" s="63"/>
      <c r="D1" s="63"/>
      <c r="E1" s="64" t="s">
        <v>126</v>
      </c>
    </row>
    <row r="2" spans="1:15" ht="8.1" customHeight="1">
      <c r="A2" s="66"/>
      <c r="B2" s="67"/>
      <c r="C2" s="68"/>
      <c r="D2" s="68"/>
      <c r="E2" s="69"/>
      <c r="F2" s="70"/>
    </row>
    <row r="3" spans="1:15" ht="63" customHeight="1">
      <c r="A3" s="917" t="str">
        <f>Cover!$B$2</f>
        <v>Transmission Line package TW02 for Diversion / modification of various POWERGRID’s 400kV Transmission Lines due to upcoming Green Field Airport at Kota under Consultancy Services to Kota Development Authority, Kota</v>
      </c>
      <c r="B3" s="917"/>
      <c r="C3" s="917"/>
      <c r="D3" s="917"/>
      <c r="E3" s="917"/>
    </row>
    <row r="4" spans="1:15" ht="21.95" customHeight="1">
      <c r="A4" s="918" t="s">
        <v>471</v>
      </c>
      <c r="B4" s="918"/>
      <c r="C4" s="918"/>
      <c r="D4" s="918"/>
      <c r="E4" s="918"/>
    </row>
    <row r="5" spans="1:15" ht="12" customHeight="1">
      <c r="A5" s="71"/>
      <c r="B5" s="72"/>
      <c r="C5" s="72"/>
      <c r="D5" s="72"/>
      <c r="E5" s="72"/>
    </row>
    <row r="6" spans="1:15" ht="24" customHeight="1">
      <c r="A6" s="896" t="s">
        <v>338</v>
      </c>
      <c r="B6" s="896"/>
      <c r="C6" s="2"/>
      <c r="D6" s="304"/>
      <c r="E6" s="2"/>
      <c r="F6" s="2"/>
      <c r="G6" s="2"/>
      <c r="H6" s="2"/>
      <c r="I6" s="2"/>
    </row>
    <row r="7" spans="1:15" ht="18" customHeight="1">
      <c r="A7" s="897" t="str">
        <f>'Sch-1'!A7</f>
        <v>abc</v>
      </c>
      <c r="B7" s="897"/>
      <c r="C7" s="897"/>
      <c r="D7" s="392" t="s">
        <v>1</v>
      </c>
      <c r="E7" s="459"/>
      <c r="F7" s="459"/>
      <c r="G7" s="459"/>
      <c r="H7" s="459"/>
      <c r="I7" s="459"/>
    </row>
    <row r="8" spans="1:15" ht="18" customHeight="1">
      <c r="A8" s="898" t="str">
        <f>"Bidder’s Name and Address  (" &amp; MID('Names of Bidder'!A9,9, 20) &amp; ") :"</f>
        <v>Bidder’s Name and Address  (Sole Bidder) :</v>
      </c>
      <c r="B8" s="898"/>
      <c r="C8" s="898"/>
      <c r="D8" s="6" t="s">
        <v>2</v>
      </c>
      <c r="E8" s="461"/>
      <c r="F8" s="461"/>
      <c r="G8" s="461"/>
      <c r="H8" s="356"/>
      <c r="I8" s="356"/>
    </row>
    <row r="9" spans="1:15" ht="18" customHeight="1">
      <c r="A9" s="368" t="s">
        <v>12</v>
      </c>
      <c r="B9" s="368" t="str">
        <f>IF('Names of Bidder'!C9=0, "", 'Names of Bidder'!C9)</f>
        <v>abc</v>
      </c>
      <c r="C9" s="91"/>
      <c r="D9" s="6" t="s">
        <v>3</v>
      </c>
      <c r="E9" s="460"/>
      <c r="F9" s="460"/>
      <c r="G9" s="460"/>
      <c r="H9" s="354"/>
      <c r="I9" s="354"/>
    </row>
    <row r="10" spans="1:15" ht="18" customHeight="1">
      <c r="A10" s="368" t="s">
        <v>11</v>
      </c>
      <c r="B10" s="220" t="str">
        <f>IF('Names of Bidder'!C10=0, "", 'Names of Bidder'!C10)</f>
        <v>abc</v>
      </c>
      <c r="C10" s="91"/>
      <c r="D10" s="6" t="s">
        <v>4</v>
      </c>
      <c r="E10" s="460"/>
      <c r="F10" s="460"/>
      <c r="G10" s="460"/>
      <c r="H10" s="354"/>
      <c r="I10" s="354"/>
    </row>
    <row r="11" spans="1:15" ht="18" customHeight="1">
      <c r="A11" s="354"/>
      <c r="B11" s="220" t="str">
        <f>IF('Names of Bidder'!C11=0, "", 'Names of Bidder'!C11)</f>
        <v>abc</v>
      </c>
      <c r="C11" s="91"/>
      <c r="D11" s="6" t="s">
        <v>5</v>
      </c>
      <c r="E11" s="460"/>
      <c r="F11" s="460"/>
      <c r="G11" s="460"/>
      <c r="H11" s="354"/>
      <c r="I11" s="354"/>
    </row>
    <row r="12" spans="1:15" ht="18" customHeight="1">
      <c r="A12" s="354"/>
      <c r="B12" s="220" t="str">
        <f>IF('Names of Bidder'!C12=0, "", 'Names of Bidder'!C12)</f>
        <v>abc</v>
      </c>
      <c r="C12" s="91"/>
      <c r="D12" s="6" t="s">
        <v>6</v>
      </c>
      <c r="E12" s="460"/>
      <c r="F12" s="460"/>
      <c r="G12" s="460"/>
      <c r="H12" s="354"/>
      <c r="I12" s="354"/>
    </row>
    <row r="13" spans="1:15" ht="8.1" customHeight="1" thickBot="1">
      <c r="B13" s="118"/>
    </row>
    <row r="14" spans="1:15" ht="21.95" customHeight="1">
      <c r="A14" s="497" t="s">
        <v>128</v>
      </c>
      <c r="B14" s="919" t="s">
        <v>129</v>
      </c>
      <c r="C14" s="919"/>
      <c r="D14" s="920" t="s">
        <v>130</v>
      </c>
      <c r="E14" s="921"/>
      <c r="I14" s="928" t="s">
        <v>131</v>
      </c>
      <c r="J14" s="928"/>
      <c r="K14" s="928"/>
      <c r="M14" s="925" t="s">
        <v>132</v>
      </c>
      <c r="N14" s="925"/>
      <c r="O14" s="925"/>
    </row>
    <row r="15" spans="1:15" ht="29.25" customHeight="1">
      <c r="A15" s="498" t="s">
        <v>133</v>
      </c>
      <c r="B15" s="922" t="s">
        <v>314</v>
      </c>
      <c r="C15" s="922"/>
      <c r="D15" s="923">
        <f>'Sch-1'!P104</f>
        <v>0</v>
      </c>
      <c r="E15" s="924"/>
      <c r="I15" s="338" t="s">
        <v>134</v>
      </c>
      <c r="K15" s="338" t="e">
        <f>ROUND('[6]Sch-1'!U3*#REF!,0)</f>
        <v>#REF!</v>
      </c>
      <c r="M15" s="338" t="s">
        <v>134</v>
      </c>
      <c r="O15" s="76" t="e">
        <f>ROUND('[6]Sch-1'!U5*#REF!,0)</f>
        <v>#REF!</v>
      </c>
    </row>
    <row r="16" spans="1:15" ht="87.75" customHeight="1">
      <c r="A16" s="499"/>
      <c r="B16" s="914" t="s">
        <v>315</v>
      </c>
      <c r="C16" s="914"/>
      <c r="D16" s="926"/>
      <c r="E16" s="927"/>
      <c r="G16" s="77"/>
    </row>
    <row r="17" spans="1:15" ht="25.5" customHeight="1">
      <c r="A17" s="498" t="s">
        <v>135</v>
      </c>
      <c r="B17" s="922" t="s">
        <v>316</v>
      </c>
      <c r="C17" s="922"/>
      <c r="D17" s="923">
        <f>'Sch-3'!R82</f>
        <v>0</v>
      </c>
      <c r="E17" s="924"/>
      <c r="I17" s="338" t="s">
        <v>136</v>
      </c>
      <c r="K17" s="339">
        <f>IF(ISERROR(ROUND((#REF!+#REF!)*#REF!,0)),0, ROUND((#REF!+#REF!)*#REF!,0))</f>
        <v>0</v>
      </c>
      <c r="M17" s="338" t="s">
        <v>136</v>
      </c>
      <c r="O17" s="79">
        <f>IF(ISERROR(ROUND((#REF!+#REF!)*#REF!,0)),0, ROUND((#REF!+#REF!)*#REF!,0))</f>
        <v>0</v>
      </c>
    </row>
    <row r="18" spans="1:15" ht="84" customHeight="1">
      <c r="A18" s="499"/>
      <c r="B18" s="914" t="s">
        <v>317</v>
      </c>
      <c r="C18" s="914"/>
      <c r="D18" s="915"/>
      <c r="E18" s="916"/>
      <c r="G18" s="80"/>
      <c r="I18" s="340" t="e">
        <f>#REF!/'Sch-1'!Y1</f>
        <v>#REF!</v>
      </c>
      <c r="K18" s="337">
        <f>'[6]Sch-1'!U3</f>
        <v>0</v>
      </c>
      <c r="M18" s="340" t="e">
        <f>I18</f>
        <v>#REF!</v>
      </c>
      <c r="O18" s="65">
        <f>'[6]Sch-1'!U5</f>
        <v>0</v>
      </c>
    </row>
    <row r="19" spans="1:15" ht="33" customHeight="1" thickBot="1">
      <c r="A19" s="500"/>
      <c r="B19" s="501" t="s">
        <v>320</v>
      </c>
      <c r="C19" s="502"/>
      <c r="D19" s="912">
        <f>D15+D17</f>
        <v>0</v>
      </c>
      <c r="E19" s="913"/>
    </row>
    <row r="20" spans="1:15" ht="30" customHeight="1">
      <c r="A20" s="81"/>
      <c r="B20" s="81"/>
      <c r="C20" s="82"/>
      <c r="D20" s="81"/>
      <c r="E20" s="81"/>
    </row>
    <row r="21" spans="1:15" ht="30" customHeight="1">
      <c r="A21" s="83" t="s">
        <v>141</v>
      </c>
      <c r="B21" s="505" t="str">
        <f>'Names of Bidder'!C22&amp;" "&amp;'Names of Bidder'!D22&amp;" "&amp;'Names of Bidder'!E22</f>
        <v xml:space="preserve">  </v>
      </c>
      <c r="C21" s="82" t="s">
        <v>142</v>
      </c>
      <c r="D21" s="910" t="str">
        <f>IF('Names of Bidder'!C19="","",'Names of Bidder'!C19)</f>
        <v/>
      </c>
      <c r="E21" s="911"/>
      <c r="F21" s="84"/>
    </row>
    <row r="22" spans="1:15" ht="30" customHeight="1">
      <c r="A22" s="83" t="s">
        <v>143</v>
      </c>
      <c r="B22" s="563" t="str">
        <f>IF('Names of Bidder'!C23="","",'Names of Bidder'!C23)</f>
        <v/>
      </c>
      <c r="C22" s="82" t="s">
        <v>144</v>
      </c>
      <c r="D22" s="910" t="str">
        <f>IF('Names of Bidder'!C20="","",'Names of Bidder'!C20)</f>
        <v/>
      </c>
      <c r="E22" s="911"/>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algorithmName="SHA-512" hashValue="5BXWCURklhmC4dv5nc7o+2zD+2HaRsQDYoFm0mzW3eoXVTY13kecm7DmAvmjwL0eqt/Skk2CmcwNgFktavsB/Q==" saltValue="+o0DeY+ri5zoorQ4HSewcw==" spinCount="100000" sheet="1" objects="1" scenarios="1" formatColumns="0" formatRows="0" selectLockedCells="1"/>
  <dataConsolidate/>
  <customSheetViews>
    <customSheetView guid="{ADF3F130-0A37-42E7-A525-50C5A6B01A26}" scale="115" showPageBreaks="1" printArea="1" hiddenColumns="1" view="pageBreakPreview">
      <selection activeCell="W8" sqref="W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1211E1B9-FC37-4364-9CF0-0FFC01866726}" scale="115" showPageBreaks="1" printArea="1" hiddenColumns="1" view="pageBreakPreview">
      <selection activeCell="W8" sqref="W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Dharmendra Kumar </cp:lastModifiedBy>
  <cp:lastPrinted>2021-09-23T05:06:14Z</cp:lastPrinted>
  <dcterms:created xsi:type="dcterms:W3CDTF">2014-08-12T11:34:40Z</dcterms:created>
  <dcterms:modified xsi:type="dcterms:W3CDTF">2025-03-27T13:08:44Z</dcterms:modified>
</cp:coreProperties>
</file>