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8"/>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RT03 Bulk Procurement\Re-tender 02\BD\"/>
    </mc:Choice>
  </mc:AlternateContent>
  <xr:revisionPtr revIDLastSave="0" documentId="13_ncr:1_{B849267E-EC72-4CAE-9808-CA54301A20D6}" xr6:coauthVersionLast="36" xr6:coauthVersionMax="47" xr10:uidLastSave="{00000000-0000-0000-0000-000000000000}"/>
  <workbookProtection workbookAlgorithmName="SHA-512" workbookHashValue="JKSYknPCCNkNGcBB2jiWHwhUPBBGgLkE4wLnIJNrEwVzFZ7PkHMclNpSO5kmyxnz5ZEwc+k93+jJ4NZKlvubXA==" workbookSaltValue="3Mxmg5Pk0wj4F4QMsxa1Sw==" workbookSpinCount="100000" revisionsAlgorithmName="SHA-512" revisionsHashValue="iIewiGC88o6CVoKlvcPxOw7tSFwvDKngXBnZznccotSv+xMFOSUWsVEmPBMAthu3MHlJdGeQwza9b/oRh9e+/w==" revisionsSaltValue="CKOSIAOSPx8Tdkg67eHZFQ==" revisionsSpinCount="100000" lockStructure="1" lockRevision="1"/>
  <bookViews>
    <workbookView xWindow="-120" yWindow="-120" windowWidth="19440" windowHeight="10440" tabRatio="877" firstSheet="1" activeTab="1"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'Sch-1'!$16:$35</definedName>
    <definedName name="_xlnm._FilterDatabase" localSheetId="5" hidden="1">'Sch-2'!$A$16:$AF$33</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Envelope'!$A$1:$F$64</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4">'Sch-1'!$A$1:$N$39</definedName>
    <definedName name="_xlnm.Print_Area" localSheetId="5">'Sch-2'!$A$1:$J$36</definedName>
    <definedName name="_xlnm.Print_Area" localSheetId="6">'Sch-3'!$A$1:$P$39</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'Sch-3'!$16:$17</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Envelope'!$A$1:$F$66</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12647D2_7580_431B_99B5_DD512E2AD50E_.wvu.Cols" localSheetId="0" hidden="1">Basic!$I:$I</definedName>
    <definedName name="Z_112647D2_7580_431B_99B5_DD512E2AD50E_.wvu.Cols" localSheetId="18" hidden="1">'Bid Form 2nd Envelope'!$H:$AO</definedName>
    <definedName name="Z_112647D2_7580_431B_99B5_DD512E2AD50E_.wvu.Cols" localSheetId="14" hidden="1">Discount!$H:$L</definedName>
    <definedName name="Z_112647D2_7580_431B_99B5_DD512E2AD50E_.wvu.Cols" localSheetId="3" hidden="1">'Names of Bidder'!$H:$H,'Names of Bidder'!$K:$K</definedName>
    <definedName name="Z_112647D2_7580_431B_99B5_DD512E2AD50E_.wvu.Cols" localSheetId="21" hidden="1">'N-W (Cr.)'!$A:$O,'N-W (Cr.)'!$T:$DL</definedName>
    <definedName name="Z_112647D2_7580_431B_99B5_DD512E2AD50E_.wvu.Cols" localSheetId="4" hidden="1">'Sch-1'!$O:$AB</definedName>
    <definedName name="Z_112647D2_7580_431B_99B5_DD512E2AD50E_.wvu.Cols" localSheetId="6" hidden="1">'Sch-3'!$Q:$AC</definedName>
    <definedName name="Z_112647D2_7580_431B_99B5_DD512E2AD50E_.wvu.Cols" localSheetId="8" hidden="1">'Sch-5'!$F:$T</definedName>
    <definedName name="Z_112647D2_7580_431B_99B5_DD512E2AD50E_.wvu.Cols" localSheetId="12" hidden="1">'Sch-6 (After Discount)'!$E:$F</definedName>
    <definedName name="Z_112647D2_7580_431B_99B5_DD512E2AD50E_.wvu.Cols" localSheetId="13" hidden="1">'Sch-7'!$AA:$AG</definedName>
    <definedName name="Z_112647D2_7580_431B_99B5_DD512E2AD50E_.wvu.FilterData" localSheetId="4" hidden="1">'Sch-1'!$16:$35</definedName>
    <definedName name="Z_112647D2_7580_431B_99B5_DD512E2AD50E_.wvu.FilterData" localSheetId="5" hidden="1">'Sch-2'!$A$16:$AF$33</definedName>
    <definedName name="Z_112647D2_7580_431B_99B5_DD512E2AD50E_.wvu.PrintArea" localSheetId="18" hidden="1">'Bid Form 2nd Envelope'!$A$1:$F$66</definedName>
    <definedName name="Z_112647D2_7580_431B_99B5_DD512E2AD50E_.wvu.PrintArea" localSheetId="14" hidden="1">Discount!$A$2:$G$40</definedName>
    <definedName name="Z_112647D2_7580_431B_99B5_DD512E2AD50E_.wvu.PrintArea" localSheetId="16" hidden="1">'Entry Tax'!$A$1:$E$16</definedName>
    <definedName name="Z_112647D2_7580_431B_99B5_DD512E2AD50E_.wvu.PrintArea" localSheetId="2" hidden="1">Instructions!$A$1:$C$65</definedName>
    <definedName name="Z_112647D2_7580_431B_99B5_DD512E2AD50E_.wvu.PrintArea" localSheetId="3" hidden="1">'Names of Bidder'!$B$1:$G$28</definedName>
    <definedName name="Z_112647D2_7580_431B_99B5_DD512E2AD50E_.wvu.PrintArea" localSheetId="15" hidden="1">Octroi!$A$1:$E$16</definedName>
    <definedName name="Z_112647D2_7580_431B_99B5_DD512E2AD50E_.wvu.PrintArea" localSheetId="17" hidden="1">'Other Taxes &amp; Duties'!$A$1:$F$16</definedName>
    <definedName name="Z_112647D2_7580_431B_99B5_DD512E2AD50E_.wvu.PrintArea" localSheetId="4" hidden="1">'Sch-1'!$A$1:$N$39</definedName>
    <definedName name="Z_112647D2_7580_431B_99B5_DD512E2AD50E_.wvu.PrintArea" localSheetId="5" hidden="1">'Sch-2'!$A$1:$J$36</definedName>
    <definedName name="Z_112647D2_7580_431B_99B5_DD512E2AD50E_.wvu.PrintArea" localSheetId="6" hidden="1">'Sch-3'!$A$1:$P$39</definedName>
    <definedName name="Z_112647D2_7580_431B_99B5_DD512E2AD50E_.wvu.PrintArea" localSheetId="7" hidden="1">'Sch-4'!$A$1:$P$26</definedName>
    <definedName name="Z_112647D2_7580_431B_99B5_DD512E2AD50E_.wvu.PrintArea" localSheetId="8" hidden="1">'Sch-5'!$A$1:$E$23</definedName>
    <definedName name="Z_112647D2_7580_431B_99B5_DD512E2AD50E_.wvu.PrintArea" localSheetId="9" hidden="1">'Sch-5 after discount'!$A$1:$E$23</definedName>
    <definedName name="Z_112647D2_7580_431B_99B5_DD512E2AD50E_.wvu.PrintArea" localSheetId="10" hidden="1">'Sch-6'!$A$1:$D$32</definedName>
    <definedName name="Z_112647D2_7580_431B_99B5_DD512E2AD50E_.wvu.PrintArea" localSheetId="12" hidden="1">'Sch-6 (After Discount)'!$A$1:$D$32</definedName>
    <definedName name="Z_112647D2_7580_431B_99B5_DD512E2AD50E_.wvu.PrintArea" localSheetId="11" hidden="1">'Sch-6 After Discount'!$A$1:$D$31</definedName>
    <definedName name="Z_112647D2_7580_431B_99B5_DD512E2AD50E_.wvu.PrintArea" localSheetId="13" hidden="1">'Sch-7'!$A$1:$M$22</definedName>
    <definedName name="Z_112647D2_7580_431B_99B5_DD512E2AD50E_.wvu.PrintTitles" localSheetId="4" hidden="1">'Sch-1'!$15:$16</definedName>
    <definedName name="Z_112647D2_7580_431B_99B5_DD512E2AD50E_.wvu.PrintTitles" localSheetId="5" hidden="1">'Sch-2'!$15:$16</definedName>
    <definedName name="Z_112647D2_7580_431B_99B5_DD512E2AD50E_.wvu.PrintTitles" localSheetId="6" hidden="1">'Sch-3'!$16:$17</definedName>
    <definedName name="Z_112647D2_7580_431B_99B5_DD512E2AD50E_.wvu.PrintTitles" localSheetId="8" hidden="1">'Sch-5'!$3:$14</definedName>
    <definedName name="Z_112647D2_7580_431B_99B5_DD512E2AD50E_.wvu.PrintTitles" localSheetId="9" hidden="1">'Sch-5 after discount'!$3:$14</definedName>
    <definedName name="Z_112647D2_7580_431B_99B5_DD512E2AD50E_.wvu.PrintTitles" localSheetId="10" hidden="1">'Sch-6'!$3:$14</definedName>
    <definedName name="Z_112647D2_7580_431B_99B5_DD512E2AD50E_.wvu.PrintTitles" localSheetId="12" hidden="1">'Sch-6 (After Discount)'!$3:$14</definedName>
    <definedName name="Z_112647D2_7580_431B_99B5_DD512E2AD50E_.wvu.PrintTitles" localSheetId="11" hidden="1">'Sch-6 After Discount'!$3:$13</definedName>
    <definedName name="Z_112647D2_7580_431B_99B5_DD512E2AD50E_.wvu.Rows" localSheetId="1" hidden="1">Cover!$7:$7</definedName>
    <definedName name="Z_112647D2_7580_431B_99B5_DD512E2AD50E_.wvu.Rows" localSheetId="14" hidden="1">Discount!$29:$32</definedName>
    <definedName name="Z_112647D2_7580_431B_99B5_DD512E2AD50E_.wvu.Rows" localSheetId="3" hidden="1">'Names of Bidder'!$19:$22</definedName>
    <definedName name="Z_112647D2_7580_431B_99B5_DD512E2AD50E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Envelope'!$A$1:$F$66</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Envelope'!$A$1:$F$66</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Envelope'!$A$1:$F$66</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'Sch-1'!$C$1:$C$35</definedName>
    <definedName name="Z_357C9841_BEC3_434B_AC63_C04FB4321BA3_.wvu.FilterData" localSheetId="5" hidden="1">'Sch-2'!$C$1:$C$38</definedName>
    <definedName name="Z_357C9841_BEC3_434B_AC63_C04FB4321BA3_.wvu.FilterData" localSheetId="6" hidden="1">'Sch-3'!$C$1:$C$41</definedName>
    <definedName name="Z_357C9841_BEC3_434B_AC63_C04FB4321BA3_.wvu.PrintArea" localSheetId="18" hidden="1">'Bid Form 2nd Envelope'!$A$1:$F$66</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'Sch-1'!$A$1:$N$39</definedName>
    <definedName name="Z_357C9841_BEC3_434B_AC63_C04FB4321BA3_.wvu.PrintArea" localSheetId="5" hidden="1">'Sch-2'!$A$1:$J$38</definedName>
    <definedName name="Z_357C9841_BEC3_434B_AC63_C04FB4321BA3_.wvu.PrintArea" localSheetId="6" hidden="1">'Sch-3'!$A$1:$P$41</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'Sch-1'!$C$1:$C$35</definedName>
    <definedName name="Z_3C00DDA0_7DDE_4169_A739_550DAF5DCF8D_.wvu.FilterData" localSheetId="5" hidden="1">'Sch-2'!$C$1:$C$38</definedName>
    <definedName name="Z_3C00DDA0_7DDE_4169_A739_550DAF5DCF8D_.wvu.FilterData" localSheetId="6" hidden="1">'Sch-3'!$C$1:$C$41</definedName>
    <definedName name="Z_3C00DDA0_7DDE_4169_A739_550DAF5DCF8D_.wvu.PrintArea" localSheetId="18" hidden="1">'Bid Form 2nd Envelope'!$A$1:$F$66</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'Sch-1'!$A$1:$N$39</definedName>
    <definedName name="Z_3C00DDA0_7DDE_4169_A739_550DAF5DCF8D_.wvu.PrintArea" localSheetId="5" hidden="1">'Sch-2'!$A$1:$J$38</definedName>
    <definedName name="Z_3C00DDA0_7DDE_4169_A739_550DAF5DCF8D_.wvu.PrintArea" localSheetId="6" hidden="1">'Sch-3'!$A$1:$P$41</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'Sch-3'!$16:$17</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Envelope'!$A$1:$F$66</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Envelope'!$A$1:$F$66</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1"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'Sch-1'!$16:$35</definedName>
    <definedName name="Z_63D51328_7CBC_4A1E_B96D_BAE91416501B_.wvu.FilterData" localSheetId="5" hidden="1">'Sch-2'!$A$16:$AF$33</definedName>
    <definedName name="Z_63D51328_7CBC_4A1E_B96D_BAE91416501B_.wvu.PrintArea" localSheetId="18" hidden="1">'Bid Form 2nd Envelope'!$A$1:$F$66</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'Sch-1'!$A$1:$N$39</definedName>
    <definedName name="Z_63D51328_7CBC_4A1E_B96D_BAE91416501B_.wvu.PrintArea" localSheetId="5" hidden="1">'Sch-2'!$A$1:$J$36</definedName>
    <definedName name="Z_63D51328_7CBC_4A1E_B96D_BAE91416501B_.wvu.PrintArea" localSheetId="6" hidden="1">'Sch-3'!$A$1:$P$39</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'Sch-3'!$16:$17</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4F40905_A9D3_43A5_987A_8A757D486A94_.wvu.Cols" localSheetId="0" hidden="1">Basic!$I:$I</definedName>
    <definedName name="Z_84F40905_A9D3_43A5_987A_8A757D486A94_.wvu.Cols" localSheetId="18" hidden="1">'Bid Form 2nd Envelope'!$H:$AO</definedName>
    <definedName name="Z_84F40905_A9D3_43A5_987A_8A757D486A94_.wvu.Cols" localSheetId="14" hidden="1">Discount!$H:$L</definedName>
    <definedName name="Z_84F40905_A9D3_43A5_987A_8A757D486A94_.wvu.Cols" localSheetId="3" hidden="1">'Names of Bidder'!$H:$H,'Names of Bidder'!$K:$K</definedName>
    <definedName name="Z_84F40905_A9D3_43A5_987A_8A757D486A94_.wvu.Cols" localSheetId="21" hidden="1">'N-W (Cr.)'!$A:$O,'N-W (Cr.)'!$T:$DL</definedName>
    <definedName name="Z_84F40905_A9D3_43A5_987A_8A757D486A94_.wvu.Cols" localSheetId="4" hidden="1">'Sch-1'!$O:$W</definedName>
    <definedName name="Z_84F40905_A9D3_43A5_987A_8A757D486A94_.wvu.Cols" localSheetId="6" hidden="1">'Sch-3'!$Q:$W,'Sch-3'!$AA:$AA</definedName>
    <definedName name="Z_84F40905_A9D3_43A5_987A_8A757D486A94_.wvu.Cols" localSheetId="8" hidden="1">'Sch-5'!$F:$T</definedName>
    <definedName name="Z_84F40905_A9D3_43A5_987A_8A757D486A94_.wvu.Cols" localSheetId="12" hidden="1">'Sch-6 (After Discount)'!$E:$F</definedName>
    <definedName name="Z_84F40905_A9D3_43A5_987A_8A757D486A94_.wvu.Cols" localSheetId="13" hidden="1">'Sch-7'!$AA:$AG</definedName>
    <definedName name="Z_84F40905_A9D3_43A5_987A_8A757D486A94_.wvu.FilterData" localSheetId="4" hidden="1">'Sch-1'!$16:$35</definedName>
    <definedName name="Z_84F40905_A9D3_43A5_987A_8A757D486A94_.wvu.FilterData" localSheetId="5" hidden="1">'Sch-2'!$A$16:$AF$33</definedName>
    <definedName name="Z_84F40905_A9D3_43A5_987A_8A757D486A94_.wvu.PrintArea" localSheetId="18" hidden="1">'Bid Form 2nd Envelope'!$A$1:$F$64</definedName>
    <definedName name="Z_84F40905_A9D3_43A5_987A_8A757D486A94_.wvu.PrintArea" localSheetId="14" hidden="1">Discount!$A$2:$G$40</definedName>
    <definedName name="Z_84F40905_A9D3_43A5_987A_8A757D486A94_.wvu.PrintArea" localSheetId="16" hidden="1">'Entry Tax'!$A$1:$E$16</definedName>
    <definedName name="Z_84F40905_A9D3_43A5_987A_8A757D486A94_.wvu.PrintArea" localSheetId="2" hidden="1">Instructions!$A$1:$C$65</definedName>
    <definedName name="Z_84F40905_A9D3_43A5_987A_8A757D486A94_.wvu.PrintArea" localSheetId="3" hidden="1">'Names of Bidder'!$B$1:$G$28</definedName>
    <definedName name="Z_84F40905_A9D3_43A5_987A_8A757D486A94_.wvu.PrintArea" localSheetId="15" hidden="1">Octroi!$A$1:$E$16</definedName>
    <definedName name="Z_84F40905_A9D3_43A5_987A_8A757D486A94_.wvu.PrintArea" localSheetId="17" hidden="1">'Other Taxes &amp; Duties'!$A$1:$F$16</definedName>
    <definedName name="Z_84F40905_A9D3_43A5_987A_8A757D486A94_.wvu.PrintArea" localSheetId="4" hidden="1">'Sch-1'!$A$1:$N$39</definedName>
    <definedName name="Z_84F40905_A9D3_43A5_987A_8A757D486A94_.wvu.PrintArea" localSheetId="5" hidden="1">'Sch-2'!$A$1:$J$36</definedName>
    <definedName name="Z_84F40905_A9D3_43A5_987A_8A757D486A94_.wvu.PrintArea" localSheetId="6" hidden="1">'Sch-3'!$A$1:$P$39</definedName>
    <definedName name="Z_84F40905_A9D3_43A5_987A_8A757D486A94_.wvu.PrintArea" localSheetId="7" hidden="1">'Sch-4'!$A$1:$P$26</definedName>
    <definedName name="Z_84F40905_A9D3_43A5_987A_8A757D486A94_.wvu.PrintArea" localSheetId="8" hidden="1">'Sch-5'!$A$1:$E$23</definedName>
    <definedName name="Z_84F40905_A9D3_43A5_987A_8A757D486A94_.wvu.PrintArea" localSheetId="9" hidden="1">'Sch-5 after discount'!$A$1:$E$23</definedName>
    <definedName name="Z_84F40905_A9D3_43A5_987A_8A757D486A94_.wvu.PrintArea" localSheetId="10" hidden="1">'Sch-6'!$A$1:$D$32</definedName>
    <definedName name="Z_84F40905_A9D3_43A5_987A_8A757D486A94_.wvu.PrintArea" localSheetId="12" hidden="1">'Sch-6 (After Discount)'!$A$1:$D$32</definedName>
    <definedName name="Z_84F40905_A9D3_43A5_987A_8A757D486A94_.wvu.PrintArea" localSheetId="11" hidden="1">'Sch-6 After Discount'!$A$1:$D$31</definedName>
    <definedName name="Z_84F40905_A9D3_43A5_987A_8A757D486A94_.wvu.PrintArea" localSheetId="13" hidden="1">'Sch-7'!$A$1:$M$22</definedName>
    <definedName name="Z_84F40905_A9D3_43A5_987A_8A757D486A94_.wvu.PrintTitles" localSheetId="4" hidden="1">'Sch-1'!$15:$16</definedName>
    <definedName name="Z_84F40905_A9D3_43A5_987A_8A757D486A94_.wvu.PrintTitles" localSheetId="5" hidden="1">'Sch-2'!$15:$16</definedName>
    <definedName name="Z_84F40905_A9D3_43A5_987A_8A757D486A94_.wvu.PrintTitles" localSheetId="6" hidden="1">'Sch-3'!$16:$17</definedName>
    <definedName name="Z_84F40905_A9D3_43A5_987A_8A757D486A94_.wvu.PrintTitles" localSheetId="8" hidden="1">'Sch-5'!$3:$14</definedName>
    <definedName name="Z_84F40905_A9D3_43A5_987A_8A757D486A94_.wvu.PrintTitles" localSheetId="9" hidden="1">'Sch-5 after discount'!$3:$14</definedName>
    <definedName name="Z_84F40905_A9D3_43A5_987A_8A757D486A94_.wvu.PrintTitles" localSheetId="10" hidden="1">'Sch-6'!$3:$14</definedName>
    <definedName name="Z_84F40905_A9D3_43A5_987A_8A757D486A94_.wvu.PrintTitles" localSheetId="12" hidden="1">'Sch-6 (After Discount)'!$3:$14</definedName>
    <definedName name="Z_84F40905_A9D3_43A5_987A_8A757D486A94_.wvu.PrintTitles" localSheetId="11" hidden="1">'Sch-6 After Discount'!$3:$13</definedName>
    <definedName name="Z_84F40905_A9D3_43A5_987A_8A757D486A94_.wvu.Rows" localSheetId="1" hidden="1">Cover!$7:$7</definedName>
    <definedName name="Z_84F40905_A9D3_43A5_987A_8A757D486A94_.wvu.Rows" localSheetId="14" hidden="1">Discount!$29:$32</definedName>
    <definedName name="Z_84F40905_A9D3_43A5_987A_8A757D486A94_.wvu.Rows" localSheetId="3" hidden="1">'Names of Bidder'!$19:$22</definedName>
    <definedName name="Z_84F40905_A9D3_43A5_987A_8A757D486A94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Envelope'!$A$1:$F$66</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'Sch-1'!$16:$35</definedName>
    <definedName name="Z_99CA2F10_F926_46DC_8609_4EAE5B9F3585_.wvu.FilterData" localSheetId="5" hidden="1">'Sch-2'!$A$16:$AF$33</definedName>
    <definedName name="Z_99CA2F10_F926_46DC_8609_4EAE5B9F3585_.wvu.FilterData" localSheetId="6" hidden="1">'Sch-3'!$A$17:$AE$33</definedName>
    <definedName name="Z_99CA2F10_F926_46DC_8609_4EAE5B9F3585_.wvu.PrintArea" localSheetId="18" hidden="1">'Bid Form 2nd Envelope'!$A$1:$F$66</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'Sch-1'!$A$1:$N$39</definedName>
    <definedName name="Z_99CA2F10_F926_46DC_8609_4EAE5B9F3585_.wvu.PrintArea" localSheetId="5" hidden="1">'Sch-2'!$A$1:$J$36</definedName>
    <definedName name="Z_99CA2F10_F926_46DC_8609_4EAE5B9F3585_.wvu.PrintArea" localSheetId="6" hidden="1">'Sch-3'!$A$1:$P$39</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'Sch-3'!$16:$17</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1"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Envelope'!$A$1:$F$66</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AD0333DF_5B33_49B5_B063_72505D20EFE4_.wvu.Cols" localSheetId="0" hidden="1">Basic!$I:$I</definedName>
    <definedName name="Z_AD0333DF_5B33_49B5_B063_72505D20EFE4_.wvu.Cols" localSheetId="18" hidden="1">'Bid Form 2nd Envelope'!$H:$AO</definedName>
    <definedName name="Z_AD0333DF_5B33_49B5_B063_72505D20EFE4_.wvu.Cols" localSheetId="14" hidden="1">Discount!$H:$L</definedName>
    <definedName name="Z_AD0333DF_5B33_49B5_B063_72505D20EFE4_.wvu.Cols" localSheetId="3" hidden="1">'Names of Bidder'!$H:$H,'Names of Bidder'!$K:$K</definedName>
    <definedName name="Z_AD0333DF_5B33_49B5_B063_72505D20EFE4_.wvu.Cols" localSheetId="21" hidden="1">'N-W (Cr.)'!$A:$O,'N-W (Cr.)'!$T:$DL</definedName>
    <definedName name="Z_AD0333DF_5B33_49B5_B063_72505D20EFE4_.wvu.Cols" localSheetId="4" hidden="1">'Sch-1'!$O:$AB</definedName>
    <definedName name="Z_AD0333DF_5B33_49B5_B063_72505D20EFE4_.wvu.Cols" localSheetId="6" hidden="1">'Sch-3'!$Q:$AC</definedName>
    <definedName name="Z_AD0333DF_5B33_49B5_B063_72505D20EFE4_.wvu.Cols" localSheetId="8" hidden="1">'Sch-5'!$F:$T</definedName>
    <definedName name="Z_AD0333DF_5B33_49B5_B063_72505D20EFE4_.wvu.Cols" localSheetId="12" hidden="1">'Sch-6 (After Discount)'!$E:$F</definedName>
    <definedName name="Z_AD0333DF_5B33_49B5_B063_72505D20EFE4_.wvu.Cols" localSheetId="13" hidden="1">'Sch-7'!$AA:$AG</definedName>
    <definedName name="Z_AD0333DF_5B33_49B5_B063_72505D20EFE4_.wvu.FilterData" localSheetId="4" hidden="1">'Sch-1'!$16:$35</definedName>
    <definedName name="Z_AD0333DF_5B33_49B5_B063_72505D20EFE4_.wvu.FilterData" localSheetId="5" hidden="1">'Sch-2'!$A$16:$AF$33</definedName>
    <definedName name="Z_AD0333DF_5B33_49B5_B063_72505D20EFE4_.wvu.PrintArea" localSheetId="18" hidden="1">'Bid Form 2nd Envelope'!$A$1:$F$66</definedName>
    <definedName name="Z_AD0333DF_5B33_49B5_B063_72505D20EFE4_.wvu.PrintArea" localSheetId="14" hidden="1">Discount!$A$2:$G$40</definedName>
    <definedName name="Z_AD0333DF_5B33_49B5_B063_72505D20EFE4_.wvu.PrintArea" localSheetId="16" hidden="1">'Entry Tax'!$A$1:$E$16</definedName>
    <definedName name="Z_AD0333DF_5B33_49B5_B063_72505D20EFE4_.wvu.PrintArea" localSheetId="2" hidden="1">Instructions!$A$1:$C$65</definedName>
    <definedName name="Z_AD0333DF_5B33_49B5_B063_72505D20EFE4_.wvu.PrintArea" localSheetId="3" hidden="1">'Names of Bidder'!$B$1:$G$28</definedName>
    <definedName name="Z_AD0333DF_5B33_49B5_B063_72505D20EFE4_.wvu.PrintArea" localSheetId="15" hidden="1">Octroi!$A$1:$E$16</definedName>
    <definedName name="Z_AD0333DF_5B33_49B5_B063_72505D20EFE4_.wvu.PrintArea" localSheetId="17" hidden="1">'Other Taxes &amp; Duties'!$A$1:$F$16</definedName>
    <definedName name="Z_AD0333DF_5B33_49B5_B063_72505D20EFE4_.wvu.PrintArea" localSheetId="4" hidden="1">'Sch-1'!$A$1:$N$39</definedName>
    <definedName name="Z_AD0333DF_5B33_49B5_B063_72505D20EFE4_.wvu.PrintArea" localSheetId="5" hidden="1">'Sch-2'!$A$1:$J$36</definedName>
    <definedName name="Z_AD0333DF_5B33_49B5_B063_72505D20EFE4_.wvu.PrintArea" localSheetId="6" hidden="1">'Sch-3'!$A$1:$P$39</definedName>
    <definedName name="Z_AD0333DF_5B33_49B5_B063_72505D20EFE4_.wvu.PrintArea" localSheetId="7" hidden="1">'Sch-4'!$A$1:$P$26</definedName>
    <definedName name="Z_AD0333DF_5B33_49B5_B063_72505D20EFE4_.wvu.PrintArea" localSheetId="8" hidden="1">'Sch-5'!$A$1:$E$23</definedName>
    <definedName name="Z_AD0333DF_5B33_49B5_B063_72505D20EFE4_.wvu.PrintArea" localSheetId="9" hidden="1">'Sch-5 after discount'!$A$1:$E$23</definedName>
    <definedName name="Z_AD0333DF_5B33_49B5_B063_72505D20EFE4_.wvu.PrintArea" localSheetId="10" hidden="1">'Sch-6'!$A$1:$D$32</definedName>
    <definedName name="Z_AD0333DF_5B33_49B5_B063_72505D20EFE4_.wvu.PrintArea" localSheetId="12" hidden="1">'Sch-6 (After Discount)'!$A$1:$D$32</definedName>
    <definedName name="Z_AD0333DF_5B33_49B5_B063_72505D20EFE4_.wvu.PrintArea" localSheetId="11" hidden="1">'Sch-6 After Discount'!$A$1:$D$31</definedName>
    <definedName name="Z_AD0333DF_5B33_49B5_B063_72505D20EFE4_.wvu.PrintArea" localSheetId="13" hidden="1">'Sch-7'!$A$1:$M$22</definedName>
    <definedName name="Z_AD0333DF_5B33_49B5_B063_72505D20EFE4_.wvu.PrintTitles" localSheetId="4" hidden="1">'Sch-1'!$15:$16</definedName>
    <definedName name="Z_AD0333DF_5B33_49B5_B063_72505D20EFE4_.wvu.PrintTitles" localSheetId="5" hidden="1">'Sch-2'!$15:$16</definedName>
    <definedName name="Z_AD0333DF_5B33_49B5_B063_72505D20EFE4_.wvu.PrintTitles" localSheetId="6" hidden="1">'Sch-3'!$16:$17</definedName>
    <definedName name="Z_AD0333DF_5B33_49B5_B063_72505D20EFE4_.wvu.PrintTitles" localSheetId="8" hidden="1">'Sch-5'!$3:$14</definedName>
    <definedName name="Z_AD0333DF_5B33_49B5_B063_72505D20EFE4_.wvu.PrintTitles" localSheetId="9" hidden="1">'Sch-5 after discount'!$3:$14</definedName>
    <definedName name="Z_AD0333DF_5B33_49B5_B063_72505D20EFE4_.wvu.PrintTitles" localSheetId="10" hidden="1">'Sch-6'!$3:$14</definedName>
    <definedName name="Z_AD0333DF_5B33_49B5_B063_72505D20EFE4_.wvu.PrintTitles" localSheetId="12" hidden="1">'Sch-6 (After Discount)'!$3:$14</definedName>
    <definedName name="Z_AD0333DF_5B33_49B5_B063_72505D20EFE4_.wvu.PrintTitles" localSheetId="11" hidden="1">'Sch-6 After Discount'!$3:$13</definedName>
    <definedName name="Z_AD0333DF_5B33_49B5_B063_72505D20EFE4_.wvu.Rows" localSheetId="1" hidden="1">Cover!$7:$7</definedName>
    <definedName name="Z_AD0333DF_5B33_49B5_B063_72505D20EFE4_.wvu.Rows" localSheetId="14" hidden="1">Discount!$29:$32</definedName>
    <definedName name="Z_AD0333DF_5B33_49B5_B063_72505D20EFE4_.wvu.Rows" localSheetId="3" hidden="1">'Names of Bidder'!$19:$22</definedName>
    <definedName name="Z_AD0333DF_5B33_49B5_B063_72505D20EFE4_.wvu.Rows" localSheetId="13" hidden="1">'Sch-7'!$62:$180</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Envelope'!$A$1:$F$66</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'Sch-1'!$C$1:$C$35</definedName>
    <definedName name="Z_B96E710B_6DD7_4DE1_95AB_C9EE060CD030_.wvu.FilterData" localSheetId="5" hidden="1">'Sch-2'!$C$1:$C$38</definedName>
    <definedName name="Z_B96E710B_6DD7_4DE1_95AB_C9EE060CD030_.wvu.FilterData" localSheetId="6" hidden="1">'Sch-3'!$C$1:$C$41</definedName>
    <definedName name="Z_B96E710B_6DD7_4DE1_95AB_C9EE060CD030_.wvu.PrintArea" localSheetId="18" hidden="1">'Bid Form 2nd Envelope'!$A$1:$F$66</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'Sch-1'!$A$1:$N$39</definedName>
    <definedName name="Z_B96E710B_6DD7_4DE1_95AB_C9EE060CD030_.wvu.PrintArea" localSheetId="5" hidden="1">'Sch-2'!$A$1:$J$38</definedName>
    <definedName name="Z_B96E710B_6DD7_4DE1_95AB_C9EE060CD030_.wvu.PrintArea" localSheetId="6" hidden="1">'Sch-3'!$A$1:$P$41</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'Sch-3'!$16:$17</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BDFA0401_0547_4E51_8BD2_84F711B066CA_.wvu.Cols" localSheetId="0" hidden="1">Basic!$I:$I</definedName>
    <definedName name="Z_BDFA0401_0547_4E51_8BD2_84F711B066CA_.wvu.Cols" localSheetId="18" hidden="1">'Bid Form 2nd Envelope'!$H:$AO</definedName>
    <definedName name="Z_BDFA0401_0547_4E51_8BD2_84F711B066CA_.wvu.Cols" localSheetId="14" hidden="1">Discount!$H:$L</definedName>
    <definedName name="Z_BDFA0401_0547_4E51_8BD2_84F711B066CA_.wvu.Cols" localSheetId="3" hidden="1">'Names of Bidder'!$H:$H,'Names of Bidder'!$K:$K</definedName>
    <definedName name="Z_BDFA0401_0547_4E51_8BD2_84F711B066CA_.wvu.Cols" localSheetId="21" hidden="1">'N-W (Cr.)'!$A:$O,'N-W (Cr.)'!$T:$DL</definedName>
    <definedName name="Z_BDFA0401_0547_4E51_8BD2_84F711B066CA_.wvu.Cols" localSheetId="4" hidden="1">'Sch-1'!$O:$W</definedName>
    <definedName name="Z_BDFA0401_0547_4E51_8BD2_84F711B066CA_.wvu.Cols" localSheetId="6" hidden="1">'Sch-3'!$Q:$W,'Sch-3'!$AA:$AA</definedName>
    <definedName name="Z_BDFA0401_0547_4E51_8BD2_84F711B066CA_.wvu.Cols" localSheetId="8" hidden="1">'Sch-5'!$F:$T</definedName>
    <definedName name="Z_BDFA0401_0547_4E51_8BD2_84F711B066CA_.wvu.Cols" localSheetId="12" hidden="1">'Sch-6 (After Discount)'!$E:$F</definedName>
    <definedName name="Z_BDFA0401_0547_4E51_8BD2_84F711B066CA_.wvu.Cols" localSheetId="13" hidden="1">'Sch-7'!$AA:$AG</definedName>
    <definedName name="Z_BDFA0401_0547_4E51_8BD2_84F711B066CA_.wvu.FilterData" localSheetId="4" hidden="1">'Sch-1'!$16:$35</definedName>
    <definedName name="Z_BDFA0401_0547_4E51_8BD2_84F711B066CA_.wvu.FilterData" localSheetId="5" hidden="1">'Sch-2'!$A$16:$AF$33</definedName>
    <definedName name="Z_BDFA0401_0547_4E51_8BD2_84F711B066CA_.wvu.PrintArea" localSheetId="18" hidden="1">'Bid Form 2nd Envelope'!$A$1:$F$64</definedName>
    <definedName name="Z_BDFA0401_0547_4E51_8BD2_84F711B066CA_.wvu.PrintArea" localSheetId="14" hidden="1">Discount!$A$2:$G$40</definedName>
    <definedName name="Z_BDFA0401_0547_4E51_8BD2_84F711B066CA_.wvu.PrintArea" localSheetId="16" hidden="1">'Entry Tax'!$A$1:$E$16</definedName>
    <definedName name="Z_BDFA0401_0547_4E51_8BD2_84F711B066CA_.wvu.PrintArea" localSheetId="2" hidden="1">Instructions!$A$1:$C$65</definedName>
    <definedName name="Z_BDFA0401_0547_4E51_8BD2_84F711B066CA_.wvu.PrintArea" localSheetId="3" hidden="1">'Names of Bidder'!$B$1:$G$28</definedName>
    <definedName name="Z_BDFA0401_0547_4E51_8BD2_84F711B066CA_.wvu.PrintArea" localSheetId="15" hidden="1">Octroi!$A$1:$E$16</definedName>
    <definedName name="Z_BDFA0401_0547_4E51_8BD2_84F711B066CA_.wvu.PrintArea" localSheetId="17" hidden="1">'Other Taxes &amp; Duties'!$A$1:$F$16</definedName>
    <definedName name="Z_BDFA0401_0547_4E51_8BD2_84F711B066CA_.wvu.PrintArea" localSheetId="4" hidden="1">'Sch-1'!$A$1:$N$39</definedName>
    <definedName name="Z_BDFA0401_0547_4E51_8BD2_84F711B066CA_.wvu.PrintArea" localSheetId="5" hidden="1">'Sch-2'!$A$1:$J$36</definedName>
    <definedName name="Z_BDFA0401_0547_4E51_8BD2_84F711B066CA_.wvu.PrintArea" localSheetId="6" hidden="1">'Sch-3'!$A$1:$P$39</definedName>
    <definedName name="Z_BDFA0401_0547_4E51_8BD2_84F711B066CA_.wvu.PrintArea" localSheetId="7" hidden="1">'Sch-4'!$A$1:$P$26</definedName>
    <definedName name="Z_BDFA0401_0547_4E51_8BD2_84F711B066CA_.wvu.PrintArea" localSheetId="8" hidden="1">'Sch-5'!$A$1:$E$23</definedName>
    <definedName name="Z_BDFA0401_0547_4E51_8BD2_84F711B066CA_.wvu.PrintArea" localSheetId="9" hidden="1">'Sch-5 after discount'!$A$1:$E$23</definedName>
    <definedName name="Z_BDFA0401_0547_4E51_8BD2_84F711B066CA_.wvu.PrintArea" localSheetId="10" hidden="1">'Sch-6'!$A$1:$D$32</definedName>
    <definedName name="Z_BDFA0401_0547_4E51_8BD2_84F711B066CA_.wvu.PrintArea" localSheetId="12" hidden="1">'Sch-6 (After Discount)'!$A$1:$D$32</definedName>
    <definedName name="Z_BDFA0401_0547_4E51_8BD2_84F711B066CA_.wvu.PrintArea" localSheetId="11" hidden="1">'Sch-6 After Discount'!$A$1:$D$31</definedName>
    <definedName name="Z_BDFA0401_0547_4E51_8BD2_84F711B066CA_.wvu.PrintArea" localSheetId="13" hidden="1">'Sch-7'!$A$1:$M$22</definedName>
    <definedName name="Z_BDFA0401_0547_4E51_8BD2_84F711B066CA_.wvu.PrintTitles" localSheetId="4" hidden="1">'Sch-1'!$15:$16</definedName>
    <definedName name="Z_BDFA0401_0547_4E51_8BD2_84F711B066CA_.wvu.PrintTitles" localSheetId="5" hidden="1">'Sch-2'!$15:$16</definedName>
    <definedName name="Z_BDFA0401_0547_4E51_8BD2_84F711B066CA_.wvu.PrintTitles" localSheetId="6" hidden="1">'Sch-3'!$16:$17</definedName>
    <definedName name="Z_BDFA0401_0547_4E51_8BD2_84F711B066CA_.wvu.PrintTitles" localSheetId="8" hidden="1">'Sch-5'!$3:$14</definedName>
    <definedName name="Z_BDFA0401_0547_4E51_8BD2_84F711B066CA_.wvu.PrintTitles" localSheetId="9" hidden="1">'Sch-5 after discount'!$3:$14</definedName>
    <definedName name="Z_BDFA0401_0547_4E51_8BD2_84F711B066CA_.wvu.PrintTitles" localSheetId="10" hidden="1">'Sch-6'!$3:$14</definedName>
    <definedName name="Z_BDFA0401_0547_4E51_8BD2_84F711B066CA_.wvu.PrintTitles" localSheetId="12" hidden="1">'Sch-6 (After Discount)'!$3:$14</definedName>
    <definedName name="Z_BDFA0401_0547_4E51_8BD2_84F711B066CA_.wvu.PrintTitles" localSheetId="11" hidden="1">'Sch-6 After Discount'!$3:$13</definedName>
    <definedName name="Z_BDFA0401_0547_4E51_8BD2_84F711B066CA_.wvu.Rows" localSheetId="1" hidden="1">Cover!$7:$7</definedName>
    <definedName name="Z_BDFA0401_0547_4E51_8BD2_84F711B066CA_.wvu.Rows" localSheetId="14" hidden="1">Discount!$29:$32</definedName>
    <definedName name="Z_BDFA0401_0547_4E51_8BD2_84F711B066CA_.wvu.Rows" localSheetId="3" hidden="1">'Names of Bidder'!$19:$22</definedName>
    <definedName name="Z_BDFA0401_0547_4E51_8BD2_84F711B066CA_.wvu.Rows" localSheetId="13" hidden="1">'Sch-7'!$62:$180</definedName>
    <definedName name="Z_BE68641D_0C1E_4F8D_890A_A660C199187C_.wvu.Cols" localSheetId="0" hidden="1">Basic!$I:$I</definedName>
    <definedName name="Z_BE68641D_0C1E_4F8D_890A_A660C199187C_.wvu.Cols" localSheetId="18" hidden="1">'Bid Form 2nd Envelope'!$H:$AO</definedName>
    <definedName name="Z_BE68641D_0C1E_4F8D_890A_A660C199187C_.wvu.Cols" localSheetId="14" hidden="1">Discount!$H:$L</definedName>
    <definedName name="Z_BE68641D_0C1E_4F8D_890A_A660C199187C_.wvu.Cols" localSheetId="3" hidden="1">'Names of Bidder'!$H:$H,'Names of Bidder'!$K:$K</definedName>
    <definedName name="Z_BE68641D_0C1E_4F8D_890A_A660C199187C_.wvu.Cols" localSheetId="21" hidden="1">'N-W (Cr.)'!$A:$O,'N-W (Cr.)'!$T:$DL</definedName>
    <definedName name="Z_BE68641D_0C1E_4F8D_890A_A660C199187C_.wvu.Cols" localSheetId="4" hidden="1">'Sch-1'!$O:$AB</definedName>
    <definedName name="Z_BE68641D_0C1E_4F8D_890A_A660C199187C_.wvu.Cols" localSheetId="6" hidden="1">'Sch-3'!$Q:$AC</definedName>
    <definedName name="Z_BE68641D_0C1E_4F8D_890A_A660C199187C_.wvu.Cols" localSheetId="8" hidden="1">'Sch-5'!$F:$T</definedName>
    <definedName name="Z_BE68641D_0C1E_4F8D_890A_A660C199187C_.wvu.Cols" localSheetId="12" hidden="1">'Sch-6 (After Discount)'!$E:$F</definedName>
    <definedName name="Z_BE68641D_0C1E_4F8D_890A_A660C199187C_.wvu.Cols" localSheetId="13" hidden="1">'Sch-7'!$AA:$AG</definedName>
    <definedName name="Z_BE68641D_0C1E_4F8D_890A_A660C199187C_.wvu.FilterData" localSheetId="4" hidden="1">'Sch-1'!$16:$35</definedName>
    <definedName name="Z_BE68641D_0C1E_4F8D_890A_A660C199187C_.wvu.FilterData" localSheetId="5" hidden="1">'Sch-2'!$A$16:$AF$33</definedName>
    <definedName name="Z_BE68641D_0C1E_4F8D_890A_A660C199187C_.wvu.PrintArea" localSheetId="18" hidden="1">'Bid Form 2nd Envelope'!$A$1:$F$66</definedName>
    <definedName name="Z_BE68641D_0C1E_4F8D_890A_A660C199187C_.wvu.PrintArea" localSheetId="14" hidden="1">Discount!$A$2:$G$40</definedName>
    <definedName name="Z_BE68641D_0C1E_4F8D_890A_A660C199187C_.wvu.PrintArea" localSheetId="16" hidden="1">'Entry Tax'!$A$1:$E$16</definedName>
    <definedName name="Z_BE68641D_0C1E_4F8D_890A_A660C199187C_.wvu.PrintArea" localSheetId="2" hidden="1">Instructions!$A$1:$C$65</definedName>
    <definedName name="Z_BE68641D_0C1E_4F8D_890A_A660C199187C_.wvu.PrintArea" localSheetId="3" hidden="1">'Names of Bidder'!$B$1:$G$28</definedName>
    <definedName name="Z_BE68641D_0C1E_4F8D_890A_A660C199187C_.wvu.PrintArea" localSheetId="15" hidden="1">Octroi!$A$1:$E$16</definedName>
    <definedName name="Z_BE68641D_0C1E_4F8D_890A_A660C199187C_.wvu.PrintArea" localSheetId="17" hidden="1">'Other Taxes &amp; Duties'!$A$1:$F$16</definedName>
    <definedName name="Z_BE68641D_0C1E_4F8D_890A_A660C199187C_.wvu.PrintArea" localSheetId="4" hidden="1">'Sch-1'!$A$1:$N$39</definedName>
    <definedName name="Z_BE68641D_0C1E_4F8D_890A_A660C199187C_.wvu.PrintArea" localSheetId="5" hidden="1">'Sch-2'!$A$1:$J$36</definedName>
    <definedName name="Z_BE68641D_0C1E_4F8D_890A_A660C199187C_.wvu.PrintArea" localSheetId="6" hidden="1">'Sch-3'!$A$1:$P$39</definedName>
    <definedName name="Z_BE68641D_0C1E_4F8D_890A_A660C199187C_.wvu.PrintArea" localSheetId="7" hidden="1">'Sch-4'!$A$1:$P$26</definedName>
    <definedName name="Z_BE68641D_0C1E_4F8D_890A_A660C199187C_.wvu.PrintArea" localSheetId="8" hidden="1">'Sch-5'!$A$1:$E$23</definedName>
    <definedName name="Z_BE68641D_0C1E_4F8D_890A_A660C199187C_.wvu.PrintArea" localSheetId="9" hidden="1">'Sch-5 after discount'!$A$1:$E$23</definedName>
    <definedName name="Z_BE68641D_0C1E_4F8D_890A_A660C199187C_.wvu.PrintArea" localSheetId="10" hidden="1">'Sch-6'!$A$1:$D$32</definedName>
    <definedName name="Z_BE68641D_0C1E_4F8D_890A_A660C199187C_.wvu.PrintArea" localSheetId="12" hidden="1">'Sch-6 (After Discount)'!$A$1:$D$32</definedName>
    <definedName name="Z_BE68641D_0C1E_4F8D_890A_A660C199187C_.wvu.PrintArea" localSheetId="11" hidden="1">'Sch-6 After Discount'!$A$1:$D$31</definedName>
    <definedName name="Z_BE68641D_0C1E_4F8D_890A_A660C199187C_.wvu.PrintArea" localSheetId="13" hidden="1">'Sch-7'!$A$1:$M$22</definedName>
    <definedName name="Z_BE68641D_0C1E_4F8D_890A_A660C199187C_.wvu.PrintTitles" localSheetId="4" hidden="1">'Sch-1'!$15:$16</definedName>
    <definedName name="Z_BE68641D_0C1E_4F8D_890A_A660C199187C_.wvu.PrintTitles" localSheetId="5" hidden="1">'Sch-2'!$15:$16</definedName>
    <definedName name="Z_BE68641D_0C1E_4F8D_890A_A660C199187C_.wvu.PrintTitles" localSheetId="6" hidden="1">'Sch-3'!$16:$17</definedName>
    <definedName name="Z_BE68641D_0C1E_4F8D_890A_A660C199187C_.wvu.PrintTitles" localSheetId="8" hidden="1">'Sch-5'!$3:$14</definedName>
    <definedName name="Z_BE68641D_0C1E_4F8D_890A_A660C199187C_.wvu.PrintTitles" localSheetId="9" hidden="1">'Sch-5 after discount'!$3:$14</definedName>
    <definedName name="Z_BE68641D_0C1E_4F8D_890A_A660C199187C_.wvu.PrintTitles" localSheetId="10" hidden="1">'Sch-6'!$3:$14</definedName>
    <definedName name="Z_BE68641D_0C1E_4F8D_890A_A660C199187C_.wvu.PrintTitles" localSheetId="12" hidden="1">'Sch-6 (After Discount)'!$3:$14</definedName>
    <definedName name="Z_BE68641D_0C1E_4F8D_890A_A660C199187C_.wvu.PrintTitles" localSheetId="11" hidden="1">'Sch-6 After Discount'!$3:$13</definedName>
    <definedName name="Z_BE68641D_0C1E_4F8D_890A_A660C199187C_.wvu.Rows" localSheetId="1" hidden="1">Cover!$7:$7</definedName>
    <definedName name="Z_BE68641D_0C1E_4F8D_890A_A660C199187C_.wvu.Rows" localSheetId="14" hidden="1">Discount!$29:$32</definedName>
    <definedName name="Z_BE68641D_0C1E_4F8D_890A_A660C199187C_.wvu.Rows" localSheetId="3" hidden="1">'Names of Bidder'!$19:$22</definedName>
    <definedName name="Z_BE68641D_0C1E_4F8D_890A_A660C199187C_.wvu.Rows" localSheetId="13" hidden="1">'Sch-7'!$62:$180</definedName>
    <definedName name="Z_C44C314C_9BEB_403F_A933_6B948E5C1171_.wvu.Cols" localSheetId="0" hidden="1">Basic!$I:$I</definedName>
    <definedName name="Z_C44C314C_9BEB_403F_A933_6B948E5C1171_.wvu.Cols" localSheetId="18" hidden="1">'Bid Form 2nd Envelope'!$H:$AO</definedName>
    <definedName name="Z_C44C314C_9BEB_403F_A933_6B948E5C1171_.wvu.Cols" localSheetId="14" hidden="1">Discount!$H:$L</definedName>
    <definedName name="Z_C44C314C_9BEB_403F_A933_6B948E5C1171_.wvu.Cols" localSheetId="3" hidden="1">'Names of Bidder'!$H:$H,'Names of Bidder'!$K:$K</definedName>
    <definedName name="Z_C44C314C_9BEB_403F_A933_6B948E5C1171_.wvu.Cols" localSheetId="21" hidden="1">'N-W (Cr.)'!$A:$O,'N-W (Cr.)'!$T:$DL</definedName>
    <definedName name="Z_C44C314C_9BEB_403F_A933_6B948E5C1171_.wvu.Cols" localSheetId="4" hidden="1">'Sch-1'!$O:$AB</definedName>
    <definedName name="Z_C44C314C_9BEB_403F_A933_6B948E5C1171_.wvu.Cols" localSheetId="6" hidden="1">'Sch-3'!$Q:$AC</definedName>
    <definedName name="Z_C44C314C_9BEB_403F_A933_6B948E5C1171_.wvu.Cols" localSheetId="8" hidden="1">'Sch-5'!$F:$T</definedName>
    <definedName name="Z_C44C314C_9BEB_403F_A933_6B948E5C1171_.wvu.Cols" localSheetId="12" hidden="1">'Sch-6 (After Discount)'!$E:$F</definedName>
    <definedName name="Z_C44C314C_9BEB_403F_A933_6B948E5C1171_.wvu.Cols" localSheetId="13" hidden="1">'Sch-7'!$AA:$AG</definedName>
    <definedName name="Z_C44C314C_9BEB_403F_A933_6B948E5C1171_.wvu.FilterData" localSheetId="4" hidden="1">'Sch-1'!$16:$35</definedName>
    <definedName name="Z_C44C314C_9BEB_403F_A933_6B948E5C1171_.wvu.FilterData" localSheetId="5" hidden="1">'Sch-2'!$A$16:$AF$33</definedName>
    <definedName name="Z_C44C314C_9BEB_403F_A933_6B948E5C1171_.wvu.PrintArea" localSheetId="18" hidden="1">'Bid Form 2nd Envelope'!$A$1:$F$66</definedName>
    <definedName name="Z_C44C314C_9BEB_403F_A933_6B948E5C1171_.wvu.PrintArea" localSheetId="14" hidden="1">Discount!$A$2:$G$40</definedName>
    <definedName name="Z_C44C314C_9BEB_403F_A933_6B948E5C1171_.wvu.PrintArea" localSheetId="16" hidden="1">'Entry Tax'!$A$1:$E$16</definedName>
    <definedName name="Z_C44C314C_9BEB_403F_A933_6B948E5C1171_.wvu.PrintArea" localSheetId="2" hidden="1">Instructions!$A$1:$C$65</definedName>
    <definedName name="Z_C44C314C_9BEB_403F_A933_6B948E5C1171_.wvu.PrintArea" localSheetId="3" hidden="1">'Names of Bidder'!$B$1:$G$28</definedName>
    <definedName name="Z_C44C314C_9BEB_403F_A933_6B948E5C1171_.wvu.PrintArea" localSheetId="15" hidden="1">Octroi!$A$1:$E$16</definedName>
    <definedName name="Z_C44C314C_9BEB_403F_A933_6B948E5C1171_.wvu.PrintArea" localSheetId="17" hidden="1">'Other Taxes &amp; Duties'!$A$1:$F$16</definedName>
    <definedName name="Z_C44C314C_9BEB_403F_A933_6B948E5C1171_.wvu.PrintArea" localSheetId="4" hidden="1">'Sch-1'!$A$1:$N$39</definedName>
    <definedName name="Z_C44C314C_9BEB_403F_A933_6B948E5C1171_.wvu.PrintArea" localSheetId="5" hidden="1">'Sch-2'!$A$1:$J$36</definedName>
    <definedName name="Z_C44C314C_9BEB_403F_A933_6B948E5C1171_.wvu.PrintArea" localSheetId="6" hidden="1">'Sch-3'!$A$1:$P$39</definedName>
    <definedName name="Z_C44C314C_9BEB_403F_A933_6B948E5C1171_.wvu.PrintArea" localSheetId="7" hidden="1">'Sch-4'!$A$1:$P$26</definedName>
    <definedName name="Z_C44C314C_9BEB_403F_A933_6B948E5C1171_.wvu.PrintArea" localSheetId="8" hidden="1">'Sch-5'!$A$1:$E$23</definedName>
    <definedName name="Z_C44C314C_9BEB_403F_A933_6B948E5C1171_.wvu.PrintArea" localSheetId="9" hidden="1">'Sch-5 after discount'!$A$1:$E$23</definedName>
    <definedName name="Z_C44C314C_9BEB_403F_A933_6B948E5C1171_.wvu.PrintArea" localSheetId="10" hidden="1">'Sch-6'!$A$1:$D$32</definedName>
    <definedName name="Z_C44C314C_9BEB_403F_A933_6B948E5C1171_.wvu.PrintArea" localSheetId="12" hidden="1">'Sch-6 (After Discount)'!$A$1:$D$32</definedName>
    <definedName name="Z_C44C314C_9BEB_403F_A933_6B948E5C1171_.wvu.PrintArea" localSheetId="11" hidden="1">'Sch-6 After Discount'!$A$1:$D$31</definedName>
    <definedName name="Z_C44C314C_9BEB_403F_A933_6B948E5C1171_.wvu.PrintArea" localSheetId="13" hidden="1">'Sch-7'!$A$1:$M$22</definedName>
    <definedName name="Z_C44C314C_9BEB_403F_A933_6B948E5C1171_.wvu.PrintTitles" localSheetId="4" hidden="1">'Sch-1'!$15:$16</definedName>
    <definedName name="Z_C44C314C_9BEB_403F_A933_6B948E5C1171_.wvu.PrintTitles" localSheetId="5" hidden="1">'Sch-2'!$15:$16</definedName>
    <definedName name="Z_C44C314C_9BEB_403F_A933_6B948E5C1171_.wvu.PrintTitles" localSheetId="6" hidden="1">'Sch-3'!$16:$17</definedName>
    <definedName name="Z_C44C314C_9BEB_403F_A933_6B948E5C1171_.wvu.PrintTitles" localSheetId="8" hidden="1">'Sch-5'!$3:$14</definedName>
    <definedName name="Z_C44C314C_9BEB_403F_A933_6B948E5C1171_.wvu.PrintTitles" localSheetId="9" hidden="1">'Sch-5 after discount'!$3:$14</definedName>
    <definedName name="Z_C44C314C_9BEB_403F_A933_6B948E5C1171_.wvu.PrintTitles" localSheetId="10" hidden="1">'Sch-6'!$3:$14</definedName>
    <definedName name="Z_C44C314C_9BEB_403F_A933_6B948E5C1171_.wvu.PrintTitles" localSheetId="12" hidden="1">'Sch-6 (After Discount)'!$3:$14</definedName>
    <definedName name="Z_C44C314C_9BEB_403F_A933_6B948E5C1171_.wvu.PrintTitles" localSheetId="11" hidden="1">'Sch-6 After Discount'!$3:$13</definedName>
    <definedName name="Z_C44C314C_9BEB_403F_A933_6B948E5C1171_.wvu.Rows" localSheetId="1" hidden="1">Cover!$7:$7</definedName>
    <definedName name="Z_C44C314C_9BEB_403F_A933_6B948E5C1171_.wvu.Rows" localSheetId="14" hidden="1">Discount!$29:$32</definedName>
    <definedName name="Z_C44C314C_9BEB_403F_A933_6B948E5C1171_.wvu.Rows" localSheetId="3" hidden="1">'Names of Bidder'!$19:$22</definedName>
    <definedName name="Z_C44C314C_9BEB_403F_A933_6B948E5C1171_.wvu.Rows" localSheetId="13" hidden="1">'Sch-7'!$62:$180</definedName>
    <definedName name="Z_C5506FC7_8A4D_43D0_A0D5_B323816310B7_.wvu.Cols" localSheetId="21"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'Sch-1'!$16:$35</definedName>
    <definedName name="Z_CCA37BAE_906F_43D5_9FD9_B13563E4B9D7_.wvu.FilterData" localSheetId="5" hidden="1">'Sch-2'!$A$16:$AF$33</definedName>
    <definedName name="Z_CCA37BAE_906F_43D5_9FD9_B13563E4B9D7_.wvu.PrintArea" localSheetId="18" hidden="1">'Bid Form 2nd Envelope'!$A$1:$F$66</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'Sch-1'!$A$1:$N$39</definedName>
    <definedName name="Z_CCA37BAE_906F_43D5_9FD9_B13563E4B9D7_.wvu.PrintArea" localSheetId="5" hidden="1">'Sch-2'!$A$1:$J$36</definedName>
    <definedName name="Z_CCA37BAE_906F_43D5_9FD9_B13563E4B9D7_.wvu.PrintArea" localSheetId="6" hidden="1">'Sch-3'!$A$1:$P$39</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'Sch-3'!$16:$17</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DEF6DCE2_4A74_4BE5_B5D5_8143DC3F770A_.wvu.Cols" localSheetId="0" hidden="1">Basic!$I:$I</definedName>
    <definedName name="Z_DEF6DCE2_4A74_4BE5_B5D5_8143DC3F770A_.wvu.Cols" localSheetId="18" hidden="1">'Bid Form 2nd Envelope'!$H:$AO</definedName>
    <definedName name="Z_DEF6DCE2_4A74_4BE5_B5D5_8143DC3F770A_.wvu.Cols" localSheetId="14" hidden="1">Discount!$H:$L</definedName>
    <definedName name="Z_DEF6DCE2_4A74_4BE5_B5D5_8143DC3F770A_.wvu.Cols" localSheetId="3" hidden="1">'Names of Bidder'!$H:$H,'Names of Bidder'!$K:$K</definedName>
    <definedName name="Z_DEF6DCE2_4A74_4BE5_B5D5_8143DC3F770A_.wvu.Cols" localSheetId="21" hidden="1">'N-W (Cr.)'!$A:$O,'N-W (Cr.)'!$T:$DL</definedName>
    <definedName name="Z_DEF6DCE2_4A74_4BE5_B5D5_8143DC3F770A_.wvu.Cols" localSheetId="4" hidden="1">'Sch-1'!$O:$T,'Sch-1'!$X:$AK</definedName>
    <definedName name="Z_DEF6DCE2_4A74_4BE5_B5D5_8143DC3F770A_.wvu.Cols" localSheetId="6" hidden="1">'Sch-3'!$Q:$Z</definedName>
    <definedName name="Z_DEF6DCE2_4A74_4BE5_B5D5_8143DC3F770A_.wvu.Cols" localSheetId="8" hidden="1">'Sch-5'!$F:$T</definedName>
    <definedName name="Z_DEF6DCE2_4A74_4BE5_B5D5_8143DC3F770A_.wvu.Cols" localSheetId="12" hidden="1">'Sch-6 (After Discount)'!$E:$F</definedName>
    <definedName name="Z_DEF6DCE2_4A74_4BE5_B5D5_8143DC3F770A_.wvu.Cols" localSheetId="13" hidden="1">'Sch-7'!$AA:$AG</definedName>
    <definedName name="Z_DEF6DCE2_4A74_4BE5_B5D5_8143DC3F770A_.wvu.FilterData" localSheetId="4" hidden="1">'Sch-1'!$16:$35</definedName>
    <definedName name="Z_DEF6DCE2_4A74_4BE5_B5D5_8143DC3F770A_.wvu.FilterData" localSheetId="5" hidden="1">'Sch-2'!$A$16:$AF$33</definedName>
    <definedName name="Z_DEF6DCE2_4A74_4BE5_B5D5_8143DC3F770A_.wvu.PrintArea" localSheetId="18" hidden="1">'Bid Form 2nd Envelope'!$A$1:$F$66</definedName>
    <definedName name="Z_DEF6DCE2_4A74_4BE5_B5D5_8143DC3F770A_.wvu.PrintArea" localSheetId="14" hidden="1">Discount!$A$2:$G$40</definedName>
    <definedName name="Z_DEF6DCE2_4A74_4BE5_B5D5_8143DC3F770A_.wvu.PrintArea" localSheetId="16" hidden="1">'Entry Tax'!$A$1:$E$16</definedName>
    <definedName name="Z_DEF6DCE2_4A74_4BE5_B5D5_8143DC3F770A_.wvu.PrintArea" localSheetId="2" hidden="1">Instructions!$A$1:$C$65</definedName>
    <definedName name="Z_DEF6DCE2_4A74_4BE5_B5D5_8143DC3F770A_.wvu.PrintArea" localSheetId="3" hidden="1">'Names of Bidder'!$B$1:$G$28</definedName>
    <definedName name="Z_DEF6DCE2_4A74_4BE5_B5D5_8143DC3F770A_.wvu.PrintArea" localSheetId="15" hidden="1">Octroi!$A$1:$E$16</definedName>
    <definedName name="Z_DEF6DCE2_4A74_4BE5_B5D5_8143DC3F770A_.wvu.PrintArea" localSheetId="17" hidden="1">'Other Taxes &amp; Duties'!$A$1:$F$16</definedName>
    <definedName name="Z_DEF6DCE2_4A74_4BE5_B5D5_8143DC3F770A_.wvu.PrintArea" localSheetId="4" hidden="1">'Sch-1'!$A$1:$N$39</definedName>
    <definedName name="Z_DEF6DCE2_4A74_4BE5_B5D5_8143DC3F770A_.wvu.PrintArea" localSheetId="5" hidden="1">'Sch-2'!$A$1:$J$36</definedName>
    <definedName name="Z_DEF6DCE2_4A74_4BE5_B5D5_8143DC3F770A_.wvu.PrintArea" localSheetId="6" hidden="1">'Sch-3'!$A$1:$P$39</definedName>
    <definedName name="Z_DEF6DCE2_4A74_4BE5_B5D5_8143DC3F770A_.wvu.PrintArea" localSheetId="7" hidden="1">'Sch-4'!$A$1:$P$26</definedName>
    <definedName name="Z_DEF6DCE2_4A74_4BE5_B5D5_8143DC3F770A_.wvu.PrintArea" localSheetId="8" hidden="1">'Sch-5'!$A$1:$E$23</definedName>
    <definedName name="Z_DEF6DCE2_4A74_4BE5_B5D5_8143DC3F770A_.wvu.PrintArea" localSheetId="9" hidden="1">'Sch-5 after discount'!$A$1:$E$23</definedName>
    <definedName name="Z_DEF6DCE2_4A74_4BE5_B5D5_8143DC3F770A_.wvu.PrintArea" localSheetId="10" hidden="1">'Sch-6'!$A$1:$D$32</definedName>
    <definedName name="Z_DEF6DCE2_4A74_4BE5_B5D5_8143DC3F770A_.wvu.PrintArea" localSheetId="12" hidden="1">'Sch-6 (After Discount)'!$A$1:$D$32</definedName>
    <definedName name="Z_DEF6DCE2_4A74_4BE5_B5D5_8143DC3F770A_.wvu.PrintArea" localSheetId="11" hidden="1">'Sch-6 After Discount'!$A$1:$D$31</definedName>
    <definedName name="Z_DEF6DCE2_4A74_4BE5_B5D5_8143DC3F770A_.wvu.PrintArea" localSheetId="13" hidden="1">'Sch-7'!$A$1:$M$22</definedName>
    <definedName name="Z_DEF6DCE2_4A74_4BE5_B5D5_8143DC3F770A_.wvu.PrintTitles" localSheetId="4" hidden="1">'Sch-1'!$15:$16</definedName>
    <definedName name="Z_DEF6DCE2_4A74_4BE5_B5D5_8143DC3F770A_.wvu.PrintTitles" localSheetId="5" hidden="1">'Sch-2'!$15:$16</definedName>
    <definedName name="Z_DEF6DCE2_4A74_4BE5_B5D5_8143DC3F770A_.wvu.PrintTitles" localSheetId="6" hidden="1">'Sch-3'!$16:$17</definedName>
    <definedName name="Z_DEF6DCE2_4A74_4BE5_B5D5_8143DC3F770A_.wvu.PrintTitles" localSheetId="8" hidden="1">'Sch-5'!$3:$14</definedName>
    <definedName name="Z_DEF6DCE2_4A74_4BE5_B5D5_8143DC3F770A_.wvu.PrintTitles" localSheetId="9" hidden="1">'Sch-5 after discount'!$3:$14</definedName>
    <definedName name="Z_DEF6DCE2_4A74_4BE5_B5D5_8143DC3F770A_.wvu.PrintTitles" localSheetId="10" hidden="1">'Sch-6'!$3:$14</definedName>
    <definedName name="Z_DEF6DCE2_4A74_4BE5_B5D5_8143DC3F770A_.wvu.PrintTitles" localSheetId="12" hidden="1">'Sch-6 (After Discount)'!$3:$14</definedName>
    <definedName name="Z_DEF6DCE2_4A74_4BE5_B5D5_8143DC3F770A_.wvu.PrintTitles" localSheetId="11" hidden="1">'Sch-6 After Discount'!$3:$13</definedName>
    <definedName name="Z_DEF6DCE2_4A74_4BE5_B5D5_8143DC3F770A_.wvu.Rows" localSheetId="1" hidden="1">Cover!$7:$7</definedName>
    <definedName name="Z_DEF6DCE2_4A74_4BE5_B5D5_8143DC3F770A_.wvu.Rows" localSheetId="14" hidden="1">Discount!$29:$32</definedName>
    <definedName name="Z_DEF6DCE2_4A74_4BE5_B5D5_8143DC3F770A_.wvu.Rows" localSheetId="3" hidden="1">'Names of Bidder'!$19:$22</definedName>
    <definedName name="Z_DEF6DCE2_4A74_4BE5_B5D5_8143DC3F770A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Envelope'!$A$1:$F$66</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Envelope'!$A$1:$F$66</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658ED72_5E54_4C5B_BB2C_7A2962080984_.wvu.Cols" localSheetId="0" hidden="1">Basic!$I:$I</definedName>
    <definedName name="Z_F658ED72_5E54_4C5B_BB2C_7A2962080984_.wvu.Cols" localSheetId="18" hidden="1">'Bid Form 2nd Envelope'!$H:$AO</definedName>
    <definedName name="Z_F658ED72_5E54_4C5B_BB2C_7A2962080984_.wvu.Cols" localSheetId="14" hidden="1">Discount!$H:$L</definedName>
    <definedName name="Z_F658ED72_5E54_4C5B_BB2C_7A2962080984_.wvu.Cols" localSheetId="3" hidden="1">'Names of Bidder'!$H:$H,'Names of Bidder'!$K:$K</definedName>
    <definedName name="Z_F658ED72_5E54_4C5B_BB2C_7A2962080984_.wvu.Cols" localSheetId="21" hidden="1">'N-W (Cr.)'!$A:$O,'N-W (Cr.)'!$T:$DL</definedName>
    <definedName name="Z_F658ED72_5E54_4C5B_BB2C_7A2962080984_.wvu.Cols" localSheetId="4" hidden="1">'Sch-1'!$O:$T,'Sch-1'!$X:$AK</definedName>
    <definedName name="Z_F658ED72_5E54_4C5B_BB2C_7A2962080984_.wvu.Cols" localSheetId="6" hidden="1">'Sch-3'!$Q:$Z</definedName>
    <definedName name="Z_F658ED72_5E54_4C5B_BB2C_7A2962080984_.wvu.Cols" localSheetId="8" hidden="1">'Sch-5'!$F:$T</definedName>
    <definedName name="Z_F658ED72_5E54_4C5B_BB2C_7A2962080984_.wvu.Cols" localSheetId="12" hidden="1">'Sch-6 (After Discount)'!$E:$F</definedName>
    <definedName name="Z_F658ED72_5E54_4C5B_BB2C_7A2962080984_.wvu.Cols" localSheetId="13" hidden="1">'Sch-7'!$AA:$AG</definedName>
    <definedName name="Z_F658ED72_5E54_4C5B_BB2C_7A2962080984_.wvu.FilterData" localSheetId="4" hidden="1">'Sch-1'!$16:$35</definedName>
    <definedName name="Z_F658ED72_5E54_4C5B_BB2C_7A2962080984_.wvu.FilterData" localSheetId="5" hidden="1">'Sch-2'!$A$16:$AF$33</definedName>
    <definedName name="Z_F658ED72_5E54_4C5B_BB2C_7A2962080984_.wvu.PrintArea" localSheetId="18" hidden="1">'Bid Form 2nd Envelope'!$A$1:$F$66</definedName>
    <definedName name="Z_F658ED72_5E54_4C5B_BB2C_7A2962080984_.wvu.PrintArea" localSheetId="14" hidden="1">Discount!$A$2:$G$40</definedName>
    <definedName name="Z_F658ED72_5E54_4C5B_BB2C_7A2962080984_.wvu.PrintArea" localSheetId="16" hidden="1">'Entry Tax'!$A$1:$E$16</definedName>
    <definedName name="Z_F658ED72_5E54_4C5B_BB2C_7A2962080984_.wvu.PrintArea" localSheetId="2" hidden="1">Instructions!$A$1:$C$65</definedName>
    <definedName name="Z_F658ED72_5E54_4C5B_BB2C_7A2962080984_.wvu.PrintArea" localSheetId="3" hidden="1">'Names of Bidder'!$B$1:$G$28</definedName>
    <definedName name="Z_F658ED72_5E54_4C5B_BB2C_7A2962080984_.wvu.PrintArea" localSheetId="15" hidden="1">Octroi!$A$1:$E$16</definedName>
    <definedName name="Z_F658ED72_5E54_4C5B_BB2C_7A2962080984_.wvu.PrintArea" localSheetId="17" hidden="1">'Other Taxes &amp; Duties'!$A$1:$F$16</definedName>
    <definedName name="Z_F658ED72_5E54_4C5B_BB2C_7A2962080984_.wvu.PrintArea" localSheetId="4" hidden="1">'Sch-1'!$A$1:$N$39</definedName>
    <definedName name="Z_F658ED72_5E54_4C5B_BB2C_7A2962080984_.wvu.PrintArea" localSheetId="5" hidden="1">'Sch-2'!$A$1:$J$36</definedName>
    <definedName name="Z_F658ED72_5E54_4C5B_BB2C_7A2962080984_.wvu.PrintArea" localSheetId="6" hidden="1">'Sch-3'!$A$1:$P$39</definedName>
    <definedName name="Z_F658ED72_5E54_4C5B_BB2C_7A2962080984_.wvu.PrintArea" localSheetId="7" hidden="1">'Sch-4'!$A$1:$P$26</definedName>
    <definedName name="Z_F658ED72_5E54_4C5B_BB2C_7A2962080984_.wvu.PrintArea" localSheetId="8" hidden="1">'Sch-5'!$A$1:$E$23</definedName>
    <definedName name="Z_F658ED72_5E54_4C5B_BB2C_7A2962080984_.wvu.PrintArea" localSheetId="9" hidden="1">'Sch-5 after discount'!$A$1:$E$23</definedName>
    <definedName name="Z_F658ED72_5E54_4C5B_BB2C_7A2962080984_.wvu.PrintArea" localSheetId="10" hidden="1">'Sch-6'!$A$1:$D$32</definedName>
    <definedName name="Z_F658ED72_5E54_4C5B_BB2C_7A2962080984_.wvu.PrintArea" localSheetId="12" hidden="1">'Sch-6 (After Discount)'!$A$1:$D$32</definedName>
    <definedName name="Z_F658ED72_5E54_4C5B_BB2C_7A2962080984_.wvu.PrintArea" localSheetId="11" hidden="1">'Sch-6 After Discount'!$A$1:$D$31</definedName>
    <definedName name="Z_F658ED72_5E54_4C5B_BB2C_7A2962080984_.wvu.PrintArea" localSheetId="13" hidden="1">'Sch-7'!$A$1:$M$22</definedName>
    <definedName name="Z_F658ED72_5E54_4C5B_BB2C_7A2962080984_.wvu.PrintTitles" localSheetId="4" hidden="1">'Sch-1'!$15:$16</definedName>
    <definedName name="Z_F658ED72_5E54_4C5B_BB2C_7A2962080984_.wvu.PrintTitles" localSheetId="5" hidden="1">'Sch-2'!$15:$16</definedName>
    <definedName name="Z_F658ED72_5E54_4C5B_BB2C_7A2962080984_.wvu.PrintTitles" localSheetId="6" hidden="1">'Sch-3'!$16:$17</definedName>
    <definedName name="Z_F658ED72_5E54_4C5B_BB2C_7A2962080984_.wvu.PrintTitles" localSheetId="8" hidden="1">'Sch-5'!$3:$14</definedName>
    <definedName name="Z_F658ED72_5E54_4C5B_BB2C_7A2962080984_.wvu.PrintTitles" localSheetId="9" hidden="1">'Sch-5 after discount'!$3:$14</definedName>
    <definedName name="Z_F658ED72_5E54_4C5B_BB2C_7A2962080984_.wvu.PrintTitles" localSheetId="10" hidden="1">'Sch-6'!$3:$14</definedName>
    <definedName name="Z_F658ED72_5E54_4C5B_BB2C_7A2962080984_.wvu.PrintTitles" localSheetId="12" hidden="1">'Sch-6 (After Discount)'!$3:$14</definedName>
    <definedName name="Z_F658ED72_5E54_4C5B_BB2C_7A2962080984_.wvu.PrintTitles" localSheetId="11" hidden="1">'Sch-6 After Discount'!$3:$13</definedName>
    <definedName name="Z_F658ED72_5E54_4C5B_BB2C_7A2962080984_.wvu.Rows" localSheetId="1" hidden="1">Cover!$7:$7</definedName>
    <definedName name="Z_F658ED72_5E54_4C5B_BB2C_7A2962080984_.wvu.Rows" localSheetId="14" hidden="1">Discount!$29:$32</definedName>
    <definedName name="Z_F658ED72_5E54_4C5B_BB2C_7A2962080984_.wvu.Rows" localSheetId="3" hidden="1">'Names of Bidder'!$19:$22</definedName>
    <definedName name="Z_F658ED72_5E54_4C5B_BB2C_7A2962080984_.wvu.Rows" localSheetId="13" hidden="1">'Sch-7'!$62:$180</definedName>
    <definedName name="Z_F8A50AE1_259E_429D_A506_38EB64D134EF_.wvu.Cols" localSheetId="0" hidden="1">Basic!$I:$I</definedName>
    <definedName name="Z_F8A50AE1_259E_429D_A506_38EB64D134EF_.wvu.Cols" localSheetId="18" hidden="1">'Bid Form 2nd Envelope'!$H:$AO</definedName>
    <definedName name="Z_F8A50AE1_259E_429D_A506_38EB64D134EF_.wvu.Cols" localSheetId="14" hidden="1">Discount!$H:$L</definedName>
    <definedName name="Z_F8A50AE1_259E_429D_A506_38EB64D134EF_.wvu.Cols" localSheetId="3" hidden="1">'Names of Bidder'!$H:$H,'Names of Bidder'!$K:$K</definedName>
    <definedName name="Z_F8A50AE1_259E_429D_A506_38EB64D134EF_.wvu.Cols" localSheetId="21" hidden="1">'N-W (Cr.)'!$A:$O,'N-W (Cr.)'!$T:$DL</definedName>
    <definedName name="Z_F8A50AE1_259E_429D_A506_38EB64D134EF_.wvu.Cols" localSheetId="4" hidden="1">'Sch-1'!$O:$T,'Sch-1'!$X:$AK</definedName>
    <definedName name="Z_F8A50AE1_259E_429D_A506_38EB64D134EF_.wvu.Cols" localSheetId="6" hidden="1">'Sch-3'!$Q:$Z</definedName>
    <definedName name="Z_F8A50AE1_259E_429D_A506_38EB64D134EF_.wvu.Cols" localSheetId="8" hidden="1">'Sch-5'!$F:$T</definedName>
    <definedName name="Z_F8A50AE1_259E_429D_A506_38EB64D134EF_.wvu.Cols" localSheetId="12" hidden="1">'Sch-6 (After Discount)'!$E:$F</definedName>
    <definedName name="Z_F8A50AE1_259E_429D_A506_38EB64D134EF_.wvu.Cols" localSheetId="13" hidden="1">'Sch-7'!$AA:$AG</definedName>
    <definedName name="Z_F8A50AE1_259E_429D_A506_38EB64D134EF_.wvu.FilterData" localSheetId="4" hidden="1">'Sch-1'!$16:$35</definedName>
    <definedName name="Z_F8A50AE1_259E_429D_A506_38EB64D134EF_.wvu.FilterData" localSheetId="5" hidden="1">'Sch-2'!$A$16:$AF$33</definedName>
    <definedName name="Z_F8A50AE1_259E_429D_A506_38EB64D134EF_.wvu.PrintArea" localSheetId="18" hidden="1">'Bid Form 2nd Envelope'!$A$1:$F$66</definedName>
    <definedName name="Z_F8A50AE1_259E_429D_A506_38EB64D134EF_.wvu.PrintArea" localSheetId="14" hidden="1">Discount!$A$2:$G$40</definedName>
    <definedName name="Z_F8A50AE1_259E_429D_A506_38EB64D134EF_.wvu.PrintArea" localSheetId="16" hidden="1">'Entry Tax'!$A$1:$E$16</definedName>
    <definedName name="Z_F8A50AE1_259E_429D_A506_38EB64D134EF_.wvu.PrintArea" localSheetId="2" hidden="1">Instructions!$A$1:$C$65</definedName>
    <definedName name="Z_F8A50AE1_259E_429D_A506_38EB64D134EF_.wvu.PrintArea" localSheetId="3" hidden="1">'Names of Bidder'!$B$1:$G$28</definedName>
    <definedName name="Z_F8A50AE1_259E_429D_A506_38EB64D134EF_.wvu.PrintArea" localSheetId="15" hidden="1">Octroi!$A$1:$E$16</definedName>
    <definedName name="Z_F8A50AE1_259E_429D_A506_38EB64D134EF_.wvu.PrintArea" localSheetId="17" hidden="1">'Other Taxes &amp; Duties'!$A$1:$F$16</definedName>
    <definedName name="Z_F8A50AE1_259E_429D_A506_38EB64D134EF_.wvu.PrintArea" localSheetId="4" hidden="1">'Sch-1'!$A$1:$N$39</definedName>
    <definedName name="Z_F8A50AE1_259E_429D_A506_38EB64D134EF_.wvu.PrintArea" localSheetId="5" hidden="1">'Sch-2'!$A$1:$J$36</definedName>
    <definedName name="Z_F8A50AE1_259E_429D_A506_38EB64D134EF_.wvu.PrintArea" localSheetId="6" hidden="1">'Sch-3'!$A$1:$P$39</definedName>
    <definedName name="Z_F8A50AE1_259E_429D_A506_38EB64D134EF_.wvu.PrintArea" localSheetId="7" hidden="1">'Sch-4'!$A$1:$P$26</definedName>
    <definedName name="Z_F8A50AE1_259E_429D_A506_38EB64D134EF_.wvu.PrintArea" localSheetId="8" hidden="1">'Sch-5'!$A$1:$E$23</definedName>
    <definedName name="Z_F8A50AE1_259E_429D_A506_38EB64D134EF_.wvu.PrintArea" localSheetId="9" hidden="1">'Sch-5 after discount'!$A$1:$E$23</definedName>
    <definedName name="Z_F8A50AE1_259E_429D_A506_38EB64D134EF_.wvu.PrintArea" localSheetId="10" hidden="1">'Sch-6'!$A$1:$D$32</definedName>
    <definedName name="Z_F8A50AE1_259E_429D_A506_38EB64D134EF_.wvu.PrintArea" localSheetId="12" hidden="1">'Sch-6 (After Discount)'!$A$1:$D$32</definedName>
    <definedName name="Z_F8A50AE1_259E_429D_A506_38EB64D134EF_.wvu.PrintArea" localSheetId="11" hidden="1">'Sch-6 After Discount'!$A$1:$D$31</definedName>
    <definedName name="Z_F8A50AE1_259E_429D_A506_38EB64D134EF_.wvu.PrintArea" localSheetId="13" hidden="1">'Sch-7'!$A$1:$M$22</definedName>
    <definedName name="Z_F8A50AE1_259E_429D_A506_38EB64D134EF_.wvu.PrintTitles" localSheetId="4" hidden="1">'Sch-1'!$15:$16</definedName>
    <definedName name="Z_F8A50AE1_259E_429D_A506_38EB64D134EF_.wvu.PrintTitles" localSheetId="5" hidden="1">'Sch-2'!$15:$16</definedName>
    <definedName name="Z_F8A50AE1_259E_429D_A506_38EB64D134EF_.wvu.PrintTitles" localSheetId="6" hidden="1">'Sch-3'!$16:$17</definedName>
    <definedName name="Z_F8A50AE1_259E_429D_A506_38EB64D134EF_.wvu.PrintTitles" localSheetId="8" hidden="1">'Sch-5'!$3:$14</definedName>
    <definedName name="Z_F8A50AE1_259E_429D_A506_38EB64D134EF_.wvu.PrintTitles" localSheetId="9" hidden="1">'Sch-5 after discount'!$3:$14</definedName>
    <definedName name="Z_F8A50AE1_259E_429D_A506_38EB64D134EF_.wvu.PrintTitles" localSheetId="10" hidden="1">'Sch-6'!$3:$14</definedName>
    <definedName name="Z_F8A50AE1_259E_429D_A506_38EB64D134EF_.wvu.PrintTitles" localSheetId="12" hidden="1">'Sch-6 (After Discount)'!$3:$14</definedName>
    <definedName name="Z_F8A50AE1_259E_429D_A506_38EB64D134EF_.wvu.PrintTitles" localSheetId="11" hidden="1">'Sch-6 After Discount'!$3:$13</definedName>
    <definedName name="Z_F8A50AE1_259E_429D_A506_38EB64D134EF_.wvu.Rows" localSheetId="1" hidden="1">Cover!$7:$7</definedName>
    <definedName name="Z_F8A50AE1_259E_429D_A506_38EB64D134EF_.wvu.Rows" localSheetId="14" hidden="1">Discount!$29:$32</definedName>
    <definedName name="Z_F8A50AE1_259E_429D_A506_38EB64D134EF_.wvu.Rows" localSheetId="3" hidden="1">'Names of Bidder'!$19:$22</definedName>
    <definedName name="Z_F8A50AE1_259E_429D_A506_38EB64D134EF_.wvu.Rows" localSheetId="13" hidden="1">'Sch-7'!$62:$180</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9"/>
  <customWorkbookViews>
    <customWorkbookView name="Siddhant Kumar {सिद्धांत कुमार} - Personal View" guid="{84F40905-A9D3-43A5-987A-8A757D486A94}" mergeInterval="0" personalView="1" maximized="1" xWindow="-8" yWindow="-8" windowWidth="1936" windowHeight="1056" tabRatio="877" activeSheetId="2"/>
    <customWorkbookView name="Ankit Vaishnav {Ankit Vaishnav} - Personal View" guid="{BDFA0401-0547-4E51-8BD2-84F711B066CA}" mergeInterval="0" personalView="1" maximized="1" xWindow="-8" yWindow="-8" windowWidth="1456" windowHeight="876" tabRatio="877" activeSheetId="2"/>
    <customWorkbookView name="Atul Kumar Singh {अतुल कुमार सिंह} - Personal View" guid="{112647D2-7580-431B-99B5-DD512E2AD50E}" mergeInterval="0" personalView="1" maximized="1" xWindow="-8" yWindow="-8" windowWidth="1936" windowHeight="1056" tabRatio="804" activeSheetId="19"/>
    <customWorkbookView name="Rahul {Rahul} - Personal View" guid="{63D51328-7CBC-4A1E-B96D-BAE91416501B}" mergeInterval="0" personalView="1" maximized="1" xWindow="-8" yWindow="-8" windowWidth="1936" windowHeight="1056" tabRatio="670" activeSheetId="19"/>
    <customWorkbookView name="Pankaj Kumar Jangid {पंकज कुमार जांगिड} - Personal View" guid="{99CA2F10-F926-46DC-8609-4EAE5B9F3585}" mergeInterval="0" personalView="1" maximized="1" windowWidth="1916" windowHeight="814" tabRatio="670" activeSheetId="15"/>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Umesh Kumar Yadav {उमेश कुमार यादव} - Personal View" guid="{CCA37BAE-906F-43D5-9FD9-B13563E4B9D7}" mergeInterval="0" personalView="1" maximized="1" windowWidth="1916" windowHeight="814" tabRatio="670" activeSheetId="19" showComments="commIndAndComment"/>
    <customWorkbookView name="Adil Iqbal Khan {Adil Iqbal Khan} - Personal View" guid="{F8A50AE1-259E-429D-A506-38EB64D134EF}" mergeInterval="0" personalView="1" maximized="1" xWindow="-9" yWindow="-9" windowWidth="1938" windowHeight="1048" tabRatio="804" activeSheetId="5"/>
    <customWorkbookView name="Sheel Dave - Personal View" guid="{DEF6DCE2-4A74-4BE5-B5D5-8143DC3F770A}" mergeInterval="0" personalView="1" maximized="1" xWindow="-8" yWindow="-8" windowWidth="1936" windowHeight="1056" tabRatio="804" activeSheetId="5"/>
    <customWorkbookView name="Manish Bilaiya - Personal View" guid="{F658ED72-5E54-4C5B-BB2C-7A2962080984}" mergeInterval="0" personalView="1" maximized="1" xWindow="-9" yWindow="-9" windowWidth="1938" windowHeight="1048" tabRatio="804" activeSheetId="19"/>
    <customWorkbookView name="Chandra Kr. Kamat {चंद्र कुमार कामत} - Personal View" guid="{BE68641D-0C1E-4F8D-890A-A660C199187C}" mergeInterval="0" personalView="1" maximized="1" xWindow="-8" yWindow="-8" windowWidth="1936" windowHeight="1056" tabRatio="804" activeSheetId="8"/>
    <customWorkbookView name="Atul Singh - Personal View" guid="{AD0333DF-5B33-49B5-B063-72505D20EFE4}" mergeInterval="0" personalView="1" maximized="1" windowWidth="1362" windowHeight="542" tabRatio="804" activeSheetId="19"/>
    <customWorkbookView name="Kapil Mandil {कपिल मंडिल} - Personal View" guid="{C44C314C-9BEB-403F-A933-6B948E5C1171}" mergeInterval="0" personalView="1" maximized="1" xWindow="-9" yWindow="-9" windowWidth="1938" windowHeight="1048" tabRatio="804" activeSheetId="19"/>
  </customWorkbookViews>
</workbook>
</file>

<file path=xl/calcChain.xml><?xml version="1.0" encoding="utf-8"?>
<calcChain xmlns="http://schemas.openxmlformats.org/spreadsheetml/2006/main">
  <c r="B30" i="7" l="1"/>
  <c r="B27" i="7"/>
  <c r="B24" i="7"/>
  <c r="B21" i="7"/>
  <c r="B18" i="7"/>
  <c r="B29" i="6" l="1"/>
  <c r="B26" i="6"/>
  <c r="B23" i="6"/>
  <c r="B20" i="6"/>
  <c r="B17" i="6"/>
  <c r="V32" i="7" l="1"/>
  <c r="P32" i="7"/>
  <c r="R32" i="7" s="1"/>
  <c r="V31" i="7"/>
  <c r="P31" i="7"/>
  <c r="Q31" i="7" s="1"/>
  <c r="V29" i="7"/>
  <c r="P29" i="7"/>
  <c r="R29" i="7" s="1"/>
  <c r="V28" i="7"/>
  <c r="P28" i="7"/>
  <c r="Q28" i="7" s="1"/>
  <c r="V26" i="7"/>
  <c r="P26" i="7"/>
  <c r="Q26" i="7" s="1"/>
  <c r="V25" i="7"/>
  <c r="P25" i="7"/>
  <c r="R25" i="7" s="1"/>
  <c r="V23" i="7"/>
  <c r="P23" i="7"/>
  <c r="Q23" i="7" s="1"/>
  <c r="V22" i="7"/>
  <c r="P22" i="7"/>
  <c r="R22" i="7" s="1"/>
  <c r="V20" i="7"/>
  <c r="P20" i="7"/>
  <c r="R20" i="7" s="1"/>
  <c r="R26" i="7" l="1"/>
  <c r="R28" i="7"/>
  <c r="R23" i="7"/>
  <c r="Q32" i="7"/>
  <c r="R31" i="7"/>
  <c r="Q29" i="7"/>
  <c r="Q25" i="7"/>
  <c r="Q22" i="7"/>
  <c r="Q20" i="7"/>
  <c r="J31" i="6" l="1"/>
  <c r="J30" i="6"/>
  <c r="J28" i="6"/>
  <c r="J27" i="6"/>
  <c r="U31" i="5"/>
  <c r="V31" i="5" s="1"/>
  <c r="T31" i="5"/>
  <c r="N31" i="5"/>
  <c r="P31" i="5" s="1"/>
  <c r="U30" i="5"/>
  <c r="V30" i="5" s="1"/>
  <c r="T30" i="5"/>
  <c r="N30" i="5"/>
  <c r="O30" i="5" s="1"/>
  <c r="U28" i="5"/>
  <c r="V28" i="5" s="1"/>
  <c r="T28" i="5"/>
  <c r="N28" i="5"/>
  <c r="P28" i="5" s="1"/>
  <c r="U27" i="5"/>
  <c r="V27" i="5" s="1"/>
  <c r="T27" i="5"/>
  <c r="N27" i="5"/>
  <c r="O27" i="5" s="1"/>
  <c r="O31" i="5" l="1"/>
  <c r="P30" i="5"/>
  <c r="O28" i="5"/>
  <c r="P27" i="5"/>
  <c r="J19" i="6"/>
  <c r="J21" i="6"/>
  <c r="J22" i="6"/>
  <c r="J24" i="6"/>
  <c r="J25" i="6"/>
  <c r="N19" i="5"/>
  <c r="P19" i="5" s="1"/>
  <c r="T19" i="5"/>
  <c r="U19" i="5"/>
  <c r="V19" i="5" s="1"/>
  <c r="N21" i="5"/>
  <c r="O21" i="5" s="1"/>
  <c r="T21" i="5"/>
  <c r="U21" i="5"/>
  <c r="V21" i="5" s="1"/>
  <c r="N22" i="5"/>
  <c r="P22" i="5" s="1"/>
  <c r="T22" i="5"/>
  <c r="U22" i="5"/>
  <c r="V22" i="5" s="1"/>
  <c r="N25" i="5"/>
  <c r="P25" i="5" s="1"/>
  <c r="T25" i="5"/>
  <c r="U25" i="5"/>
  <c r="V25" i="5" s="1"/>
  <c r="N24" i="5"/>
  <c r="O24" i="5" s="1"/>
  <c r="T24" i="5"/>
  <c r="U24" i="5"/>
  <c r="V24" i="5" s="1"/>
  <c r="O25" i="5" l="1"/>
  <c r="O22" i="5"/>
  <c r="P24" i="5"/>
  <c r="O19" i="5"/>
  <c r="P21" i="5"/>
  <c r="T18" i="5" l="1"/>
  <c r="U18" i="5"/>
  <c r="V18" i="5" s="1"/>
  <c r="V32" i="5" l="1"/>
  <c r="U32" i="5"/>
  <c r="T32" i="5"/>
  <c r="V19" i="7" l="1"/>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s="1"/>
  <c r="D129" i="22" s="1"/>
  <c r="A130" i="22"/>
  <c r="B130" i="22" s="1"/>
  <c r="D130" i="22" s="1"/>
  <c r="A131" i="22"/>
  <c r="B131" i="22" s="1"/>
  <c r="D131" i="22" s="1"/>
  <c r="A132" i="22"/>
  <c r="B132" i="22" s="1"/>
  <c r="D132" i="22" s="1"/>
  <c r="H3" i="20"/>
  <c r="H4" i="20"/>
  <c r="H6" i="20"/>
  <c r="B14" i="20"/>
  <c r="B15" i="20"/>
  <c r="E15" i="20"/>
  <c r="G15" i="20"/>
  <c r="E16" i="20"/>
  <c r="K29" i="20"/>
  <c r="Z1" i="19"/>
  <c r="E51" i="19" s="1"/>
  <c r="Z2" i="19"/>
  <c r="C49" i="19" s="1"/>
  <c r="B6" i="19"/>
  <c r="AG6" i="19" s="1"/>
  <c r="A9" i="19"/>
  <c r="A10" i="19"/>
  <c r="A11" i="19"/>
  <c r="A12" i="19"/>
  <c r="A13" i="19"/>
  <c r="H25" i="19"/>
  <c r="A48" i="19" s="1"/>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P19" i="7"/>
  <c r="Q19" i="7" s="1"/>
  <c r="A1" i="6"/>
  <c r="C9" i="6"/>
  <c r="C10" i="6"/>
  <c r="C11" i="6"/>
  <c r="C12" i="6"/>
  <c r="J18" i="6"/>
  <c r="J32" i="6" s="1"/>
  <c r="A1" i="5"/>
  <c r="C9" i="5"/>
  <c r="C10" i="5"/>
  <c r="C10" i="14" s="1"/>
  <c r="C11" i="5"/>
  <c r="B10" i="12" s="1"/>
  <c r="C12" i="5"/>
  <c r="C12" i="14" s="1"/>
  <c r="IV16" i="5"/>
  <c r="N18" i="5"/>
  <c r="N33" i="5"/>
  <c r="C37" i="5"/>
  <c r="C35" i="6" s="1"/>
  <c r="K37" i="5"/>
  <c r="O38" i="7" s="1"/>
  <c r="N24" i="8" s="1"/>
  <c r="C38" i="5"/>
  <c r="C39" i="7" s="1"/>
  <c r="C24" i="8" s="1"/>
  <c r="K38" i="5"/>
  <c r="O39" i="7" s="1"/>
  <c r="N25" i="8" s="1"/>
  <c r="K6" i="4"/>
  <c r="AA6" i="4"/>
  <c r="B7" i="4"/>
  <c r="B9" i="4"/>
  <c r="A8" i="6" s="1"/>
  <c r="B10" i="4"/>
  <c r="B14" i="4"/>
  <c r="B15" i="4"/>
  <c r="H27" i="4"/>
  <c r="G27" i="4" s="1"/>
  <c r="B2" i="2"/>
  <c r="A3" i="13" s="1"/>
  <c r="F2" i="2"/>
  <c r="B3" i="2"/>
  <c r="A1" i="7" s="1"/>
  <c r="B8" i="12" l="1"/>
  <c r="A7" i="5"/>
  <c r="P18" i="5"/>
  <c r="O18" i="5"/>
  <c r="H5" i="20"/>
  <c r="H7" i="20" s="1"/>
  <c r="C11" i="14"/>
  <c r="B51" i="19"/>
  <c r="B53" i="19"/>
  <c r="B50" i="19"/>
  <c r="E52" i="19"/>
  <c r="F49" i="19"/>
  <c r="I36" i="6"/>
  <c r="A8" i="10"/>
  <c r="B9" i="12"/>
  <c r="B52" i="19"/>
  <c r="E16" i="17"/>
  <c r="A8" i="8"/>
  <c r="E16" i="16"/>
  <c r="B11" i="12"/>
  <c r="R19" i="7"/>
  <c r="A8" i="11"/>
  <c r="A8" i="13"/>
  <c r="F16" i="18"/>
  <c r="A3" i="6"/>
  <c r="A3" i="8"/>
  <c r="A3" i="10"/>
  <c r="C12" i="15"/>
  <c r="A3" i="12"/>
  <c r="A3" i="7"/>
  <c r="A3" i="9"/>
  <c r="A3" i="11"/>
  <c r="A3" i="5"/>
  <c r="A1" i="13"/>
  <c r="C15" i="19"/>
  <c r="B1" i="4"/>
  <c r="A3" i="14"/>
  <c r="A64" i="14" s="1"/>
  <c r="A1" i="11"/>
  <c r="A2" i="15"/>
  <c r="C22" i="14"/>
  <c r="C40" i="15" s="1"/>
  <c r="B46" i="19" s="1"/>
  <c r="B32" i="13"/>
  <c r="C9" i="14"/>
  <c r="B2" i="4"/>
  <c r="A1" i="10"/>
  <c r="A1" i="14"/>
  <c r="A62" i="14" s="1"/>
  <c r="A8" i="7"/>
  <c r="I35" i="6"/>
  <c r="A8" i="9"/>
  <c r="A1" i="9"/>
  <c r="A1" i="12"/>
  <c r="AG7" i="19"/>
  <c r="AG8" i="19" s="1"/>
  <c r="C38" i="7"/>
  <c r="C23" i="8" s="1"/>
  <c r="A1" i="19"/>
  <c r="C36" i="6"/>
  <c r="A1" i="8"/>
  <c r="A8" i="5"/>
  <c r="AG9" i="19"/>
  <c r="V33" i="7"/>
  <c r="J7" i="15"/>
  <c r="I25" i="15" s="1"/>
  <c r="P33" i="7"/>
  <c r="N32" i="5"/>
  <c r="U33" i="5" s="1"/>
  <c r="A7" i="13" l="1"/>
  <c r="F43" i="19"/>
  <c r="A7" i="6"/>
  <c r="J8" i="15"/>
  <c r="J26" i="15" s="1"/>
  <c r="AA33" i="7"/>
  <c r="P32" i="5"/>
  <c r="V33" i="5" s="1"/>
  <c r="A7" i="10"/>
  <c r="A7" i="8"/>
  <c r="B7" i="14"/>
  <c r="A7" i="7"/>
  <c r="A7" i="9"/>
  <c r="A7" i="11"/>
  <c r="B40" i="19"/>
  <c r="B8" i="14"/>
  <c r="A7" i="12"/>
  <c r="I16" i="15"/>
  <c r="D17" i="11"/>
  <c r="E17" i="13" s="1"/>
  <c r="R33" i="7"/>
  <c r="D17" i="9" s="1"/>
  <c r="D19" i="11"/>
  <c r="E19" i="13" s="1"/>
  <c r="P43" i="7"/>
  <c r="N34" i="5"/>
  <c r="J6" i="15"/>
  <c r="D15" i="11"/>
  <c r="E15" i="13" s="1"/>
  <c r="D15" i="9" l="1"/>
  <c r="D19" i="9" s="1"/>
  <c r="D23" i="11" s="1"/>
  <c r="D28" i="11" s="1"/>
  <c r="J16" i="15"/>
  <c r="H16" i="15"/>
  <c r="J9" i="15"/>
  <c r="J15" i="15" s="1"/>
  <c r="H24" i="15"/>
  <c r="J31" i="15" l="1"/>
  <c r="J32" i="15" s="1"/>
  <c r="J35" i="15"/>
  <c r="J36" i="15" s="1"/>
  <c r="H15" i="15"/>
  <c r="H31" i="15" s="1"/>
  <c r="H32" i="15" s="1"/>
  <c r="I15" i="15"/>
  <c r="S31" i="7" l="1"/>
  <c r="T31" i="7" s="1"/>
  <c r="U31" i="7" s="1"/>
  <c r="S32" i="7"/>
  <c r="T32" i="7" s="1"/>
  <c r="U32" i="7" s="1"/>
  <c r="S28" i="7"/>
  <c r="T28" i="7" s="1"/>
  <c r="U28" i="7" s="1"/>
  <c r="S29" i="7"/>
  <c r="T29" i="7" s="1"/>
  <c r="U29" i="7" s="1"/>
  <c r="S25" i="7"/>
  <c r="T25" i="7" s="1"/>
  <c r="U25" i="7" s="1"/>
  <c r="S26" i="7"/>
  <c r="T26" i="7" s="1"/>
  <c r="U26" i="7" s="1"/>
  <c r="S22" i="7"/>
  <c r="T22" i="7" s="1"/>
  <c r="U22" i="7" s="1"/>
  <c r="S23" i="7"/>
  <c r="T23" i="7" s="1"/>
  <c r="U23" i="7" s="1"/>
  <c r="S20" i="7"/>
  <c r="T20" i="7" s="1"/>
  <c r="U20" i="7" s="1"/>
  <c r="F19" i="13"/>
  <c r="D19" i="13" s="1"/>
  <c r="S19" i="7"/>
  <c r="T19" i="7" s="1"/>
  <c r="U19" i="7" s="1"/>
  <c r="I35" i="15"/>
  <c r="I36" i="15" s="1"/>
  <c r="F17" i="13" s="1"/>
  <c r="D17" i="13" s="1"/>
  <c r="I31" i="15"/>
  <c r="I32" i="15" s="1"/>
  <c r="H35" i="15"/>
  <c r="H36" i="15" s="1"/>
  <c r="Q31" i="5" l="1"/>
  <c r="R31" i="5" s="1"/>
  <c r="S31" i="5" s="1"/>
  <c r="Q28" i="5"/>
  <c r="R28" i="5" s="1"/>
  <c r="S28" i="5" s="1"/>
  <c r="Q30" i="5"/>
  <c r="R30" i="5" s="1"/>
  <c r="S30" i="5" s="1"/>
  <c r="Q27" i="5"/>
  <c r="R27" i="5" s="1"/>
  <c r="S27" i="5" s="1"/>
  <c r="Q24" i="5"/>
  <c r="R24" i="5" s="1"/>
  <c r="S24" i="5" s="1"/>
  <c r="Q25" i="5"/>
  <c r="R25" i="5" s="1"/>
  <c r="S25" i="5" s="1"/>
  <c r="Q21" i="5"/>
  <c r="R21" i="5" s="1"/>
  <c r="S21" i="5" s="1"/>
  <c r="Q19" i="5"/>
  <c r="R19" i="5" s="1"/>
  <c r="S19" i="5" s="1"/>
  <c r="Q22" i="5"/>
  <c r="R22" i="5" s="1"/>
  <c r="S22" i="5" s="1"/>
  <c r="Q18" i="5"/>
  <c r="R18" i="5" s="1"/>
  <c r="F15" i="13"/>
  <c r="D15" i="13" s="1"/>
  <c r="U33" i="7"/>
  <c r="D17" i="10" s="1"/>
  <c r="R32" i="5" l="1"/>
  <c r="S18" i="5"/>
  <c r="S32" i="5" s="1"/>
  <c r="D15" i="10" s="1"/>
  <c r="D19" i="10" s="1"/>
  <c r="D23" i="13" s="1"/>
  <c r="D28" i="13" s="1"/>
  <c r="H18" i="19" s="1"/>
  <c r="P1" i="22" l="1"/>
  <c r="Y23" i="22" s="1"/>
  <c r="T23" i="22" s="1"/>
  <c r="Y40" i="22" l="1"/>
  <c r="T40" i="22" s="1"/>
  <c r="Y43" i="22"/>
  <c r="T43" i="22" s="1"/>
  <c r="Y20" i="22"/>
  <c r="T20" i="22" s="1"/>
  <c r="P9" i="22"/>
  <c r="Q9" i="22" s="1"/>
  <c r="S9" i="22" s="1"/>
  <c r="Y42" i="22"/>
  <c r="T42" i="22" s="1"/>
  <c r="Y32" i="22"/>
  <c r="T32" i="22" s="1"/>
  <c r="P7" i="22"/>
  <c r="Q7" i="22" s="1"/>
  <c r="S7" i="22" s="1"/>
  <c r="Y37" i="22"/>
  <c r="T37" i="22" s="1"/>
  <c r="P6" i="22"/>
  <c r="Q6" i="22" s="1"/>
  <c r="Y12" i="22"/>
  <c r="T12" i="22" s="1"/>
  <c r="Y21" i="22"/>
  <c r="T21" i="22" s="1"/>
  <c r="Y10" i="22"/>
  <c r="T10" i="22" s="1"/>
  <c r="Y11" i="22"/>
  <c r="T11" i="22" s="1"/>
  <c r="P8" i="22"/>
  <c r="Q8" i="22" s="1"/>
  <c r="S8" i="22" s="1"/>
  <c r="Y36" i="22"/>
  <c r="T36" i="22" s="1"/>
  <c r="Y29" i="22"/>
  <c r="T29" i="22" s="1"/>
  <c r="Y41" i="22"/>
  <c r="T41" i="22" s="1"/>
  <c r="Y34" i="22"/>
  <c r="T34" i="22" s="1"/>
  <c r="Y38" i="22"/>
  <c r="T38" i="22" s="1"/>
  <c r="Y19" i="22"/>
  <c r="T19" i="22" s="1"/>
  <c r="Y28" i="22"/>
  <c r="T28" i="22" s="1"/>
  <c r="P10" i="22"/>
  <c r="Q10" i="22" s="1"/>
  <c r="S10" i="22" s="1"/>
  <c r="Y17" i="22"/>
  <c r="T17" i="22" s="1"/>
  <c r="Y14" i="22"/>
  <c r="T14" i="22" s="1"/>
  <c r="Y18" i="22"/>
  <c r="T18" i="22" s="1"/>
  <c r="Y8" i="22"/>
  <c r="T8" i="22" s="1"/>
  <c r="Y9" i="22"/>
  <c r="T9" i="22" s="1"/>
  <c r="Y30" i="22"/>
  <c r="T30" i="22" s="1"/>
  <c r="Y31" i="22"/>
  <c r="T31" i="22" s="1"/>
  <c r="Y16" i="22"/>
  <c r="T16" i="22" s="1"/>
  <c r="Y39" i="22"/>
  <c r="T39" i="22" s="1"/>
  <c r="P11" i="22"/>
  <c r="Q11" i="22" s="1"/>
  <c r="S11" i="22" s="1"/>
  <c r="Y15" i="22"/>
  <c r="T15" i="22" s="1"/>
  <c r="Y33" i="22"/>
  <c r="T33" i="22" s="1"/>
  <c r="Y22" i="22"/>
  <c r="T22" i="22" s="1"/>
  <c r="Y13" i="22"/>
  <c r="T13" i="22" s="1"/>
  <c r="Y35" i="22"/>
  <c r="T35" i="22" s="1"/>
  <c r="P4" i="22" l="1"/>
  <c r="H19" i="19" s="1"/>
  <c r="B17" i="19" s="1"/>
  <c r="U5" i="22"/>
  <c r="U4" i="22"/>
</calcChain>
</file>

<file path=xl/sharedStrings.xml><?xml version="1.0" encoding="utf-8"?>
<sst xmlns="http://schemas.openxmlformats.org/spreadsheetml/2006/main" count="1316" uniqueCount="508">
  <si>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</si>
  <si>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</si>
  <si>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</si>
  <si>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</si>
  <si>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</si>
  <si>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</si>
  <si>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</si>
  <si>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</si>
  <si>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</si>
  <si>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</si>
  <si>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</si>
  <si>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</si>
  <si>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</si>
  <si>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</si>
  <si>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</si>
  <si>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</si>
  <si>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</si>
  <si>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</si>
  <si>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</si>
  <si>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</si>
  <si>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</si>
  <si>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</si>
  <si>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</si>
  <si>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</si>
  <si>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</si>
  <si>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</si>
  <si>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</si>
  <si>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</si>
  <si>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</si>
  <si>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</si>
  <si>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</si>
  <si>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</si>
  <si>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</si>
  <si>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</si>
  <si>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</si>
  <si>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</si>
  <si>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</si>
  <si>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</si>
  <si>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</si>
  <si>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</si>
  <si>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</si>
  <si>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</si>
  <si>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</si>
  <si>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</si>
  <si>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</si>
  <si>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</si>
  <si>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</si>
  <si>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</si>
  <si>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</si>
  <si>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</si>
  <si>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</si>
  <si>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</si>
  <si>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</si>
  <si>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</si>
  <si>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</si>
  <si>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</si>
  <si>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</si>
  <si>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</si>
  <si>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</si>
  <si>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</si>
  <si>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</si>
  <si>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</si>
  <si>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</si>
  <si>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</si>
  <si>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</si>
  <si>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</si>
  <si>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</si>
  <si>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</si>
  <si>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</si>
  <si>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</si>
  <si>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</si>
  <si>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</si>
  <si>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</si>
  <si>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</si>
  <si>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</si>
  <si>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</si>
  <si>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</si>
  <si>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</si>
  <si>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</si>
  <si>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</si>
  <si>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</si>
  <si>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</si>
  <si>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</si>
  <si>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</si>
  <si>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</si>
  <si>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</si>
  <si>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</si>
  <si>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</si>
  <si>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</si>
  <si>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</si>
  <si>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</si>
  <si>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</si>
  <si>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</si>
  <si>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</si>
  <si>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</si>
  <si>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</si>
  <si>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</si>
  <si>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</si>
  <si>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</si>
  <si>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</si>
  <si>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</si>
  <si>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</si>
  <si>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</si>
  <si>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</si>
  <si>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</si>
  <si>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</si>
  <si>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</si>
  <si>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</si>
  <si>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</si>
  <si>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</si>
  <si>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</si>
  <si>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</si>
  <si>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</si>
  <si>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</si>
  <si>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</si>
  <si>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</si>
  <si>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</si>
  <si>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</si>
  <si>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</si>
  <si>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</si>
  <si>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</si>
  <si>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</si>
  <si>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</si>
  <si>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</si>
  <si>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</si>
  <si>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</si>
  <si>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</si>
  <si>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</si>
  <si>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</si>
  <si>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</si>
  <si>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</si>
  <si>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</si>
  <si>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</si>
  <si>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</si>
  <si>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</si>
  <si>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</si>
  <si>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</si>
  <si>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</si>
  <si>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</si>
  <si>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</si>
  <si>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</si>
  <si>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</si>
  <si>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</si>
  <si>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</si>
  <si>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</si>
  <si>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</si>
  <si>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</si>
  <si>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</si>
  <si>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</si>
  <si>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</si>
  <si>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</si>
  <si>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</si>
  <si>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</si>
  <si>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</si>
  <si>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</si>
  <si>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</si>
  <si>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</si>
  <si>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</si>
  <si>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</si>
  <si>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</si>
  <si>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</si>
  <si>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</si>
  <si>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</si>
  <si>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</si>
  <si>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</si>
  <si>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 xml:space="preserve">This letter of discount is optional. Bidder may / may not offer any discount. </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</si>
  <si>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</si>
  <si>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</si>
  <si>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</si>
  <si>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</si>
  <si>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</si>
  <si>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</si>
  <si>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</si>
  <si>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</si>
  <si>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</si>
  <si>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</si>
  <si>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</si>
  <si>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</si>
  <si>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</si>
  <si>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</si>
  <si>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</si>
  <si>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</si>
  <si>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</si>
  <si>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</si>
  <si>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</si>
  <si>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</si>
  <si>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</si>
  <si>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</si>
  <si>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</si>
  <si>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</si>
  <si>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</si>
  <si>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</si>
  <si>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</si>
  <si>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</si>
  <si>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</si>
  <si>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</si>
  <si>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</si>
  <si>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</si>
  <si>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</si>
  <si>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</si>
  <si>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</si>
  <si>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</si>
  <si>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</si>
  <si>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</si>
  <si>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</si>
  <si>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</si>
  <si>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</si>
  <si>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</si>
  <si>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</si>
  <si>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</si>
  <si>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</si>
  <si>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</si>
  <si>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</si>
  <si>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</si>
  <si>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</si>
  <si>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</si>
  <si>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</si>
  <si>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</si>
  <si>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</si>
  <si>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</si>
  <si>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</si>
  <si>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</si>
  <si>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</si>
  <si>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</si>
  <si>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</si>
  <si>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</si>
  <si>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</si>
  <si>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</si>
  <si>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</si>
  <si>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</si>
  <si>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</si>
  <si>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</si>
  <si>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</si>
  <si>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</si>
  <si>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</si>
  <si>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</si>
  <si>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</si>
  <si>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</si>
  <si>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</si>
  <si>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</si>
  <si>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</si>
  <si>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</si>
  <si>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</si>
  <si>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</si>
  <si>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</si>
  <si>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</si>
  <si>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</si>
  <si>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</si>
  <si>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</si>
  <si>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</si>
  <si>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</si>
  <si>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</si>
  <si>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</si>
  <si>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</si>
  <si>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</si>
  <si>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</si>
  <si>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</si>
  <si>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</si>
  <si>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</si>
  <si>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</si>
  <si>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</si>
  <si>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</si>
  <si>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</si>
  <si>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</si>
  <si>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</si>
  <si>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</si>
  <si>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</si>
  <si>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</si>
  <si>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</si>
  <si>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</si>
  <si>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</si>
  <si>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</si>
  <si>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</si>
  <si>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</si>
  <si>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</si>
  <si>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</si>
  <si>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</si>
  <si>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</si>
  <si>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</si>
  <si>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</si>
  <si>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</si>
  <si>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</si>
  <si>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</si>
  <si>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</si>
  <si>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</si>
  <si>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</si>
  <si>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</si>
  <si>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</si>
  <si>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</si>
  <si>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</si>
  <si>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</si>
  <si>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</si>
  <si>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</si>
  <si>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</si>
  <si>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</si>
  <si>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</si>
  <si>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</si>
  <si>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</si>
  <si>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</si>
  <si>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</si>
  <si>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</si>
  <si>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</si>
  <si>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</si>
  <si>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</si>
  <si>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</si>
  <si>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</si>
  <si>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</si>
  <si>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</si>
  <si>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</si>
  <si>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</si>
  <si>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</si>
  <si>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</si>
  <si>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</si>
  <si>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</si>
  <si>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</si>
  <si>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</si>
  <si>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</si>
  <si>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</si>
  <si>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</si>
  <si>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</si>
  <si>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</si>
  <si>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</si>
  <si>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</si>
  <si>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</si>
  <si>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</si>
  <si>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</si>
  <si>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</si>
  <si>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</si>
  <si>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</si>
  <si>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</si>
  <si>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</si>
  <si>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</si>
  <si>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</si>
  <si>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</si>
  <si>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</si>
  <si>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</si>
  <si>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</si>
  <si>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</si>
  <si>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</si>
  <si>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</si>
  <si>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</si>
  <si>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</si>
  <si>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</si>
  <si>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</si>
  <si>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</si>
  <si>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</si>
  <si>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</si>
  <si>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</si>
  <si>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</si>
  <si>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</si>
  <si>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</si>
  <si>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</si>
  <si>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</si>
  <si>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</si>
  <si>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</si>
  <si>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</si>
  <si>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</si>
  <si>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</si>
  <si>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</si>
  <si>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</si>
  <si>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</si>
  <si>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</si>
  <si>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</si>
  <si>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</si>
  <si>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</si>
  <si>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</si>
  <si>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</si>
  <si>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</si>
  <si>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</si>
  <si>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</si>
  <si>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</si>
  <si>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</si>
  <si>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</si>
  <si>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</si>
  <si>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</si>
  <si>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</si>
  <si>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</si>
  <si>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</si>
  <si>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</si>
  <si>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</si>
  <si>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</si>
  <si>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</si>
  <si>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</si>
  <si>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</si>
  <si>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</si>
  <si>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</si>
  <si>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</si>
  <si>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</si>
  <si>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</si>
  <si>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</si>
  <si>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</si>
  <si>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</si>
  <si>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</si>
  <si>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</si>
  <si>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</si>
  <si>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</si>
  <si>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</si>
  <si>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</si>
  <si>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</si>
  <si>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</si>
  <si>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</si>
  <si>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</si>
  <si>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</si>
  <si>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</si>
  <si>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</si>
  <si>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</si>
  <si>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</si>
  <si>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</si>
  <si>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</si>
  <si>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</si>
  <si>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</si>
  <si>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</si>
  <si>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</si>
  <si>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</si>
  <si>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</si>
  <si>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</si>
  <si>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</si>
  <si>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</si>
  <si>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</si>
  <si>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</si>
  <si>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</si>
  <si>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</si>
  <si>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</si>
  <si>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</si>
  <si>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</si>
  <si>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</si>
  <si>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</si>
  <si>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</si>
  <si>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</si>
  <si>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</si>
  <si>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</si>
  <si>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</si>
  <si>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</si>
  <si>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</si>
  <si>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</si>
  <si>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</si>
  <si>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</si>
  <si>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</si>
  <si>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</si>
  <si>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</si>
  <si>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</si>
  <si>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</si>
  <si>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</si>
  <si>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</si>
  <si>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</si>
  <si>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</si>
  <si>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</si>
  <si>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</si>
  <si>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</si>
  <si>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</si>
  <si>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</si>
  <si>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</si>
  <si>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</si>
  <si>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</si>
  <si>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</si>
  <si>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</si>
  <si>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</si>
  <si>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</si>
  <si>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</si>
  <si>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</si>
  <si>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</si>
  <si>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</si>
  <si>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</si>
  <si>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</si>
  <si>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</si>
  <si>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</si>
  <si>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</si>
  <si>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</si>
  <si>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</si>
  <si>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</si>
  <si>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</si>
  <si>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</si>
  <si>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</si>
  <si>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</si>
  <si>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</si>
  <si>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</si>
  <si>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</si>
  <si>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</si>
  <si>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</si>
  <si>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</si>
  <si>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Insulating Oil for 125 MVAR, 420kV 3-phase Bus Reactor</t>
  </si>
  <si>
    <t>A</t>
  </si>
  <si>
    <t>B</t>
  </si>
  <si>
    <t>C</t>
  </si>
  <si>
    <t>D</t>
  </si>
  <si>
    <t>E</t>
  </si>
  <si>
    <t xml:space="preserve">1 x 125 MVAR, 420kV Reactors at Vizag   </t>
  </si>
  <si>
    <t xml:space="preserve">1 x 125 MVAR, 420kV Reactors at Gooty   </t>
  </si>
  <si>
    <t xml:space="preserve">1 x 80 MVAR,765kV 1-Ph Rtr at Bilaspur  </t>
  </si>
  <si>
    <t xml:space="preserve">1 x 110 MVAR, 765kV 1-Ph Rtr at Wardha </t>
  </si>
  <si>
    <t xml:space="preserve">1 x 125 MVAR, 420kV Reactor at Bikaner  </t>
  </si>
  <si>
    <t>125 MVAR,420kV, 3-phase Shunt Reactor excluding Insulating Oil</t>
  </si>
  <si>
    <t>Insulating Oil for 80 MVAR, 765/√3 kV, 1-phase Shunt Reactor (As pertechnical specification)</t>
  </si>
  <si>
    <t>80 MVAR, 765/√3 kV, 1-phase, Shunt Reactor(As per technicalspecification) {excluding Insulating Oil}</t>
  </si>
  <si>
    <t>Reactor Package RT03 under Bulk Procurement of 765kV and 400kV Class Transformers and Reactors of various capacities- LOT-3 and SIS/Addl. Cap. -Re-Tender</t>
  </si>
  <si>
    <t xml:space="preserve">RT03 </t>
  </si>
  <si>
    <t xml:space="preserve">SUPPLY-125 MVAR 420KV 3-PH Reactor      </t>
  </si>
  <si>
    <t xml:space="preserve">SUPPLY-80 MVAR 765KV 1-PH Reactor       </t>
  </si>
  <si>
    <t xml:space="preserve">SUPPLY-110 MVAR 765KV 1-PH Reactor      </t>
  </si>
  <si>
    <t xml:space="preserve">SERVICE-110MVAR 765KV 1-PH Reactor      </t>
  </si>
  <si>
    <t xml:space="preserve">SERVICE-80 MVAR 765KV 1-PH Reactor      </t>
  </si>
  <si>
    <t xml:space="preserve">SERVICE-125 MVAR 420KV 3-PH Reactor     </t>
  </si>
  <si>
    <t>80 MVAR, 765/√3 kV 1-phase ,Shunt Reactor (As per technical specification) {excluding Insulating Oil}</t>
  </si>
  <si>
    <t>Insulating Oil for 80 MVAR, 765/√3 kV, 1-phase Shunt Reactor (As per technical specification)</t>
  </si>
  <si>
    <t>110 MVAR, 765/√3kV ,1-phase Shunt Reactor excluding Insulating Oil</t>
  </si>
  <si>
    <t>Insulating Oil for 110 MVAR, 765/√3kV kV Reactor</t>
  </si>
  <si>
    <t>Insulating Oil for 110 MVAR, 765/√3kV, 1-ph Reactor (as per technicalspecification)</t>
  </si>
  <si>
    <t>Spec. No. CC/NT/W-RT/DOM/A06/23/04299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</si>
</sst>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 #,##0.000_ ;_ * \-#,##0.000_ ;_ * &quot;-&quot;??_ ;_ @_ "/>
    <numFmt numFmtId="181" formatCode="_ * #,##0.0000_ ;_ * \-#,##0.0000_ ;_ * &quot;-&quot;??_ ;_ @_ "/>
    <numFmt numFmtId="182" formatCode="_(* #,##0.0000_);_(* \(#,##0.0000\);_(* &quot;-&quot;????_);_(@_)"/>
  </numFmts>
  <fonts count="80">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sz val="14"/>
      <color theme="1"/>
      <name val="Calibri"/>
      <family val="2"/>
      <scheme val="minor"/>
    </font>
  </fonts>
  <fills count="14">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8">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69"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9" fillId="0" borderId="0"/>
    <xf numFmtId="0" fontId="9" fillId="0" borderId="0"/>
  </cellStyleXfs>
  <cellXfs count="985">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69"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0" fillId="0" borderId="0" xfId="114" applyFont="1" applyBorder="1" applyAlignment="1" applyProtection="1">
      <alignment vertical="top"/>
      <protection hidden="1"/>
    </xf>
    <xf numFmtId="0" fontId="71" fillId="0" borderId="0" xfId="114" applyFont="1" applyBorder="1" applyAlignment="1" applyProtection="1">
      <alignment vertical="top"/>
      <protection hidden="1"/>
    </xf>
    <xf numFmtId="2" fontId="71" fillId="0" borderId="0" xfId="114" applyNumberFormat="1" applyFont="1" applyBorder="1" applyAlignment="1" applyProtection="1">
      <alignment vertical="top"/>
      <protection hidden="1"/>
    </xf>
    <xf numFmtId="174" fontId="70"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Alignment="1" applyProtection="1">
      <alignment horizontal="center" vertical="center"/>
    </xf>
    <xf numFmtId="0" fontId="2" fillId="0" borderId="0" xfId="115" applyFont="1" applyAlignment="1" applyProtection="1">
      <alignment horizontal="center" vertical="center" wrapText="1"/>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0" fontId="2" fillId="0" borderId="0" xfId="115" applyFont="1" applyFill="1" applyAlignment="1" applyProtection="1">
      <alignment horizontal="center" vertical="center" wrapText="1"/>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1" fillId="0" borderId="24" xfId="0" applyNumberFormat="1" applyFont="1" applyFill="1" applyBorder="1" applyAlignment="1" applyProtection="1">
      <alignment horizontal="center" vertical="center" wrapText="1"/>
    </xf>
    <xf numFmtId="0" fontId="1" fillId="0" borderId="25" xfId="0" applyNumberFormat="1" applyFont="1" applyFill="1" applyBorder="1" applyAlignment="1" applyProtection="1">
      <alignment horizontal="center" vertical="center" wrapText="1"/>
    </xf>
    <xf numFmtId="0" fontId="2" fillId="0" borderId="0" xfId="115" applyFont="1" applyFill="1" applyBorder="1" applyAlignment="1" applyProtection="1">
      <alignment horizontal="center" vertical="center"/>
    </xf>
    <xf numFmtId="0" fontId="72"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3" fillId="0" borderId="9" xfId="0" applyFont="1" applyBorder="1" applyAlignment="1">
      <alignment horizontal="center" vertical="center" wrapText="1"/>
    </xf>
    <xf numFmtId="0" fontId="73"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2" fillId="0" borderId="0" xfId="0" applyFont="1" applyAlignment="1" applyProtection="1">
      <alignment vertical="center" wrapText="1"/>
    </xf>
    <xf numFmtId="0" fontId="72" fillId="0" borderId="0" xfId="0" applyFont="1" applyAlignment="1" applyProtection="1">
      <alignment horizontal="center" vertical="center"/>
    </xf>
    <xf numFmtId="0" fontId="73" fillId="0" borderId="0" xfId="0" applyFont="1" applyAlignment="1" applyProtection="1">
      <alignment horizontal="center" vertical="center"/>
      <protection locked="0"/>
    </xf>
    <xf numFmtId="0" fontId="73" fillId="0" borderId="0" xfId="0" applyFont="1" applyAlignment="1">
      <alignment vertical="center"/>
    </xf>
    <xf numFmtId="0" fontId="4" fillId="0" borderId="0" xfId="0" applyFont="1" applyAlignment="1" applyProtection="1">
      <alignment horizontal="center" vertical="center"/>
    </xf>
    <xf numFmtId="0" fontId="73"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4" fillId="0" borderId="9" xfId="0" applyFont="1" applyFill="1" applyBorder="1" applyAlignment="1">
      <alignment horizontal="center" vertical="center" wrapText="1"/>
    </xf>
    <xf numFmtId="0" fontId="74"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2" fillId="0" borderId="9" xfId="0" applyFont="1" applyBorder="1" applyAlignment="1">
      <alignment vertical="center"/>
    </xf>
    <xf numFmtId="0" fontId="72" fillId="0" borderId="9" xfId="0" applyFont="1" applyBorder="1"/>
    <xf numFmtId="0" fontId="75" fillId="0" borderId="9" xfId="0" applyFont="1" applyBorder="1" applyAlignment="1">
      <alignment horizontal="center" vertical="center"/>
    </xf>
    <xf numFmtId="0" fontId="72" fillId="0" borderId="0" xfId="0" applyFont="1" applyAlignment="1" applyProtection="1">
      <alignment horizontal="center" vertical="center"/>
      <protection locked="0"/>
    </xf>
    <xf numFmtId="0" fontId="72"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4" fillId="11" borderId="9" xfId="0" applyFont="1" applyFill="1" applyBorder="1" applyAlignment="1">
      <alignment horizontal="center" vertical="top" wrapText="1"/>
    </xf>
    <xf numFmtId="0" fontId="74"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4" fillId="0" borderId="9" xfId="0" applyFont="1" applyBorder="1" applyAlignment="1">
      <alignment horizontal="center" vertical="top" wrapText="1"/>
    </xf>
    <xf numFmtId="0" fontId="74" fillId="0" borderId="9" xfId="0" applyFont="1" applyBorder="1" applyAlignment="1">
      <alignment vertical="top" wrapText="1"/>
    </xf>
    <xf numFmtId="0" fontId="73"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6" fillId="0" borderId="9" xfId="0" applyFont="1" applyBorder="1" applyAlignment="1">
      <alignment horizontal="center" vertical="center"/>
    </xf>
    <xf numFmtId="0" fontId="73" fillId="0" borderId="9" xfId="0" applyFont="1" applyBorder="1"/>
    <xf numFmtId="0" fontId="7" fillId="0" borderId="0" xfId="113" applyFont="1" applyAlignment="1" applyProtection="1">
      <alignment vertical="top"/>
      <protection hidden="1"/>
    </xf>
    <xf numFmtId="0" fontId="2" fillId="0" borderId="18" xfId="0" applyNumberFormat="1" applyFont="1" applyFill="1" applyBorder="1" applyAlignment="1" applyProtection="1">
      <alignment horizontal="center" vertical="center"/>
    </xf>
    <xf numFmtId="0" fontId="70" fillId="0" borderId="0" xfId="0" applyFont="1" applyAlignment="1" applyProtection="1">
      <alignment horizontal="center" vertical="center"/>
    </xf>
    <xf numFmtId="0" fontId="75" fillId="0" borderId="0" xfId="0" applyFont="1" applyAlignment="1" applyProtection="1">
      <alignment horizontal="center" vertical="center"/>
    </xf>
    <xf numFmtId="0" fontId="72" fillId="0" borderId="0" xfId="0" applyFont="1" applyAlignment="1">
      <alignment horizontal="center" vertical="center"/>
    </xf>
    <xf numFmtId="0" fontId="72" fillId="0" borderId="9" xfId="0" applyFont="1" applyBorder="1" applyAlignment="1" applyProtection="1">
      <alignment horizontal="center" vertical="center"/>
    </xf>
    <xf numFmtId="0" fontId="72" fillId="0" borderId="0" xfId="0" applyFont="1" applyBorder="1" applyAlignment="1" applyProtection="1">
      <alignment horizontal="center" vertical="center"/>
    </xf>
    <xf numFmtId="0" fontId="72" fillId="0" borderId="0" xfId="0" applyFont="1" applyBorder="1" applyAlignment="1" applyProtection="1">
      <alignment vertical="center"/>
    </xf>
    <xf numFmtId="0" fontId="72" fillId="0" borderId="0" xfId="0" applyFont="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72" fillId="0" borderId="0" xfId="0" applyFont="1" applyBorder="1" applyAlignment="1" applyProtection="1">
      <alignment horizontal="left" vertical="center"/>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2"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2"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3" fillId="0" borderId="0" xfId="0" applyFont="1" applyFill="1" applyAlignment="1" applyProtection="1">
      <alignment horizontal="center" vertical="center"/>
    </xf>
    <xf numFmtId="0" fontId="72" fillId="0" borderId="0" xfId="0" applyFont="1" applyFill="1" applyAlignment="1" applyProtection="1">
      <alignment horizontal="center" vertical="center"/>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5" fillId="0" borderId="9" xfId="0" applyFont="1" applyBorder="1" applyAlignment="1">
      <alignment horizontal="right" vertical="center"/>
    </xf>
    <xf numFmtId="0" fontId="77" fillId="0" borderId="0" xfId="0" applyFont="1" applyAlignment="1" applyProtection="1">
      <alignment horizontal="center" vertical="center"/>
    </xf>
    <xf numFmtId="0" fontId="74" fillId="0" borderId="0" xfId="0" applyFont="1" applyAlignment="1" applyProtection="1">
      <alignment horizontal="center" vertical="center"/>
    </xf>
    <xf numFmtId="0" fontId="74"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8"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2"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0" fontId="63"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4"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72" fillId="0" borderId="9" xfId="0" applyFont="1" applyBorder="1" applyAlignment="1" applyProtection="1">
      <alignment horizontal="right" vertical="center"/>
      <protection locked="0"/>
    </xf>
    <xf numFmtId="43" fontId="72" fillId="0" borderId="9" xfId="8" applyFont="1" applyBorder="1" applyAlignment="1">
      <alignment horizontal="right" vertical="center"/>
    </xf>
    <xf numFmtId="43" fontId="75" fillId="0" borderId="9" xfId="8" applyFont="1" applyBorder="1" applyAlignment="1">
      <alignment horizontal="right" vertical="center"/>
    </xf>
    <xf numFmtId="43" fontId="72" fillId="0" borderId="9" xfId="8" applyFont="1" applyBorder="1" applyAlignment="1" applyProtection="1">
      <alignment horizontal="right" vertical="center"/>
      <protection locked="0"/>
    </xf>
    <xf numFmtId="43" fontId="75" fillId="0" borderId="9" xfId="8" applyFont="1" applyBorder="1" applyAlignment="1" applyProtection="1">
      <alignment horizontal="right" vertical="center"/>
      <protection locked="0"/>
    </xf>
    <xf numFmtId="2" fontId="72" fillId="0" borderId="9" xfId="0" applyNumberFormat="1" applyFont="1" applyBorder="1" applyAlignment="1" applyProtection="1">
      <alignment horizontal="right" vertical="center"/>
      <protection locked="0"/>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43" fontId="1" fillId="0" borderId="0" xfId="8" applyFont="1" applyAlignment="1" applyProtection="1">
      <alignment vertical="center"/>
      <protection locked="0"/>
    </xf>
    <xf numFmtId="0" fontId="72"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69"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6"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8"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0" fontId="72" fillId="0" borderId="0" xfId="0" applyFont="1" applyAlignment="1" applyProtection="1">
      <alignment horizontal="center" vertical="center" wrapText="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4" fontId="75" fillId="0" borderId="9" xfId="8" applyNumberFormat="1" applyFont="1" applyBorder="1" applyAlignment="1" applyProtection="1">
      <alignment horizontal="right" vertical="center"/>
      <protection locked="0"/>
    </xf>
    <xf numFmtId="4" fontId="51" fillId="0" borderId="9" xfId="8" applyNumberFormat="1" applyFont="1" applyFill="1" applyBorder="1" applyAlignment="1" applyProtection="1">
      <alignment vertical="top"/>
      <protection hidden="1"/>
    </xf>
    <xf numFmtId="4" fontId="64" fillId="0" borderId="9" xfId="8" applyNumberFormat="1" applyFont="1" applyFill="1" applyBorder="1" applyAlignment="1" applyProtection="1">
      <alignment vertical="top"/>
      <protection hidden="1"/>
    </xf>
    <xf numFmtId="0" fontId="72" fillId="0" borderId="0" xfId="0" applyFont="1" applyBorder="1" applyAlignment="1" applyProtection="1">
      <alignment horizontal="right" vertical="center"/>
    </xf>
    <xf numFmtId="0" fontId="1" fillId="0" borderId="5"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center" vertical="center" wrapText="1"/>
    </xf>
    <xf numFmtId="0" fontId="72" fillId="0" borderId="16" xfId="0" applyFont="1" applyBorder="1" applyAlignment="1" applyProtection="1"/>
    <xf numFmtId="0" fontId="73" fillId="0" borderId="16" xfId="0" applyFont="1" applyBorder="1" applyAlignment="1" applyProtection="1"/>
    <xf numFmtId="0" fontId="74"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164" fontId="72" fillId="0" borderId="0" xfId="0" applyNumberFormat="1" applyFont="1" applyAlignment="1" applyProtection="1">
      <alignment horizontal="center" vertical="center"/>
    </xf>
    <xf numFmtId="164" fontId="5" fillId="0" borderId="0" xfId="0" applyNumberFormat="1" applyFont="1" applyAlignment="1" applyProtection="1">
      <alignment vertical="center"/>
      <protection locked="0"/>
    </xf>
    <xf numFmtId="2" fontId="72" fillId="0" borderId="0" xfId="0" applyNumberFormat="1" applyFont="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2" fillId="0" borderId="9" xfId="0" applyFont="1" applyFill="1" applyBorder="1" applyAlignment="1">
      <alignment horizontal="center" vertical="center" wrapText="1"/>
    </xf>
    <xf numFmtId="0" fontId="72" fillId="3" borderId="14" xfId="109" applyFont="1" applyFill="1" applyBorder="1" applyAlignment="1" applyProtection="1">
      <alignment vertical="center" wrapText="1"/>
      <protection locked="0"/>
    </xf>
    <xf numFmtId="43" fontId="72" fillId="9" borderId="9" xfId="8" applyFont="1" applyFill="1" applyBorder="1" applyAlignment="1" applyProtection="1">
      <alignment horizontal="right" vertical="center" wrapText="1"/>
    </xf>
    <xf numFmtId="1" fontId="2" fillId="0" borderId="9" xfId="111" applyNumberFormat="1" applyFont="1" applyFill="1" applyBorder="1" applyAlignment="1" applyProtection="1">
      <alignment horizontal="center" vertical="center" wrapText="1"/>
    </xf>
    <xf numFmtId="0" fontId="72" fillId="0" borderId="9" xfId="0" applyFont="1" applyBorder="1" applyAlignment="1">
      <alignment horizontal="center" vertical="center" wrapText="1"/>
    </xf>
    <xf numFmtId="0" fontId="72" fillId="3" borderId="9" xfId="109" applyFont="1" applyFill="1" applyBorder="1" applyAlignment="1" applyProtection="1">
      <alignment horizontal="center" vertical="center" wrapText="1"/>
      <protection locked="0"/>
    </xf>
    <xf numFmtId="10" fontId="2" fillId="0" borderId="9" xfId="111" applyNumberFormat="1" applyFont="1" applyFill="1" applyBorder="1" applyAlignment="1" applyProtection="1">
      <alignment horizontal="center" vertical="center" wrapText="1"/>
      <protection locked="0" hidden="1"/>
    </xf>
    <xf numFmtId="2" fontId="2" fillId="0" borderId="9" xfId="111" applyNumberFormat="1" applyFont="1" applyFill="1" applyBorder="1" applyAlignment="1" applyProtection="1">
      <alignment horizontal="right" vertical="center" wrapText="1"/>
    </xf>
    <xf numFmtId="0" fontId="4" fillId="3" borderId="22" xfId="127" applyFont="1" applyFill="1" applyBorder="1" applyAlignment="1" applyProtection="1">
      <alignment horizontal="left" vertical="center" wrapText="1"/>
      <protection locked="0"/>
    </xf>
    <xf numFmtId="180" fontId="72" fillId="3" borderId="18" xfId="8" applyNumberFormat="1" applyFont="1" applyFill="1" applyBorder="1" applyAlignment="1" applyProtection="1">
      <alignment horizontal="right" vertical="center" wrapText="1"/>
      <protection locked="0"/>
    </xf>
    <xf numFmtId="181" fontId="72" fillId="3" borderId="18" xfId="8" applyNumberFormat="1" applyFont="1" applyFill="1" applyBorder="1" applyAlignment="1" applyProtection="1">
      <alignment horizontal="right" vertical="center" wrapText="1"/>
      <protection locked="0"/>
    </xf>
    <xf numFmtId="182" fontId="72" fillId="0" borderId="0" xfId="0" applyNumberFormat="1" applyFont="1" applyAlignment="1" applyProtection="1">
      <alignment horizontal="center" vertical="center"/>
    </xf>
    <xf numFmtId="0" fontId="1" fillId="0" borderId="24" xfId="0" applyNumberFormat="1" applyFont="1" applyFill="1" applyBorder="1" applyAlignment="1" applyProtection="1">
      <alignment horizontal="center" vertical="center"/>
    </xf>
    <xf numFmtId="0" fontId="1" fillId="0" borderId="25" xfId="0" applyNumberFormat="1" applyFont="1" applyFill="1" applyBorder="1" applyAlignment="1" applyProtection="1">
      <alignment horizontal="center" vertical="center"/>
    </xf>
    <xf numFmtId="0" fontId="1" fillId="13" borderId="18" xfId="0" applyNumberFormat="1" applyFont="1" applyFill="1" applyBorder="1" applyAlignment="1" applyProtection="1">
      <alignment horizontal="center" vertical="center"/>
    </xf>
    <xf numFmtId="0" fontId="1" fillId="13" borderId="24" xfId="0" applyNumberFormat="1" applyFont="1" applyFill="1" applyBorder="1" applyAlignment="1" applyProtection="1">
      <alignment vertical="center"/>
    </xf>
    <xf numFmtId="0" fontId="1" fillId="13" borderId="3" xfId="0" applyNumberFormat="1" applyFont="1" applyFill="1" applyBorder="1" applyAlignment="1" applyProtection="1">
      <alignment vertical="center"/>
    </xf>
    <xf numFmtId="0" fontId="1" fillId="13" borderId="25" xfId="0" applyNumberFormat="1" applyFont="1" applyFill="1" applyBorder="1" applyAlignment="1" applyProtection="1">
      <alignment vertical="center"/>
    </xf>
    <xf numFmtId="0" fontId="1" fillId="13" borderId="9" xfId="0" applyNumberFormat="1" applyFont="1" applyFill="1" applyBorder="1" applyAlignment="1" applyProtection="1">
      <alignment horizontal="center" vertical="center" wrapText="1"/>
    </xf>
    <xf numFmtId="0" fontId="1" fillId="13" borderId="3" xfId="0" applyNumberFormat="1" applyFont="1" applyFill="1" applyBorder="1" applyAlignment="1" applyProtection="1">
      <alignment vertical="center" wrapText="1"/>
    </xf>
    <xf numFmtId="0" fontId="1" fillId="13" borderId="25" xfId="0" applyNumberFormat="1" applyFont="1" applyFill="1" applyBorder="1" applyAlignment="1" applyProtection="1">
      <alignment vertical="center" wrapText="1"/>
    </xf>
    <xf numFmtId="0" fontId="1" fillId="13" borderId="9" xfId="0" applyNumberFormat="1" applyFont="1" applyFill="1" applyBorder="1" applyAlignment="1" applyProtection="1">
      <alignment horizontal="center" vertical="center"/>
    </xf>
    <xf numFmtId="0" fontId="5" fillId="13" borderId="0" xfId="0" applyFont="1" applyFill="1" applyAlignment="1" applyProtection="1">
      <alignment vertical="center"/>
    </xf>
    <xf numFmtId="0" fontId="2" fillId="13" borderId="0" xfId="0" applyFont="1" applyFill="1" applyAlignment="1" applyProtection="1">
      <alignment vertical="center"/>
    </xf>
    <xf numFmtId="43" fontId="72" fillId="9" borderId="9" xfId="8" applyFont="1" applyFill="1" applyBorder="1" applyAlignment="1" applyProtection="1">
      <alignment horizontal="left" vertical="top" wrapText="1"/>
    </xf>
    <xf numFmtId="10" fontId="2" fillId="0" borderId="14" xfId="111" applyNumberFormat="1" applyFont="1" applyFill="1" applyBorder="1" applyAlignment="1" applyProtection="1">
      <alignment horizontal="center" vertical="center" wrapText="1"/>
      <protection locked="0" hidden="1"/>
    </xf>
    <xf numFmtId="0" fontId="1" fillId="13" borderId="9" xfId="0" applyNumberFormat="1" applyFont="1" applyFill="1" applyBorder="1" applyAlignment="1" applyProtection="1">
      <alignment vertical="center"/>
    </xf>
    <xf numFmtId="0" fontId="75" fillId="12" borderId="0" xfId="0" applyFont="1" applyFill="1" applyBorder="1" applyAlignment="1" applyProtection="1">
      <alignment horizontal="left" vertical="center"/>
    </xf>
    <xf numFmtId="2" fontId="75" fillId="12" borderId="9" xfId="0" applyNumberFormat="1" applyFont="1" applyFill="1" applyBorder="1" applyAlignment="1" applyProtection="1">
      <alignment horizontal="right" vertical="center"/>
    </xf>
    <xf numFmtId="0" fontId="79" fillId="0" borderId="9" xfId="0" applyFont="1" applyBorder="1" applyAlignment="1">
      <alignment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24" fillId="0" borderId="0" xfId="73" applyFont="1" applyAlignment="1" applyProtection="1">
      <alignment horizontal="left" vertical="top"/>
      <protection hidden="1"/>
    </xf>
    <xf numFmtId="0" fontId="29" fillId="6" borderId="0" xfId="73" applyFont="1" applyFill="1" applyAlignment="1" applyProtection="1">
      <alignment horizontal="center" vertical="top" wrapText="1"/>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33" fillId="0" borderId="0" xfId="73" applyFont="1" applyBorder="1" applyAlignment="1" applyProtection="1">
      <alignment horizontal="center" vertical="top"/>
      <protection hidden="1"/>
    </xf>
    <xf numFmtId="0" fontId="72" fillId="3" borderId="30" xfId="109" applyFont="1" applyFill="1" applyBorder="1" applyAlignment="1" applyProtection="1">
      <alignment horizontal="left" vertical="center"/>
      <protection locked="0"/>
    </xf>
    <xf numFmtId="0" fontId="72" fillId="3" borderId="59" xfId="109" applyFont="1" applyFill="1" applyBorder="1" applyAlignment="1" applyProtection="1">
      <alignment horizontal="left" vertical="center"/>
      <protection locked="0"/>
    </xf>
    <xf numFmtId="0" fontId="72" fillId="3" borderId="31"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0" fillId="3" borderId="24" xfId="109" applyFont="1" applyFill="1" applyBorder="1" applyAlignment="1" applyProtection="1">
      <alignment vertical="top"/>
      <protection locked="0"/>
    </xf>
    <xf numFmtId="0" fontId="0" fillId="3" borderId="3" xfId="109" applyFont="1" applyFill="1" applyBorder="1" applyAlignment="1" applyProtection="1">
      <alignment vertical="top"/>
      <protection locked="0"/>
    </xf>
    <xf numFmtId="0" fontId="0" fillId="3" borderId="25" xfId="109" applyFont="1" applyFill="1" applyBorder="1" applyAlignment="1" applyProtection="1">
      <alignment vertical="top"/>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0" fillId="3" borderId="24" xfId="126" applyFont="1" applyFill="1" applyBorder="1" applyAlignment="1" applyProtection="1">
      <alignment vertical="top"/>
      <protection locked="0"/>
    </xf>
    <xf numFmtId="0" fontId="69" fillId="3" borderId="3" xfId="126" applyFont="1" applyFill="1" applyBorder="1" applyAlignment="1" applyProtection="1">
      <alignment vertical="top"/>
      <protection locked="0"/>
    </xf>
    <xf numFmtId="0" fontId="69" fillId="3" borderId="25" xfId="126" applyFont="1" applyFill="1" applyBorder="1" applyAlignment="1" applyProtection="1">
      <alignment vertical="top"/>
      <protection locked="0"/>
    </xf>
    <xf numFmtId="0" fontId="72" fillId="0" borderId="0" xfId="0" applyFont="1" applyAlignment="1" applyProtection="1">
      <alignment horizontal="left" vertical="center"/>
    </xf>
    <xf numFmtId="0" fontId="75" fillId="12" borderId="9" xfId="0" applyFont="1" applyFill="1" applyBorder="1" applyAlignment="1" applyProtection="1">
      <alignment horizontal="left" vertical="center"/>
    </xf>
    <xf numFmtId="0" fontId="75" fillId="9" borderId="0" xfId="109" applyFont="1" applyFill="1" applyBorder="1" applyAlignment="1" applyProtection="1">
      <alignment horizontal="left" vertical="center" wrapText="1"/>
    </xf>
    <xf numFmtId="0" fontId="1" fillId="0" borderId="16" xfId="0" applyNumberFormat="1" applyFont="1" applyFill="1" applyBorder="1" applyAlignment="1" applyProtection="1">
      <alignment horizontal="left" vertical="top" wrapText="1"/>
    </xf>
    <xf numFmtId="0" fontId="75" fillId="0" borderId="0" xfId="0" applyFont="1" applyBorder="1" applyAlignment="1" applyProtection="1">
      <alignment horizontal="left" vertical="center"/>
    </xf>
    <xf numFmtId="1" fontId="75" fillId="9" borderId="0" xfId="109" applyNumberFormat="1" applyFont="1" applyFill="1" applyBorder="1" applyAlignment="1" applyProtection="1">
      <alignment horizontal="left" vertical="center" wrapText="1"/>
    </xf>
    <xf numFmtId="0" fontId="33"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5" xfId="0" applyNumberFormat="1" applyFont="1" applyFill="1" applyBorder="1" applyAlignment="1" applyProtection="1">
      <alignment horizontal="righ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1" fillId="0" borderId="0" xfId="115" applyFont="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2" fillId="0" borderId="0" xfId="0" applyFont="1" applyBorder="1" applyAlignment="1" applyProtection="1">
      <alignment horizontal="right" vertical="center"/>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75" fillId="12" borderId="9" xfId="0" applyFont="1" applyFill="1" applyBorder="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58" fillId="0" borderId="0" xfId="0" applyNumberFormat="1" applyFont="1" applyFill="1" applyBorder="1" applyAlignment="1" applyProtection="1">
      <alignment horizontal="center" vertical="center"/>
    </xf>
    <xf numFmtId="165" fontId="1" fillId="0" borderId="0" xfId="0" applyNumberFormat="1" applyFont="1" applyFill="1" applyBorder="1" applyAlignment="1" applyProtection="1">
      <alignment horizontal="left" vertical="center"/>
    </xf>
    <xf numFmtId="0" fontId="74" fillId="0" borderId="0" xfId="0" applyFont="1" applyAlignment="1" applyProtection="1">
      <alignment horizontal="left" vertical="center"/>
    </xf>
    <xf numFmtId="0" fontId="74" fillId="9" borderId="0" xfId="109" applyFont="1" applyFill="1" applyBorder="1" applyAlignment="1" applyProtection="1">
      <alignment horizontal="left" vertical="center" wrapText="1"/>
    </xf>
    <xf numFmtId="1" fontId="74" fillId="9" borderId="0" xfId="109" applyNumberFormat="1" applyFont="1" applyFill="1" applyBorder="1" applyAlignment="1" applyProtection="1">
      <alignment horizontal="left" vertical="center" wrapText="1"/>
    </xf>
    <xf numFmtId="0" fontId="74" fillId="9" borderId="0" xfId="109" applyFont="1" applyFill="1" applyBorder="1" applyAlignment="1" applyProtection="1">
      <alignment horizontal="left" vertical="center"/>
    </xf>
    <xf numFmtId="0" fontId="75" fillId="12" borderId="24" xfId="0" applyFont="1" applyFill="1" applyBorder="1" applyAlignment="1" applyProtection="1">
      <alignment horizontal="center" vertical="center"/>
    </xf>
    <xf numFmtId="0" fontId="75" fillId="12" borderId="3" xfId="0" applyFont="1" applyFill="1" applyBorder="1" applyAlignment="1" applyProtection="1">
      <alignment horizontal="center" vertical="center"/>
    </xf>
    <xf numFmtId="0" fontId="75" fillId="12" borderId="25" xfId="0" applyFont="1" applyFill="1" applyBorder="1" applyAlignment="1" applyProtection="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72" fillId="0" borderId="0" xfId="0" applyFont="1" applyAlignment="1" applyProtection="1">
      <alignment horizontal="left" vertical="center"/>
      <protection locked="0"/>
    </xf>
    <xf numFmtId="0" fontId="72" fillId="0" borderId="24" xfId="109" applyFont="1" applyFill="1" applyBorder="1" applyAlignment="1" applyProtection="1">
      <alignment horizontal="left" vertical="center" wrapText="1"/>
      <protection hidden="1"/>
    </xf>
    <xf numFmtId="0" fontId="72" fillId="0" borderId="25" xfId="109" applyFont="1" applyFill="1" applyBorder="1" applyAlignment="1" applyProtection="1">
      <alignment horizontal="left" vertical="center" wrapText="1"/>
      <protection hidden="1"/>
    </xf>
    <xf numFmtId="1" fontId="72" fillId="0" borderId="24" xfId="109" applyNumberFormat="1" applyFont="1" applyFill="1" applyBorder="1" applyAlignment="1" applyProtection="1">
      <alignment horizontal="left" vertical="center" wrapText="1"/>
      <protection hidden="1"/>
    </xf>
    <xf numFmtId="0" fontId="72" fillId="0" borderId="16" xfId="0" applyFont="1" applyBorder="1" applyAlignment="1">
      <alignment horizontal="left" vertical="top" wrapText="1"/>
    </xf>
    <xf numFmtId="0" fontId="72" fillId="0" borderId="0" xfId="0" applyFont="1" applyAlignment="1">
      <alignment horizontal="left" vertical="top" wrapText="1"/>
    </xf>
    <xf numFmtId="0" fontId="72" fillId="9" borderId="0" xfId="109" applyFont="1" applyFill="1" applyBorder="1" applyAlignment="1" applyProtection="1">
      <alignment horizontal="left" vertical="center"/>
    </xf>
    <xf numFmtId="0" fontId="75" fillId="0" borderId="24" xfId="0" applyFont="1" applyBorder="1" applyAlignment="1">
      <alignment horizontal="center" vertical="center"/>
    </xf>
    <xf numFmtId="0" fontId="75" fillId="0" borderId="3" xfId="0" applyFont="1" applyBorder="1" applyAlignment="1">
      <alignment horizontal="center" vertical="center"/>
    </xf>
    <xf numFmtId="0" fontId="75" fillId="0" borderId="25" xfId="0" applyFont="1" applyBorder="1" applyAlignment="1">
      <alignment horizontal="center" vertical="center"/>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3" fillId="0" borderId="0" xfId="114" applyFont="1" applyBorder="1" applyAlignment="1" applyProtection="1">
      <alignment horizontal="center" vertical="top"/>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1" fillId="0" borderId="0" xfId="114" applyFont="1" applyBorder="1" applyAlignment="1" applyProtection="1">
      <alignment horizontal="center" vertical="top"/>
      <protection hidden="1"/>
    </xf>
    <xf numFmtId="49" fontId="7" fillId="9" borderId="9" xfId="114" applyNumberFormat="1" applyFont="1" applyFill="1" applyBorder="1" applyAlignment="1" applyProtection="1">
      <alignment horizontal="left" vertical="center" wrapText="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65" fillId="0" borderId="40" xfId="114" applyFont="1" applyBorder="1" applyAlignment="1" applyProtection="1">
      <alignment horizontal="center" vertical="center"/>
      <protection hidden="1"/>
    </xf>
    <xf numFmtId="0" fontId="65"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3" fillId="9" borderId="9" xfId="109" applyNumberFormat="1" applyFont="1" applyFill="1" applyBorder="1" applyAlignment="1" applyProtection="1">
      <alignment horizontal="left" vertical="center"/>
      <protection locked="0"/>
    </xf>
    <xf numFmtId="49" fontId="73" fillId="0" borderId="24" xfId="109" applyNumberFormat="1"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0" fontId="73" fillId="0" borderId="0" xfId="0" applyFont="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3" fillId="0" borderId="24" xfId="109" applyNumberFormat="1"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2" fontId="4" fillId="0" borderId="0" xfId="115" applyNumberFormat="1" applyFont="1" applyFill="1" applyBorder="1" applyAlignment="1" applyProtection="1">
      <alignment horizontal="right"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166" fontId="8" fillId="0" borderId="0" xfId="0" applyNumberFormat="1" applyFont="1" applyFill="1" applyBorder="1" applyAlignment="1" applyProtection="1">
      <alignment horizontal="center" vertical="center" wrapText="1"/>
      <protection locked="0"/>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69"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69"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4" fillId="0" borderId="0" xfId="106" applyFont="1" applyFill="1" applyAlignment="1" applyProtection="1">
      <alignment horizontal="left" vertical="center"/>
      <protection hidden="1"/>
    </xf>
    <xf numFmtId="0" fontId="59" fillId="0" borderId="0" xfId="106" applyFont="1" applyAlignment="1" applyProtection="1">
      <alignment horizontal="justify" vertical="top"/>
    </xf>
    <xf numFmtId="0" fontId="4" fillId="0" borderId="0" xfId="106" applyFont="1" applyAlignment="1" applyProtection="1">
      <alignment horizontal="center" vertical="top"/>
    </xf>
    <xf numFmtId="0" fontId="4" fillId="0" borderId="0" xfId="106" applyFont="1" applyAlignment="1" applyProtection="1">
      <alignment horizontal="justify" vertical="top"/>
    </xf>
    <xf numFmtId="0" fontId="7" fillId="0" borderId="0" xfId="106" applyFont="1" applyAlignment="1" applyProtection="1">
      <alignment horizontal="justify" vertical="center"/>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0" fontId="4" fillId="0" borderId="0"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10" fontId="4" fillId="0" borderId="0" xfId="106" applyNumberFormat="1" applyFont="1" applyFill="1" applyAlignment="1" applyProtection="1">
      <alignment horizontal="left" vertical="center"/>
      <protection hidden="1"/>
    </xf>
    <xf numFmtId="0" fontId="4" fillId="0" borderId="22" xfId="73" applyFont="1" applyBorder="1" applyAlignment="1" applyProtection="1">
      <alignment horizontal="left" vertical="center" indent="2"/>
    </xf>
    <xf numFmtId="0" fontId="4" fillId="0" borderId="69"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33" fillId="0" borderId="0" xfId="106" quotePrefix="1" applyFont="1" applyAlignment="1" applyProtection="1">
      <alignment horizontal="center" vertical="center"/>
    </xf>
    <xf numFmtId="0" fontId="7" fillId="0" borderId="13" xfId="0" applyFont="1" applyBorder="1" applyAlignment="1" applyProtection="1">
      <alignment horizontal="left" vertical="center" wrapText="1"/>
      <protection hidden="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53" fillId="0" borderId="0" xfId="0" applyFont="1" applyFill="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2" fillId="0" borderId="0" xfId="0" applyFont="1" applyAlignment="1" applyProtection="1">
      <alignment horizontal="left" vertical="top" wrapText="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7"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cellXfs>
  <cellStyles count="128">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57 2" xfId="127" xr:uid="{00000000-0005-0000-0000-000066000000}"/>
    <cellStyle name="Normal 6" xfId="102" xr:uid="{00000000-0005-0000-0000-000067000000}"/>
    <cellStyle name="Normal 7" xfId="103" xr:uid="{00000000-0005-0000-0000-000068000000}"/>
    <cellStyle name="Normal 8" xfId="104" xr:uid="{00000000-0005-0000-0000-000069000000}"/>
    <cellStyle name="Normal 9" xfId="105" xr:uid="{00000000-0005-0000-0000-00006A000000}"/>
    <cellStyle name="Normal_Annexures TW 04" xfId="106" xr:uid="{00000000-0005-0000-0000-00006B000000}"/>
    <cellStyle name="Normal_Annexures TW 04 2" xfId="107" xr:uid="{00000000-0005-0000-0000-00006C000000}"/>
    <cellStyle name="Normal_Attach 3(JV)" xfId="108" xr:uid="{00000000-0005-0000-0000-00006D000000}"/>
    <cellStyle name="Normal_Attacments TW 04" xfId="109" xr:uid="{00000000-0005-0000-0000-00006E000000}"/>
    <cellStyle name="Normal_Attacments TW 04 2" xfId="126" xr:uid="{00000000-0005-0000-0000-00006F000000}"/>
    <cellStyle name="Normal_Entertainment Form" xfId="110" xr:uid="{00000000-0005-0000-0000-000070000000}"/>
    <cellStyle name="Normal_pgcil-tivim-pricesched" xfId="111" xr:uid="{00000000-0005-0000-0000-000071000000}"/>
    <cellStyle name="Normal_PRICE SCHEDULE-4 to 6-A4" xfId="112" xr:uid="{00000000-0005-0000-0000-000072000000}"/>
    <cellStyle name="Normal_PRICE SCHEDULE-4 to 6-A4 2" xfId="113" xr:uid="{00000000-0005-0000-0000-000073000000}"/>
    <cellStyle name="Normal_Price_Schedules for Insulator Package Rev-01" xfId="114" xr:uid="{00000000-0005-0000-0000-000074000000}"/>
    <cellStyle name="Normal_PRICE-SCHE Bihar-Rev-2-corrections" xfId="115" xr:uid="{00000000-0005-0000-0000-000075000000}"/>
    <cellStyle name="Normal_PRICE-SCHE Bihar-Rev-2-corrections_Annexures TW 04" xfId="116" xr:uid="{00000000-0005-0000-0000-000076000000}"/>
    <cellStyle name="Normal_PRICE-SCHE Bihar-Rev-2-corrections_Price_Schedules for Insulator Package Rev-01" xfId="117" xr:uid="{00000000-0005-0000-0000-000077000000}"/>
    <cellStyle name="Normal_Sch-1" xfId="118" xr:uid="{00000000-0005-0000-0000-000078000000}"/>
    <cellStyle name="Normal_Sheet1" xfId="119" xr:uid="{00000000-0005-0000-0000-000079000000}"/>
    <cellStyle name="Note 2" xfId="120" xr:uid="{00000000-0005-0000-0000-00007A000000}"/>
    <cellStyle name="Note 2 2" xfId="121" xr:uid="{00000000-0005-0000-0000-00007B000000}"/>
    <cellStyle name="Popis" xfId="122" xr:uid="{00000000-0005-0000-0000-00007C000000}"/>
    <cellStyle name="Sledovaný hypertextový odkaz" xfId="123" xr:uid="{00000000-0005-0000-0000-00007D000000}"/>
    <cellStyle name="Sledovaný hypertextový odkaz 2" xfId="124" xr:uid="{00000000-0005-0000-0000-00007E000000}"/>
    <cellStyle name="Standard_BS14" xfId="125" xr:uid="{00000000-0005-0000-0000-00007F000000}"/>
  </cellStyles>
  <dxfs count="16">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ont>
        <condense val="0"/>
        <extend val="0"/>
        <color indexed="10"/>
      </font>
    </dxf>
    <dxf>
      <font>
        <condense val="0"/>
        <extend val="0"/>
        <color indexed="9"/>
      </font>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7115175" y="47625"/>
          <a:ext cx="571500" cy="12858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462625" y="285750"/>
          <a:ext cx="0" cy="168592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2019" y="47625"/>
          <a:ext cx="1104900" cy="597694"/>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6163" y="19050"/>
          <a:ext cx="1104900" cy="690563"/>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496175"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A528CB8-0136-41E1-BB12-19D72E5655D3}" protected="1">
  <header guid="{3A528CB8-0136-41E1-BB12-19D72E5655D3}" dateTime="2023-06-12T20:43:56" maxSheetId="23" userName="Siddhant Kumar {सिद्धांत कुमार}"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A528CB8-0136-41E1-BB12-19D72E5655D3}" name="Siddhant Kumar {सिद्धांत कुमार}" id="-737285927" dateTime="2023-06-12T20:43:5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5" Type="http://schemas.openxmlformats.org/officeDocument/2006/relationships/printerSettings" Target="../printerSettings/printerSettings307.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319.bin"/><Relationship Id="rId3" Type="http://schemas.openxmlformats.org/officeDocument/2006/relationships/printerSettings" Target="../printerSettings/printerSettings314.bin"/><Relationship Id="rId7" Type="http://schemas.openxmlformats.org/officeDocument/2006/relationships/printerSettings" Target="../printerSettings/printerSettings318.bin"/><Relationship Id="rId2" Type="http://schemas.openxmlformats.org/officeDocument/2006/relationships/printerSettings" Target="../printerSettings/printerSettings313.bin"/><Relationship Id="rId1" Type="http://schemas.openxmlformats.org/officeDocument/2006/relationships/printerSettings" Target="../printerSettings/printerSettings312.bin"/><Relationship Id="rId6" Type="http://schemas.openxmlformats.org/officeDocument/2006/relationships/printerSettings" Target="../printerSettings/printerSettings317.bin"/><Relationship Id="rId5" Type="http://schemas.openxmlformats.org/officeDocument/2006/relationships/printerSettings" Target="../printerSettings/printerSettings316.bin"/><Relationship Id="rId4" Type="http://schemas.openxmlformats.org/officeDocument/2006/relationships/printerSettings" Target="../printerSettings/printerSettings315.bin"/><Relationship Id="rId9" Type="http://schemas.openxmlformats.org/officeDocument/2006/relationships/printerSettings" Target="../printerSettings/printerSettings32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28.bin"/><Relationship Id="rId13" Type="http://schemas.openxmlformats.org/officeDocument/2006/relationships/printerSettings" Target="../printerSettings/printerSettings333.bin"/><Relationship Id="rId3" Type="http://schemas.openxmlformats.org/officeDocument/2006/relationships/printerSettings" Target="../printerSettings/printerSettings323.bin"/><Relationship Id="rId7" Type="http://schemas.openxmlformats.org/officeDocument/2006/relationships/printerSettings" Target="../printerSettings/printerSettings327.bin"/><Relationship Id="rId12" Type="http://schemas.openxmlformats.org/officeDocument/2006/relationships/printerSettings" Target="../printerSettings/printerSettings332.bin"/><Relationship Id="rId2" Type="http://schemas.openxmlformats.org/officeDocument/2006/relationships/printerSettings" Target="../printerSettings/printerSettings322.bin"/><Relationship Id="rId1" Type="http://schemas.openxmlformats.org/officeDocument/2006/relationships/printerSettings" Target="../printerSettings/printerSettings321.bin"/><Relationship Id="rId6" Type="http://schemas.openxmlformats.org/officeDocument/2006/relationships/printerSettings" Target="../printerSettings/printerSettings326.bin"/><Relationship Id="rId11" Type="http://schemas.openxmlformats.org/officeDocument/2006/relationships/printerSettings" Target="../printerSettings/printerSettings331.bin"/><Relationship Id="rId5" Type="http://schemas.openxmlformats.org/officeDocument/2006/relationships/printerSettings" Target="../printerSettings/printerSettings325.bin"/><Relationship Id="rId10" Type="http://schemas.openxmlformats.org/officeDocument/2006/relationships/printerSettings" Target="../printerSettings/printerSettings330.bin"/><Relationship Id="rId4" Type="http://schemas.openxmlformats.org/officeDocument/2006/relationships/printerSettings" Target="../printerSettings/printerSettings324.bin"/><Relationship Id="rId9" Type="http://schemas.openxmlformats.org/officeDocument/2006/relationships/printerSettings" Target="../printerSettings/printerSettings3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16" sqref="B16"/>
    </sheetView>
  </sheetViews>
  <sheetFormatPr defaultColWidth="9.140625" defaultRowHeight="16.5"/>
  <cols>
    <col min="1" max="1" width="20.5703125" style="34" customWidth="1"/>
    <col min="2" max="2" width="95.28515625" style="34" customWidth="1"/>
    <col min="3" max="8" width="9.140625" style="34"/>
    <col min="9" max="9" width="9.140625" style="34" hidden="1" customWidth="1"/>
    <col min="10" max="16384" width="9.140625" style="34"/>
  </cols>
  <sheetData>
    <row r="1" spans="1:9" ht="84.75" customHeight="1">
      <c r="A1" s="31" t="s">
        <v>41</v>
      </c>
      <c r="B1" s="32" t="s">
        <v>494</v>
      </c>
      <c r="C1" s="33"/>
      <c r="D1" s="33"/>
      <c r="E1" s="33"/>
      <c r="F1" s="33"/>
      <c r="G1" s="33"/>
      <c r="H1" s="33"/>
    </row>
    <row r="2" spans="1:9">
      <c r="B2" s="35"/>
      <c r="I2" s="34" t="s">
        <v>264</v>
      </c>
    </row>
    <row r="3" spans="1:9">
      <c r="A3" s="34" t="s">
        <v>42</v>
      </c>
      <c r="B3" s="404" t="s">
        <v>495</v>
      </c>
      <c r="I3" s="34" t="s">
        <v>265</v>
      </c>
    </row>
    <row r="5" spans="1:9">
      <c r="A5" s="34" t="s">
        <v>43</v>
      </c>
      <c r="B5" s="444" t="s">
        <v>507</v>
      </c>
      <c r="C5" s="33"/>
      <c r="D5" s="33"/>
      <c r="E5" s="33"/>
      <c r="F5" s="33"/>
      <c r="G5" s="33"/>
      <c r="H5" s="33"/>
    </row>
  </sheetData>
  <sheetProtection selectLockedCells="1" selectUnlockedCells="1"/>
  <customSheetViews>
    <customSheetView guid="{84F40905-A9D3-43A5-987A-8A757D486A94}" hiddenColumns="1" state="hidden">
      <selection activeCell="B16" sqref="B16"/>
      <pageMargins left="0.75" right="0.75" top="1" bottom="1" header="0.5" footer="0.5"/>
      <pageSetup orientation="portrait" r:id="rId1"/>
      <headerFooter alignWithMargins="0"/>
    </customSheetView>
    <customSheetView guid="{BDFA0401-0547-4E51-8BD2-84F711B066CA}" hiddenColumns="1" state="hidden">
      <selection activeCell="B9" sqref="B9"/>
      <pageMargins left="0.75" right="0.75" top="1" bottom="1" header="0.5" footer="0.5"/>
      <pageSetup orientation="portrait" r:id="rId2"/>
      <headerFooter alignWithMargins="0"/>
    </customSheetView>
    <customSheetView guid="{112647D2-7580-431B-99B5-DD512E2AD50E}" hiddenColumns="1" state="hidden">
      <selection activeCell="B5" sqref="B5"/>
      <pageMargins left="0.75" right="0.75" top="1" bottom="1" header="0.5" footer="0.5"/>
      <pageSetup orientation="portrait" r:id="rId3"/>
      <headerFooter alignWithMargins="0"/>
    </customSheetView>
    <customSheetView guid="{63D51328-7CBC-4A1E-B96D-BAE91416501B}" hiddenColumns="1" state="hidden">
      <selection activeCell="B20" sqref="B20"/>
      <pageMargins left="0.75" right="0.75" top="1" bottom="1" header="0.5" footer="0.5"/>
      <pageSetup orientation="portrait" r:id="rId4"/>
      <headerFooter alignWithMargins="0"/>
    </customSheetView>
    <customSheetView guid="{99CA2F10-F926-46DC-8609-4EAE5B9F3585}" hiddenColumns="1" state="hidden">
      <selection activeCell="E14" sqref="E14"/>
      <pageMargins left="0.75" right="0.75" top="1" bottom="1" header="0.5" footer="0.5"/>
      <pageSetup orientation="portrait" r:id="rId5"/>
      <headerFooter alignWithMargins="0"/>
    </customSheetView>
    <customSheetView guid="{3C00DDA0-7DDE-4169-A739-550DAF5DCF8D}" hiddenColumns="1" state="hidden">
      <selection activeCell="B11" sqref="B11"/>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B96E710B-6DD7-4DE1-95AB-C9EE060CD030}" hiddenColumns="1" state="hidden">
      <selection activeCell="B9" sqref="B9:B10"/>
      <pageMargins left="0.75" right="0.75" top="1" bottom="1" header="0.5" footer="0.5"/>
      <pageSetup orientation="portrait" r:id="rId8"/>
      <headerFooter alignWithMargins="0"/>
    </customSheetView>
    <customSheetView guid="{CCA37BAE-906F-43D5-9FD9-B13563E4B9D7}" hiddenColumns="1" state="hidden">
      <selection activeCell="B14" sqref="B14"/>
      <pageMargins left="0.75" right="0.75" top="1" bottom="1" header="0.5" footer="0.5"/>
      <pageSetup orientation="portrait" r:id="rId9"/>
      <headerFooter alignWithMargins="0"/>
    </customSheetView>
    <customSheetView guid="{F8A50AE1-259E-429D-A506-38EB64D134EF}" hiddenColumns="1" state="hidden">
      <selection activeCell="B6" sqref="B6"/>
      <pageMargins left="0.75" right="0.75" top="1" bottom="1" header="0.5" footer="0.5"/>
      <pageSetup orientation="portrait" r:id="rId10"/>
      <headerFooter alignWithMargins="0"/>
    </customSheetView>
    <customSheetView guid="{DEF6DCE2-4A74-4BE5-B5D5-8143DC3F770A}" hiddenColumns="1" state="hidden">
      <selection activeCell="B6" sqref="B6"/>
      <pageMargins left="0.75" right="0.75" top="1" bottom="1" header="0.5" footer="0.5"/>
      <pageSetup orientation="portrait" r:id="rId11"/>
      <headerFooter alignWithMargins="0"/>
    </customSheetView>
    <customSheetView guid="{F658ED72-5E54-4C5B-BB2C-7A2962080984}" hiddenColumns="1" state="hidden">
      <selection activeCell="B6" sqref="B6"/>
      <pageMargins left="0.75" right="0.75" top="1" bottom="1" header="0.5" footer="0.5"/>
      <pageSetup orientation="portrait" r:id="rId12"/>
      <headerFooter alignWithMargins="0"/>
    </customSheetView>
    <customSheetView guid="{BE68641D-0C1E-4F8D-890A-A660C199187C}" hiddenColumns="1" state="hidden">
      <selection activeCell="B5" sqref="B5"/>
      <pageMargins left="0.75" right="0.75" top="1" bottom="1" header="0.5" footer="0.5"/>
      <pageSetup orientation="portrait" r:id="rId13"/>
      <headerFooter alignWithMargins="0"/>
    </customSheetView>
    <customSheetView guid="{AD0333DF-5B33-49B5-B063-72505D20EFE4}" hiddenColumns="1" state="hidden">
      <selection activeCell="B5" sqref="B5"/>
      <pageMargins left="0.75" right="0.75" top="1" bottom="1" header="0.5" footer="0.5"/>
      <pageSetup orientation="portrait" r:id="rId14"/>
      <headerFooter alignWithMargins="0"/>
    </customSheetView>
    <customSheetView guid="{C44C314C-9BEB-403F-A933-6B948E5C1171}" hiddenColumns="1" state="hidden">
      <selection activeCell="B5" sqref="B5"/>
      <pageMargins left="0.75" right="0.75" top="1" bottom="1" header="0.5" footer="0.5"/>
      <pageSetup orientation="portrait" r:id="rId15"/>
      <headerFooter alignWithMargins="0"/>
    </customSheetView>
  </customSheetViews>
  <pageMargins left="0.75" right="0.75" top="1" bottom="1" header="0.5" footer="0.5"/>
  <pageSetup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pageSetUpPr autoPageBreaks="0"/>
  </sheetPr>
  <dimension ref="A1:J17"/>
  <sheetViews>
    <sheetView showGridLines="0" tabSelected="1" zoomScaleNormal="100" workbookViewId="0">
      <selection activeCell="F2" sqref="F2:F12"/>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757"/>
      <c r="C1" s="758"/>
      <c r="D1" s="758"/>
      <c r="E1" s="759"/>
      <c r="F1" s="37"/>
      <c r="G1" s="38"/>
      <c r="H1" s="39"/>
      <c r="I1" s="39"/>
      <c r="J1" s="40"/>
    </row>
    <row r="2" spans="1:10" ht="75.75" customHeight="1">
      <c r="A2" s="760" t="s">
        <v>44</v>
      </c>
      <c r="B2" s="763" t="str">
        <f>Basic!B1</f>
        <v>Reactor Package RT03 under Bulk Procurement of 765kV and 400kV Class Transformers and Reactors of various capacities- LOT-3 and SIS/Addl. Cap. -Re-Tender</v>
      </c>
      <c r="C2" s="764"/>
      <c r="D2" s="764"/>
      <c r="E2" s="765"/>
      <c r="F2" s="766" t="str">
        <f>Basic!B3</f>
        <v xml:space="preserve">RT03 </v>
      </c>
      <c r="G2" s="38"/>
      <c r="H2" s="39"/>
      <c r="I2" s="39"/>
      <c r="J2" s="40"/>
    </row>
    <row r="3" spans="1:10" ht="23.25" customHeight="1">
      <c r="A3" s="761"/>
      <c r="B3" s="769" t="str">
        <f>Basic!B5</f>
        <v>Spec. No. CC/NT/W-RT/DOM/A06/23/04299</v>
      </c>
      <c r="C3" s="770"/>
      <c r="D3" s="770"/>
      <c r="E3" s="771"/>
      <c r="F3" s="767"/>
      <c r="G3" s="38"/>
      <c r="H3" s="39"/>
      <c r="I3" s="39"/>
      <c r="J3" s="40"/>
    </row>
    <row r="4" spans="1:10" ht="39.950000000000003" customHeight="1">
      <c r="A4" s="761"/>
      <c r="B4" s="42">
        <v>1</v>
      </c>
      <c r="C4" s="772" t="s">
        <v>45</v>
      </c>
      <c r="D4" s="772"/>
      <c r="E4" s="773"/>
      <c r="F4" s="767"/>
      <c r="G4" s="43"/>
      <c r="H4" s="44" t="s">
        <v>46</v>
      </c>
      <c r="I4" s="39"/>
      <c r="J4" s="40"/>
    </row>
    <row r="5" spans="1:10" ht="30" customHeight="1">
      <c r="A5" s="761"/>
      <c r="B5" s="42">
        <v>2</v>
      </c>
      <c r="C5" s="772" t="s">
        <v>47</v>
      </c>
      <c r="D5" s="772"/>
      <c r="E5" s="773"/>
      <c r="F5" s="767"/>
      <c r="G5" s="38"/>
      <c r="H5" s="39"/>
      <c r="I5" s="39"/>
      <c r="J5" s="40"/>
    </row>
    <row r="6" spans="1:10" s="45" customFormat="1" ht="30" customHeight="1">
      <c r="A6" s="761"/>
      <c r="B6" s="42">
        <v>3</v>
      </c>
      <c r="C6" s="772" t="s">
        <v>48</v>
      </c>
      <c r="D6" s="772"/>
      <c r="E6" s="773"/>
      <c r="F6" s="767"/>
      <c r="G6" s="38"/>
      <c r="H6" s="39"/>
      <c r="I6" s="39"/>
      <c r="J6" s="39"/>
    </row>
    <row r="7" spans="1:10" ht="52.5" hidden="1" customHeight="1">
      <c r="A7" s="761"/>
      <c r="B7" s="42">
        <v>4</v>
      </c>
      <c r="C7" s="772" t="s">
        <v>49</v>
      </c>
      <c r="D7" s="772"/>
      <c r="E7" s="773"/>
      <c r="F7" s="767"/>
      <c r="G7" s="38"/>
      <c r="H7" s="39"/>
      <c r="I7" s="39"/>
      <c r="J7" s="40"/>
    </row>
    <row r="8" spans="1:10" ht="9.75" customHeight="1">
      <c r="A8" s="761"/>
      <c r="B8" s="46"/>
      <c r="C8" s="47"/>
      <c r="D8" s="47"/>
      <c r="E8" s="48"/>
      <c r="F8" s="767"/>
      <c r="G8" s="38"/>
      <c r="H8" s="39"/>
      <c r="I8" s="39"/>
      <c r="J8" s="40"/>
    </row>
    <row r="9" spans="1:10" ht="23.25" customHeight="1">
      <c r="A9" s="761"/>
      <c r="B9" s="774"/>
      <c r="C9" s="775"/>
      <c r="D9" s="775"/>
      <c r="E9" s="776"/>
      <c r="F9" s="767"/>
      <c r="G9" s="38"/>
      <c r="H9" s="39"/>
      <c r="I9" s="39"/>
      <c r="J9" s="40"/>
    </row>
    <row r="10" spans="1:10" ht="10.5" customHeight="1">
      <c r="A10" s="761"/>
      <c r="B10" s="49"/>
      <c r="C10" s="50"/>
      <c r="D10" s="50"/>
      <c r="E10" s="51"/>
      <c r="F10" s="767"/>
      <c r="G10" s="38"/>
      <c r="H10" s="39"/>
      <c r="I10" s="39"/>
      <c r="J10" s="40"/>
    </row>
    <row r="11" spans="1:10" ht="24" customHeight="1">
      <c r="A11" s="761"/>
      <c r="B11" s="777" t="s">
        <v>50</v>
      </c>
      <c r="C11" s="778"/>
      <c r="D11" s="778"/>
      <c r="E11" s="52"/>
      <c r="F11" s="767"/>
    </row>
    <row r="12" spans="1:10" ht="15.95" customHeight="1">
      <c r="A12" s="762"/>
      <c r="B12" s="779" t="s">
        <v>51</v>
      </c>
      <c r="C12" s="780"/>
      <c r="D12" s="780"/>
      <c r="E12" s="53"/>
      <c r="F12" s="768"/>
      <c r="G12" s="38"/>
      <c r="H12" s="39"/>
      <c r="I12" s="39"/>
      <c r="J12" s="40"/>
    </row>
    <row r="13" spans="1:10" ht="24" customHeight="1">
      <c r="A13" s="751"/>
      <c r="B13" s="752" t="s">
        <v>52</v>
      </c>
      <c r="C13" s="753"/>
      <c r="D13" s="753"/>
      <c r="E13" s="52"/>
      <c r="F13" s="754"/>
      <c r="G13" s="54"/>
      <c r="H13" s="54"/>
      <c r="I13" s="54"/>
      <c r="J13" s="54"/>
    </row>
    <row r="14" spans="1:10" ht="15.95" customHeight="1">
      <c r="A14" s="751"/>
      <c r="B14" s="755" t="s">
        <v>53</v>
      </c>
      <c r="C14" s="756"/>
      <c r="D14" s="756"/>
      <c r="E14" s="55"/>
      <c r="F14" s="754"/>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XJa8sNjGEp2ceskfDaFjaRh1uYIQNfUiaYqOwZ4LkULPs4iT9vxQt+i3vr8ocsTLXjI/VqCnEojDTHls49wB2w==" saltValue="tT63T00Fwf3/bBEVYoD+HQ==" spinCount="100000" sheet="1" selectLockedCells="1"/>
  <customSheetViews>
    <customSheetView guid="{84F40905-A9D3-43A5-987A-8A757D486A94}" showGridLines="0" hiddenRows="1">
      <selection activeCell="F2" sqref="F2:F1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BDFA0401-0547-4E51-8BD2-84F711B066CA}"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112647D2-7580-431B-99B5-DD512E2AD50E}"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8A50AE1-259E-429D-A506-38EB64D134E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EF6DCE2-4A74-4BE5-B5D5-8143DC3F770A}"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F658ED72-5E54-4C5B-BB2C-7A296208098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BE68641D-0C1E-4F8D-890A-A660C199187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AD0333DF-5B33-49B5-B063-72505D20EFE4}" showGridLines="0" hiddenRows="1">
      <selection activeCell="C4" sqref="C4:E4"/>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44C314C-9BEB-403F-A933-6B948E5C1171}" showGridLines="0" hiddenRows="1">
      <selection activeCell="C4" sqref="C4:E4"/>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782" t="s">
        <v>348</v>
      </c>
      <c r="B1" s="782"/>
      <c r="C1" s="782"/>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781" t="s">
        <v>70</v>
      </c>
      <c r="C12" s="781"/>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781" t="s">
        <v>72</v>
      </c>
      <c r="C14" s="781"/>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781" t="s">
        <v>80</v>
      </c>
      <c r="C21" s="781"/>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781" t="s">
        <v>86</v>
      </c>
      <c r="C27" s="781"/>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781" t="s">
        <v>87</v>
      </c>
      <c r="C30" s="781"/>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781" t="s">
        <v>88</v>
      </c>
      <c r="C33" s="781"/>
      <c r="D33" s="71"/>
    </row>
    <row r="34" spans="2:11" ht="18" customHeight="1">
      <c r="B34" s="73" t="s">
        <v>73</v>
      </c>
      <c r="C34" s="70" t="s">
        <v>89</v>
      </c>
      <c r="D34" s="67"/>
    </row>
    <row r="35" spans="2:11" ht="18" customHeight="1">
      <c r="B35" s="781" t="s">
        <v>90</v>
      </c>
      <c r="C35" s="781"/>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781" t="s">
        <v>96</v>
      </c>
      <c r="C41" s="781"/>
    </row>
    <row r="42" spans="2:11" ht="38.1" customHeight="1">
      <c r="B42" s="73" t="s">
        <v>73</v>
      </c>
      <c r="C42" s="70" t="s">
        <v>97</v>
      </c>
    </row>
    <row r="43" spans="2:11" ht="18" customHeight="1">
      <c r="B43" s="73" t="s">
        <v>73</v>
      </c>
      <c r="C43" s="76" t="s">
        <v>98</v>
      </c>
    </row>
    <row r="44" spans="2:11" ht="18" customHeight="1">
      <c r="B44" s="781" t="s">
        <v>99</v>
      </c>
      <c r="C44" s="781"/>
    </row>
    <row r="45" spans="2:11" ht="38.1" customHeight="1">
      <c r="B45" s="73" t="s">
        <v>73</v>
      </c>
      <c r="C45" s="70" t="s">
        <v>100</v>
      </c>
    </row>
    <row r="46" spans="2:11" ht="18" customHeight="1">
      <c r="B46" s="73" t="s">
        <v>73</v>
      </c>
      <c r="C46" s="76" t="s">
        <v>98</v>
      </c>
    </row>
    <row r="47" spans="2:11" ht="18" customHeight="1">
      <c r="B47" s="781" t="s">
        <v>101</v>
      </c>
      <c r="C47" s="781" t="s">
        <v>102</v>
      </c>
    </row>
    <row r="48" spans="2:11" ht="48" customHeight="1">
      <c r="B48" s="73" t="s">
        <v>73</v>
      </c>
      <c r="C48" s="70" t="s">
        <v>103</v>
      </c>
    </row>
    <row r="49" spans="1:11" ht="18" customHeight="1">
      <c r="B49" s="73" t="s">
        <v>73</v>
      </c>
      <c r="C49" s="76" t="s">
        <v>98</v>
      </c>
    </row>
    <row r="50" spans="1:11" ht="18" customHeight="1">
      <c r="B50" s="781" t="s">
        <v>104</v>
      </c>
      <c r="C50" s="781"/>
    </row>
    <row r="51" spans="1:11" ht="38.1" customHeight="1">
      <c r="B51" s="73" t="s">
        <v>73</v>
      </c>
      <c r="C51" s="70" t="s">
        <v>105</v>
      </c>
    </row>
    <row r="52" spans="1:11" ht="38.1" customHeight="1">
      <c r="B52" s="73" t="s">
        <v>73</v>
      </c>
      <c r="C52" s="70" t="s">
        <v>106</v>
      </c>
    </row>
    <row r="53" spans="1:11" ht="18" customHeight="1">
      <c r="B53" s="781" t="s">
        <v>107</v>
      </c>
      <c r="C53" s="781"/>
    </row>
    <row r="54" spans="1:11" ht="18" customHeight="1">
      <c r="B54" s="73" t="s">
        <v>73</v>
      </c>
      <c r="C54" s="77" t="s">
        <v>108</v>
      </c>
    </row>
    <row r="55" spans="1:11" ht="18" customHeight="1">
      <c r="B55" s="73" t="s">
        <v>73</v>
      </c>
      <c r="C55" s="77" t="s">
        <v>109</v>
      </c>
    </row>
    <row r="56" spans="1:11" ht="18" customHeight="1">
      <c r="B56" s="781" t="s">
        <v>110</v>
      </c>
      <c r="C56" s="781"/>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785"/>
      <c r="B62" s="785"/>
      <c r="C62" s="785"/>
      <c r="D62" s="79"/>
    </row>
    <row r="63" spans="1:11" ht="18" customHeight="1">
      <c r="A63" s="783" t="s">
        <v>115</v>
      </c>
      <c r="B63" s="783"/>
      <c r="C63" s="783"/>
      <c r="D63" s="79"/>
    </row>
    <row r="64" spans="1:11" ht="36" customHeight="1">
      <c r="A64" s="784" t="s">
        <v>116</v>
      </c>
      <c r="B64" s="784"/>
      <c r="C64" s="784"/>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84F40905-A9D3-43A5-987A-8A757D486A94}"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BDFA0401-0547-4E51-8BD2-84F711B066CA}"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112647D2-7580-431B-99B5-DD512E2AD50E}"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F8A50AE1-259E-429D-A506-38EB64D134EF}"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DEF6DCE2-4A74-4BE5-B5D5-8143DC3F770A}"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F658ED72-5E54-4C5B-BB2C-7A2962080984}"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BE68641D-0C1E-4F8D-890A-A660C199187C}"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 guid="{AD0333DF-5B33-49B5-B063-72505D20EFE4}" showGridLines="0" state="hidden" topLeftCell="A43">
      <selection activeCell="A36" sqref="A36:IV36"/>
      <rowBreaks count="1" manualBreakCount="1">
        <brk id="29" max="2" man="1"/>
      </rowBreaks>
      <pageMargins left="0.75" right="0.75" top="0.55000000000000004" bottom="0.47" header="0.32" footer="0.25"/>
      <pageSetup orientation="portrait" r:id="rId14"/>
      <headerFooter alignWithMargins="0">
        <oddFooter>&amp;RPage &amp;P of &amp;N</oddFooter>
      </headerFooter>
    </customSheetView>
    <customSheetView guid="{C44C314C-9BEB-403F-A933-6B948E5C1171}" showGridLines="0" state="hidden" topLeftCell="A43">
      <selection activeCell="A36" sqref="A36:IV36"/>
      <rowBreaks count="1" manualBreakCount="1">
        <brk id="29" max="2" man="1"/>
      </rowBreaks>
      <pageMargins left="0.75" right="0.75" top="0.55000000000000004" bottom="0.47" header="0.32" footer="0.25"/>
      <pageSetup orientation="portrait" r:id="rId15"/>
      <headerFooter alignWithMargins="0">
        <oddFooter>&amp;RPage &amp;P of &amp;N</oddFooter>
      </headerFooter>
    </customSheetView>
  </customSheetViews>
  <mergeCells count="17">
    <mergeCell ref="A63:C63"/>
    <mergeCell ref="A64:C64"/>
    <mergeCell ref="B50:C50"/>
    <mergeCell ref="B44:C44"/>
    <mergeCell ref="B47:C47"/>
    <mergeCell ref="B53:C53"/>
    <mergeCell ref="B56:C56"/>
    <mergeCell ref="A62:C62"/>
    <mergeCell ref="B33:C33"/>
    <mergeCell ref="B35:C35"/>
    <mergeCell ref="B41:C41"/>
    <mergeCell ref="B30:C30"/>
    <mergeCell ref="A1:C1"/>
    <mergeCell ref="B12:C12"/>
    <mergeCell ref="B14:C14"/>
    <mergeCell ref="B21:C21"/>
    <mergeCell ref="B27:C27"/>
  </mergeCells>
  <pageMargins left="0.75" right="0.75" top="0.55000000000000004" bottom="0.47" header="0.32" footer="0.25"/>
  <pageSetup orientation="portrait" r:id="rId16"/>
  <headerFooter alignWithMargins="0">
    <oddFooter>&amp;RPage &amp;P of &amp;N</oddFooter>
  </headerFooter>
  <rowBreaks count="1" manualBreakCount="1">
    <brk id="29"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28" sqref="D28:G28"/>
    </sheetView>
  </sheetViews>
  <sheetFormatPr defaultColWidth="9.140625" defaultRowHeight="15.75"/>
  <cols>
    <col min="1" max="1" width="3.7109375" style="548" customWidth="1"/>
    <col min="2" max="2" width="33" style="545" customWidth="1"/>
    <col min="3" max="3" width="11.7109375" style="545" customWidth="1"/>
    <col min="4" max="5" width="6.42578125" style="545" customWidth="1"/>
    <col min="6" max="6" width="6.42578125" style="548" customWidth="1"/>
    <col min="7" max="7" width="39" style="548" customWidth="1"/>
    <col min="8" max="8" width="11.85546875" style="548" hidden="1" customWidth="1"/>
    <col min="9" max="10" width="11.85546875" style="548" customWidth="1"/>
    <col min="11" max="11" width="11.85546875" style="548" hidden="1" customWidth="1"/>
    <col min="12" max="25" width="11.85546875" style="548" customWidth="1"/>
    <col min="26" max="26" width="9.140625" style="548" customWidth="1"/>
    <col min="27" max="27" width="15.28515625" style="548" customWidth="1"/>
    <col min="28" max="16384" width="9.140625" style="548"/>
  </cols>
  <sheetData>
    <row r="1" spans="1:29" s="545" customFormat="1" ht="88.5" customHeight="1">
      <c r="B1" s="797" t="str">
        <f>Cover!$B$2</f>
        <v>Reactor Package RT03 under Bulk Procurement of 765kV and 400kV Class Transformers and Reactors of various capacities- LOT-3 and SIS/Addl. Cap. -Re-Tender</v>
      </c>
      <c r="C1" s="797"/>
      <c r="D1" s="797"/>
      <c r="E1" s="797"/>
      <c r="F1" s="797"/>
      <c r="G1" s="797"/>
      <c r="H1" s="546"/>
      <c r="I1" s="546"/>
      <c r="J1" s="546"/>
      <c r="K1" s="546"/>
      <c r="L1" s="546"/>
      <c r="M1" s="546"/>
      <c r="N1" s="546"/>
      <c r="O1" s="546"/>
      <c r="P1" s="546"/>
      <c r="Q1" s="546"/>
      <c r="R1" s="546"/>
      <c r="S1" s="546"/>
      <c r="T1" s="546"/>
      <c r="U1" s="546"/>
      <c r="V1" s="546"/>
      <c r="W1" s="546"/>
      <c r="X1" s="546"/>
      <c r="Y1" s="546"/>
      <c r="AA1" s="547"/>
      <c r="AB1" s="547"/>
      <c r="AC1" s="547"/>
    </row>
    <row r="2" spans="1:29" ht="16.5" customHeight="1">
      <c r="B2" s="798" t="str">
        <f>Cover!B3</f>
        <v>Spec. No. CC/NT/W-RT/DOM/A06/23/04299</v>
      </c>
      <c r="C2" s="798"/>
      <c r="D2" s="798"/>
      <c r="E2" s="798"/>
      <c r="F2" s="798"/>
      <c r="G2" s="798"/>
      <c r="H2" s="545"/>
      <c r="I2" s="545"/>
      <c r="J2" s="545"/>
      <c r="K2" s="545"/>
      <c r="L2" s="545"/>
      <c r="M2" s="545"/>
      <c r="N2" s="545"/>
      <c r="O2" s="545"/>
      <c r="P2" s="545"/>
      <c r="Q2" s="545"/>
      <c r="R2" s="545"/>
      <c r="S2" s="545"/>
      <c r="T2" s="545"/>
      <c r="U2" s="545"/>
      <c r="V2" s="545"/>
      <c r="W2" s="545"/>
      <c r="X2" s="545"/>
      <c r="Y2" s="545"/>
      <c r="AA2" s="548" t="s">
        <v>117</v>
      </c>
      <c r="AB2" s="549">
        <v>1</v>
      </c>
      <c r="AC2" s="550"/>
    </row>
    <row r="3" spans="1:29" ht="12" customHeight="1">
      <c r="B3" s="551"/>
      <c r="C3" s="551"/>
      <c r="D3" s="551"/>
      <c r="E3" s="551"/>
      <c r="F3" s="545"/>
      <c r="G3" s="545"/>
      <c r="H3" s="545"/>
      <c r="I3" s="545"/>
      <c r="J3" s="545"/>
      <c r="K3" s="545"/>
      <c r="L3" s="545"/>
      <c r="M3" s="545"/>
      <c r="N3" s="545"/>
      <c r="O3" s="545"/>
      <c r="P3" s="545"/>
      <c r="Q3" s="545"/>
      <c r="R3" s="545"/>
      <c r="S3" s="545"/>
      <c r="T3" s="545"/>
      <c r="U3" s="545"/>
      <c r="V3" s="545"/>
      <c r="W3" s="545"/>
      <c r="X3" s="545"/>
      <c r="Y3" s="545"/>
      <c r="AA3" s="548" t="s">
        <v>118</v>
      </c>
      <c r="AB3" s="549" t="s">
        <v>119</v>
      </c>
      <c r="AC3" s="550"/>
    </row>
    <row r="4" spans="1:29" ht="20.100000000000001" customHeight="1">
      <c r="B4" s="799" t="s">
        <v>120</v>
      </c>
      <c r="C4" s="799"/>
      <c r="D4" s="799"/>
      <c r="E4" s="799"/>
      <c r="F4" s="799"/>
      <c r="G4" s="799"/>
      <c r="H4" s="545"/>
      <c r="I4" s="545"/>
      <c r="J4" s="545"/>
      <c r="K4" s="545"/>
      <c r="L4" s="545"/>
      <c r="M4" s="545"/>
      <c r="N4" s="545"/>
      <c r="O4" s="545"/>
      <c r="P4" s="545"/>
      <c r="Q4" s="545"/>
      <c r="R4" s="545"/>
      <c r="S4" s="545"/>
      <c r="T4" s="545"/>
      <c r="U4" s="545"/>
      <c r="V4" s="545"/>
      <c r="W4" s="545"/>
      <c r="X4" s="545"/>
      <c r="Y4" s="545"/>
      <c r="AB4" s="549"/>
      <c r="AC4" s="550"/>
    </row>
    <row r="5" spans="1:29" ht="12" customHeight="1">
      <c r="B5" s="552"/>
      <c r="C5" s="552"/>
      <c r="F5" s="545"/>
      <c r="G5" s="545"/>
      <c r="H5" s="545"/>
      <c r="I5" s="545"/>
      <c r="J5" s="545"/>
      <c r="K5" s="545"/>
      <c r="L5" s="545"/>
      <c r="M5" s="545"/>
      <c r="N5" s="545"/>
      <c r="O5" s="545"/>
      <c r="P5" s="545"/>
      <c r="Q5" s="545"/>
      <c r="R5" s="545"/>
      <c r="S5" s="545"/>
      <c r="T5" s="545"/>
      <c r="U5" s="545"/>
      <c r="V5" s="545"/>
      <c r="W5" s="545"/>
      <c r="X5" s="545"/>
      <c r="Y5" s="545"/>
      <c r="AA5" s="550"/>
      <c r="AB5" s="550"/>
      <c r="AC5" s="550"/>
    </row>
    <row r="6" spans="1:29" s="545" customFormat="1" ht="50.25" customHeight="1">
      <c r="B6" s="804" t="s">
        <v>350</v>
      </c>
      <c r="C6" s="804"/>
      <c r="D6" s="800" t="s">
        <v>117</v>
      </c>
      <c r="E6" s="800"/>
      <c r="F6" s="800"/>
      <c r="G6" s="800"/>
      <c r="H6" s="553"/>
      <c r="I6" s="553"/>
      <c r="J6" s="553"/>
      <c r="K6" s="575">
        <f>IF(D6="Sole Bidder", 1,2)</f>
        <v>1</v>
      </c>
      <c r="L6" s="553"/>
      <c r="M6" s="553"/>
      <c r="N6" s="553"/>
      <c r="O6" s="553"/>
      <c r="P6" s="553"/>
      <c r="Q6" s="553"/>
      <c r="R6" s="553"/>
      <c r="S6" s="553"/>
      <c r="U6" s="553"/>
      <c r="V6" s="553"/>
      <c r="W6" s="553"/>
      <c r="X6" s="553"/>
      <c r="Y6" s="553"/>
      <c r="AA6" s="554">
        <f>IF(D6= "Sole Bidder", 0, D7)</f>
        <v>0</v>
      </c>
      <c r="AB6" s="547"/>
      <c r="AC6" s="547"/>
    </row>
    <row r="7" spans="1:29" ht="50.1" customHeight="1">
      <c r="A7" s="555"/>
      <c r="B7" s="556" t="str">
        <f>IF(D6= "JV (Joint Venture)", "Total Nos. of  Partners in the JV [excluding the Lead Partner]", "")</f>
        <v/>
      </c>
      <c r="C7" s="557"/>
      <c r="D7" s="801" t="s">
        <v>119</v>
      </c>
      <c r="E7" s="802"/>
      <c r="F7" s="802"/>
      <c r="G7" s="803"/>
      <c r="AA7" s="550"/>
      <c r="AB7" s="550"/>
      <c r="AC7" s="550"/>
    </row>
    <row r="8" spans="1:29" ht="19.5" customHeight="1">
      <c r="B8" s="558"/>
      <c r="C8" s="558"/>
      <c r="D8" s="553"/>
    </row>
    <row r="9" spans="1:29" ht="20.100000000000001" customHeight="1">
      <c r="B9" s="559" t="str">
        <f>IF(D6= "Sole Bidder", "Name of Sole Bidder", "Name of Lead Partner")</f>
        <v>Name of Sole Bidder</v>
      </c>
      <c r="C9" s="560"/>
      <c r="D9" s="805"/>
      <c r="E9" s="806"/>
      <c r="F9" s="806"/>
      <c r="G9" s="807"/>
    </row>
    <row r="10" spans="1:29" ht="20.100000000000001" customHeight="1">
      <c r="B10" s="561" t="str">
        <f>IF(D6= "Sole Bidder", "Address of Sole Bidder", "Address of Lead Partner")</f>
        <v>Address of Sole Bidder</v>
      </c>
      <c r="C10" s="562"/>
      <c r="D10" s="805"/>
      <c r="E10" s="806"/>
      <c r="F10" s="806"/>
      <c r="G10" s="807"/>
    </row>
    <row r="11" spans="1:29" ht="20.100000000000001" customHeight="1">
      <c r="B11" s="563"/>
      <c r="C11" s="564"/>
      <c r="D11" s="805"/>
      <c r="E11" s="806"/>
      <c r="F11" s="806"/>
      <c r="G11" s="807"/>
    </row>
    <row r="12" spans="1:29" ht="20.100000000000001" customHeight="1">
      <c r="B12" s="565"/>
      <c r="C12" s="566"/>
      <c r="D12" s="805"/>
      <c r="E12" s="806"/>
      <c r="F12" s="806"/>
      <c r="G12" s="807"/>
    </row>
    <row r="13" spans="1:29" ht="20.100000000000001" customHeight="1"/>
    <row r="14" spans="1:29" ht="20.100000000000001" customHeight="1">
      <c r="B14" s="559" t="str">
        <f>IF(D6="JV (Joint Venture)", "Name of other Partner","Name of other Partner - 1")</f>
        <v>Name of other Partner - 1</v>
      </c>
      <c r="C14" s="560"/>
      <c r="D14" s="786"/>
      <c r="E14" s="789"/>
      <c r="F14" s="789"/>
      <c r="G14" s="790"/>
    </row>
    <row r="15" spans="1:29" ht="20.100000000000001" customHeight="1">
      <c r="B15" s="561" t="str">
        <f>IF(D6="JV (Joint Venture)", "Address of other Partner","Address of other Partner - 1")</f>
        <v>Address of other Partner - 1</v>
      </c>
      <c r="C15" s="562"/>
      <c r="D15" s="791"/>
      <c r="E15" s="792"/>
      <c r="F15" s="792"/>
      <c r="G15" s="793"/>
    </row>
    <row r="16" spans="1:29" ht="20.100000000000001" customHeight="1">
      <c r="B16" s="563"/>
      <c r="C16" s="564"/>
      <c r="D16" s="791"/>
      <c r="E16" s="792"/>
      <c r="F16" s="792"/>
      <c r="G16" s="793"/>
    </row>
    <row r="17" spans="2:8" ht="20.100000000000001" customHeight="1">
      <c r="B17" s="565"/>
      <c r="C17" s="566"/>
      <c r="D17" s="791"/>
      <c r="E17" s="792"/>
      <c r="F17" s="792"/>
      <c r="G17" s="793"/>
    </row>
    <row r="18" spans="2:8" ht="20.100000000000001" customHeight="1"/>
    <row r="19" spans="2:8" ht="20.100000000000001" hidden="1" customHeight="1">
      <c r="B19" s="559" t="s">
        <v>122</v>
      </c>
      <c r="C19" s="560"/>
      <c r="D19" s="786" t="s">
        <v>121</v>
      </c>
      <c r="E19" s="789"/>
      <c r="F19" s="789"/>
      <c r="G19" s="790"/>
    </row>
    <row r="20" spans="2:8" ht="20.100000000000001" hidden="1" customHeight="1">
      <c r="B20" s="561" t="s">
        <v>123</v>
      </c>
      <c r="C20" s="562"/>
      <c r="D20" s="786" t="s">
        <v>121</v>
      </c>
      <c r="E20" s="789"/>
      <c r="F20" s="789"/>
      <c r="G20" s="790"/>
    </row>
    <row r="21" spans="2:8" ht="20.100000000000001" hidden="1" customHeight="1">
      <c r="B21" s="563"/>
      <c r="C21" s="564"/>
      <c r="D21" s="786" t="s">
        <v>121</v>
      </c>
      <c r="E21" s="789"/>
      <c r="F21" s="789"/>
      <c r="G21" s="790"/>
    </row>
    <row r="22" spans="2:8" ht="20.100000000000001" hidden="1" customHeight="1">
      <c r="B22" s="565"/>
      <c r="C22" s="566"/>
      <c r="D22" s="786" t="s">
        <v>121</v>
      </c>
      <c r="E22" s="789"/>
      <c r="F22" s="789"/>
      <c r="G22" s="790"/>
    </row>
    <row r="23" spans="2:8" ht="20.100000000000001" customHeight="1">
      <c r="B23" s="567"/>
      <c r="C23" s="567"/>
    </row>
    <row r="24" spans="2:8" ht="21" customHeight="1">
      <c r="B24" s="568" t="s">
        <v>124</v>
      </c>
      <c r="C24" s="569"/>
      <c r="D24" s="794"/>
      <c r="E24" s="795"/>
      <c r="F24" s="795"/>
      <c r="G24" s="796"/>
    </row>
    <row r="25" spans="2:8" ht="21" customHeight="1">
      <c r="B25" s="568" t="s">
        <v>125</v>
      </c>
      <c r="C25" s="569"/>
      <c r="D25" s="794"/>
      <c r="E25" s="795"/>
      <c r="F25" s="795"/>
      <c r="G25" s="796"/>
    </row>
    <row r="26" spans="2:8" ht="21" customHeight="1">
      <c r="B26" s="570"/>
      <c r="C26" s="570"/>
      <c r="D26" s="571"/>
    </row>
    <row r="27" spans="2:8" s="545" customFormat="1" ht="21" customHeight="1">
      <c r="B27" s="568" t="s">
        <v>126</v>
      </c>
      <c r="C27" s="569"/>
      <c r="D27" s="572"/>
      <c r="E27" s="574"/>
      <c r="F27" s="572"/>
      <c r="G27" s="573" t="str">
        <f>IF(D27&gt;H27, "Invalid Date !", "")</f>
        <v/>
      </c>
      <c r="H27" s="547">
        <f>IF(E27="Feb",28,IF(OR(E27="Apr", E27="Jun", E27="Sep", E27="Nov"),30,31))</f>
        <v>31</v>
      </c>
    </row>
    <row r="28" spans="2:8" ht="21" customHeight="1">
      <c r="B28" s="568" t="s">
        <v>127</v>
      </c>
      <c r="C28" s="569"/>
      <c r="D28" s="786"/>
      <c r="E28" s="787"/>
      <c r="F28" s="787"/>
      <c r="G28" s="788"/>
    </row>
    <row r="29" spans="2:8">
      <c r="E29" s="548"/>
    </row>
  </sheetData>
  <sheetProtection algorithmName="SHA-512" hashValue="xGjW5ho/V+DmQeyCq352yAzjb+Ntt3wXEy9t4QuM2HjdPXfSLtUm0WlTUBEfJ+uu/1JMjbr3rw7Q2N/9SnjZTw==" saltValue="jMkE3QnssyLOpVqDixx8iA==" spinCount="100000" sheet="1" formatColumns="0" formatRows="0" selectLockedCells="1"/>
  <customSheetViews>
    <customSheetView guid="{84F40905-A9D3-43A5-987A-8A757D486A94}" showGridLines="0" printArea="1" hiddenRows="1" hiddenColumns="1" view="pageBreakPreview">
      <selection activeCell="D28" sqref="D28:G28"/>
      <pageMargins left="0.75" right="0.75" top="0.69" bottom="0.7" header="0.4" footer="0.37"/>
      <pageSetup scale="86" orientation="portrait" r:id="rId1"/>
      <headerFooter alignWithMargins="0"/>
    </customSheetView>
    <customSheetView guid="{BDFA0401-0547-4E51-8BD2-84F711B066CA}" showGridLines="0" printArea="1" hiddenRows="1" hiddenColumns="1" view="pageBreakPreview">
      <selection activeCell="F27" sqref="F27"/>
      <pageMargins left="0.75" right="0.75" top="0.69" bottom="0.7" header="0.4" footer="0.37"/>
      <pageSetup scale="86" orientation="portrait" r:id="rId2"/>
      <headerFooter alignWithMargins="0"/>
    </customSheetView>
    <customSheetView guid="{112647D2-7580-431B-99B5-DD512E2AD50E}"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5"/>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8"/>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9"/>
      <headerFooter alignWithMargins="0"/>
    </customSheetView>
    <customSheetView guid="{F8A50AE1-259E-429D-A506-38EB64D134EF}"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DEF6DCE2-4A74-4BE5-B5D5-8143DC3F770A}" showGridLines="0" printArea="1" hiddenRows="1" hiddenColumns="1" view="pageBreakPreview" topLeftCell="A2">
      <selection activeCell="D28" sqref="D28:G28"/>
      <pageMargins left="0.75" right="0.75" top="0.69" bottom="0.7" header="0.4" footer="0.37"/>
      <pageSetup scale="86" orientation="portrait" r:id="rId11"/>
      <headerFooter alignWithMargins="0"/>
    </customSheetView>
    <customSheetView guid="{F658ED72-5E54-4C5B-BB2C-7A2962080984}" showGridLines="0" printArea="1" hiddenRows="1" hiddenColumns="1" view="pageBreakPreview" topLeftCell="A13">
      <selection activeCell="D28" sqref="D28:G28"/>
      <pageMargins left="0.75" right="0.75" top="0.69" bottom="0.7" header="0.4" footer="0.37"/>
      <pageSetup scale="86" orientation="portrait" r:id="rId12"/>
      <headerFooter alignWithMargins="0"/>
    </customSheetView>
    <customSheetView guid="{BE68641D-0C1E-4F8D-890A-A660C199187C}" showGridLines="0" printArea="1" hiddenRows="1" hiddenColumns="1" view="pageBreakPreview" topLeftCell="A7">
      <selection activeCell="F27" sqref="F27"/>
      <pageMargins left="0.75" right="0.75" top="0.69" bottom="0.7" header="0.4" footer="0.37"/>
      <pageSetup scale="86" orientation="portrait" r:id="rId13"/>
      <headerFooter alignWithMargins="0"/>
    </customSheetView>
    <customSheetView guid="{AD0333DF-5B33-49B5-B063-72505D20EFE4}" showGridLines="0" printArea="1" hiddenRows="1" hiddenColumns="1" view="pageBreakPreview">
      <selection activeCell="D6" sqref="D6:G6"/>
      <pageMargins left="0.75" right="0.75" top="0.69" bottom="0.7" header="0.4" footer="0.37"/>
      <pageSetup scale="86" orientation="portrait" r:id="rId14"/>
      <headerFooter alignWithMargins="0"/>
    </customSheetView>
    <customSheetView guid="{C44C314C-9BEB-403F-A933-6B948E5C1171}" showGridLines="0" printArea="1" hiddenRows="1" hiddenColumns="1" view="pageBreakPreview">
      <selection activeCell="D6" sqref="D6:G6"/>
      <pageMargins left="0.75" right="0.75" top="0.69" bottom="0.7" header="0.4" footer="0.37"/>
      <pageSetup scale="86" orientation="portrait" r:id="rId15"/>
      <headerFooter alignWithMargins="0"/>
    </customSheetView>
  </customSheetViews>
  <mergeCells count="21">
    <mergeCell ref="D9:G9"/>
    <mergeCell ref="D10:G10"/>
    <mergeCell ref="D11:G11"/>
    <mergeCell ref="D12:G12"/>
    <mergeCell ref="D24:G24"/>
    <mergeCell ref="D19:G19"/>
    <mergeCell ref="D20:G20"/>
    <mergeCell ref="D15:G15"/>
    <mergeCell ref="B1:G1"/>
    <mergeCell ref="B2:G2"/>
    <mergeCell ref="B4:G4"/>
    <mergeCell ref="D6:G6"/>
    <mergeCell ref="D7:G7"/>
    <mergeCell ref="B6:C6"/>
    <mergeCell ref="D28:G28"/>
    <mergeCell ref="D14:G14"/>
    <mergeCell ref="D22:G22"/>
    <mergeCell ref="D16:G16"/>
    <mergeCell ref="D17:G17"/>
    <mergeCell ref="D21:G21"/>
    <mergeCell ref="D25:G25"/>
  </mergeCells>
  <conditionalFormatting sqref="B19:C22">
    <cfRule type="expression" dxfId="15" priority="3" stopIfTrue="1">
      <formula>$AA$6&lt;2</formula>
    </cfRule>
  </conditionalFormatting>
  <conditionalFormatting sqref="B14:C17">
    <cfRule type="expression" dxfId="14" priority="4" stopIfTrue="1">
      <formula>$AA$6&lt;1</formula>
    </cfRule>
  </conditionalFormatting>
  <conditionalFormatting sqref="B7:G7">
    <cfRule type="expression" dxfId="13" priority="5" stopIfTrue="1">
      <formula>$D$6="Sole Bidder"</formula>
    </cfRule>
  </conditionalFormatting>
  <conditionalFormatting sqref="D14:G17">
    <cfRule type="expression" dxfId="12" priority="2" stopIfTrue="1">
      <formula>$AA$6&lt;1</formula>
    </cfRule>
  </conditionalFormatting>
  <conditionalFormatting sqref="D19:G22">
    <cfRule type="expression" dxfId="11" priority="1" stopIfTrue="1">
      <formula>$AA$6&lt;2</formula>
    </cfRule>
  </conditionalFormatting>
  <dataValidations count="5">
    <dataValidation type="list" allowBlank="1" showInputMessage="1" showErrorMessage="1" sqref="F27" xr:uid="{00000000-0002-0000-0300-000000000000}">
      <formula1>"2022,2023"</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G6" xr:uid="{00000000-0002-0000-0300-000004000000}">
      <formula1>$AA$2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1"/>
  <sheetViews>
    <sheetView view="pageBreakPreview" topLeftCell="A13" zoomScale="60" zoomScaleNormal="92" workbookViewId="0">
      <selection activeCell="M24" sqref="M24"/>
    </sheetView>
  </sheetViews>
  <sheetFormatPr defaultColWidth="9.140625" defaultRowHeight="15.75"/>
  <cols>
    <col min="1" max="1" width="8.28515625" style="471" customWidth="1"/>
    <col min="2" max="2" width="18.7109375" style="471" customWidth="1"/>
    <col min="3" max="3" width="8.5703125" style="471" customWidth="1"/>
    <col min="4" max="4" width="24.85546875" style="700" customWidth="1"/>
    <col min="5" max="5" width="18.7109375" style="471" customWidth="1"/>
    <col min="6" max="6" width="15.85546875" style="471" customWidth="1"/>
    <col min="7" max="7" width="21.85546875" style="471" customWidth="1"/>
    <col min="8" max="8" width="12.42578125" style="532" customWidth="1"/>
    <col min="9" max="9" width="22.28515625" style="471" customWidth="1"/>
    <col min="10" max="10" width="61.140625" style="700" customWidth="1"/>
    <col min="11" max="11" width="7.140625" style="471" customWidth="1"/>
    <col min="12" max="12" width="9" style="471" customWidth="1"/>
    <col min="13" max="13" width="26.42578125" style="471" customWidth="1"/>
    <col min="14" max="14" width="21.28515625" style="471" customWidth="1"/>
    <col min="15" max="15" width="14" style="471" hidden="1" customWidth="1"/>
    <col min="16" max="16" width="16.85546875" style="471" hidden="1" customWidth="1"/>
    <col min="17" max="17" width="13" style="471" hidden="1" customWidth="1"/>
    <col min="18" max="18" width="20.140625" style="471" hidden="1" customWidth="1"/>
    <col min="19" max="19" width="16.140625" style="471" hidden="1" customWidth="1"/>
    <col min="20" max="20" width="15" style="471" hidden="1" customWidth="1"/>
    <col min="21" max="21" width="24.5703125" style="471" hidden="1" customWidth="1"/>
    <col min="22" max="22" width="24" style="471" hidden="1" customWidth="1"/>
    <col min="23" max="23" width="9.140625" style="471" hidden="1" customWidth="1"/>
    <col min="24" max="37" width="9.140625" style="471" customWidth="1"/>
    <col min="38" max="38" width="0.28515625" style="471" customWidth="1"/>
    <col min="39" max="44" width="9.140625" style="471" customWidth="1"/>
    <col min="45" max="16384" width="9.140625" style="471"/>
  </cols>
  <sheetData>
    <row r="1" spans="1:256" ht="22.5" customHeight="1">
      <c r="A1" s="711" t="str">
        <f>Basic!B5</f>
        <v>Spec. No. CC/NT/W-RT/DOM/A06/23/04299</v>
      </c>
      <c r="B1" s="6"/>
      <c r="C1" s="6"/>
      <c r="D1" s="421"/>
      <c r="E1" s="6"/>
      <c r="F1" s="6"/>
      <c r="G1" s="6"/>
      <c r="H1" s="6"/>
      <c r="I1" s="6"/>
      <c r="J1" s="712"/>
      <c r="K1" s="6"/>
      <c r="L1" s="6"/>
      <c r="M1" s="6"/>
      <c r="N1" s="6" t="s">
        <v>474</v>
      </c>
    </row>
    <row r="2" spans="1:256">
      <c r="A2" s="4"/>
      <c r="B2" s="4"/>
      <c r="C2" s="4"/>
      <c r="D2" s="351"/>
      <c r="E2" s="4"/>
      <c r="F2" s="4"/>
      <c r="G2" s="4"/>
      <c r="H2" s="4"/>
      <c r="I2" s="4"/>
      <c r="J2" s="351"/>
      <c r="K2" s="4"/>
      <c r="L2" s="4"/>
      <c r="M2" s="4"/>
      <c r="N2" s="4"/>
    </row>
    <row r="3" spans="1:256" ht="71.25" customHeight="1">
      <c r="A3" s="814" t="str">
        <f>Cover!$B$2</f>
        <v>Reactor Package RT03 under Bulk Procurement of 765kV and 400kV Class Transformers and Reactors of various capacities- LOT-3 and SIS/Addl. Cap. -Re-Tender</v>
      </c>
      <c r="B3" s="814"/>
      <c r="C3" s="814"/>
      <c r="D3" s="814"/>
      <c r="E3" s="814"/>
      <c r="F3" s="814"/>
      <c r="G3" s="814"/>
      <c r="H3" s="814"/>
      <c r="I3" s="814"/>
      <c r="J3" s="814"/>
      <c r="K3" s="814"/>
      <c r="L3" s="814"/>
      <c r="M3" s="814"/>
      <c r="N3" s="814"/>
    </row>
    <row r="4" spans="1:256" ht="16.5">
      <c r="A4" s="815" t="s">
        <v>0</v>
      </c>
      <c r="B4" s="815"/>
      <c r="C4" s="815"/>
      <c r="D4" s="815"/>
      <c r="E4" s="815"/>
      <c r="F4" s="815"/>
      <c r="G4" s="815"/>
      <c r="H4" s="815"/>
      <c r="I4" s="815"/>
      <c r="J4" s="815"/>
      <c r="K4" s="815"/>
      <c r="L4" s="815"/>
      <c r="M4" s="815"/>
      <c r="N4" s="815"/>
    </row>
    <row r="5" spans="1:256" s="577" customFormat="1" ht="27" customHeight="1">
      <c r="A5" s="576"/>
      <c r="B5" s="576"/>
      <c r="C5" s="576"/>
      <c r="D5" s="576"/>
      <c r="E5" s="576"/>
      <c r="F5" s="576"/>
      <c r="G5" s="576"/>
      <c r="H5" s="576"/>
      <c r="I5" s="576"/>
      <c r="J5" s="576"/>
      <c r="K5" s="576"/>
      <c r="L5" s="576"/>
      <c r="M5" s="576"/>
      <c r="N5" s="576"/>
    </row>
    <row r="6" spans="1:256" ht="23.25" customHeight="1">
      <c r="A6" s="816" t="s">
        <v>349</v>
      </c>
      <c r="B6" s="816"/>
      <c r="C6" s="4"/>
      <c r="D6" s="351"/>
      <c r="E6" s="4"/>
      <c r="F6" s="4"/>
      <c r="G6" s="4"/>
      <c r="H6" s="4"/>
      <c r="I6" s="4"/>
      <c r="J6" s="351"/>
      <c r="K6" s="4"/>
      <c r="L6" s="4"/>
      <c r="M6" s="4"/>
      <c r="N6" s="4"/>
    </row>
    <row r="7" spans="1:256" ht="24" customHeight="1">
      <c r="A7" s="821" t="str">
        <f>C9</f>
        <v/>
      </c>
      <c r="B7" s="821"/>
      <c r="C7" s="821"/>
      <c r="D7" s="821"/>
      <c r="E7" s="821"/>
      <c r="F7" s="821"/>
      <c r="G7" s="821"/>
      <c r="H7" s="821"/>
      <c r="I7" s="821"/>
      <c r="J7" s="406"/>
      <c r="K7" s="454" t="s">
        <v>1</v>
      </c>
      <c r="L7" s="405"/>
      <c r="N7" s="4"/>
      <c r="Z7" s="533"/>
    </row>
    <row r="8" spans="1:256" ht="24" customHeight="1">
      <c r="A8" s="817" t="str">
        <f>"Bidder’s Name and Address  (" &amp; MID('Names of Bidder'!B9,9, 20) &amp; ") :"</f>
        <v>Bidder’s Name and Address  (Sole Bidder) :</v>
      </c>
      <c r="B8" s="817"/>
      <c r="C8" s="817"/>
      <c r="D8" s="817"/>
      <c r="E8" s="817"/>
      <c r="F8" s="817"/>
      <c r="G8" s="817"/>
      <c r="H8" s="536"/>
      <c r="I8" s="536"/>
      <c r="J8" s="536"/>
      <c r="K8" s="455" t="s">
        <v>2</v>
      </c>
      <c r="L8" s="536"/>
      <c r="N8" s="4"/>
      <c r="U8" s="529"/>
      <c r="Z8" s="808"/>
      <c r="AA8" s="808"/>
      <c r="AB8" s="808"/>
      <c r="AC8" s="808"/>
      <c r="AD8" s="808"/>
      <c r="AE8" s="808"/>
      <c r="AF8" s="808"/>
      <c r="AG8" s="808"/>
      <c r="AH8" s="808"/>
      <c r="AI8" s="808"/>
      <c r="AJ8" s="808"/>
      <c r="AK8" s="808"/>
      <c r="AL8" s="808"/>
    </row>
    <row r="9" spans="1:256" ht="24" customHeight="1">
      <c r="A9" s="459" t="s">
        <v>12</v>
      </c>
      <c r="B9" s="407"/>
      <c r="C9" s="820" t="str">
        <f>IF('Names of Bidder'!D9=0, "", 'Names of Bidder'!D9)</f>
        <v/>
      </c>
      <c r="D9" s="820"/>
      <c r="E9" s="820"/>
      <c r="F9" s="820"/>
      <c r="G9" s="820"/>
      <c r="H9" s="443"/>
      <c r="I9" s="408"/>
      <c r="J9" s="409"/>
      <c r="K9" s="455" t="s">
        <v>3</v>
      </c>
      <c r="N9" s="4"/>
      <c r="U9" s="529"/>
      <c r="Z9" s="808"/>
      <c r="AA9" s="808"/>
      <c r="AB9" s="808"/>
      <c r="AC9" s="808"/>
      <c r="AD9" s="808"/>
      <c r="AE9" s="808"/>
      <c r="AF9" s="808"/>
      <c r="AG9" s="808"/>
      <c r="AH9" s="808"/>
      <c r="AI9" s="808"/>
      <c r="AJ9" s="808"/>
      <c r="AK9" s="808"/>
      <c r="AL9" s="808"/>
    </row>
    <row r="10" spans="1:256" ht="24" customHeight="1">
      <c r="A10" s="459" t="s">
        <v>11</v>
      </c>
      <c r="B10" s="407"/>
      <c r="C10" s="819" t="str">
        <f>IF('Names of Bidder'!D10=0, "", 'Names of Bidder'!D10)</f>
        <v/>
      </c>
      <c r="D10" s="819"/>
      <c r="E10" s="819"/>
      <c r="F10" s="819"/>
      <c r="G10" s="819"/>
      <c r="H10" s="443"/>
      <c r="I10" s="408"/>
      <c r="J10" s="409"/>
      <c r="K10" s="455" t="s">
        <v>4</v>
      </c>
      <c r="N10" s="4"/>
      <c r="Z10" s="808"/>
      <c r="AA10" s="808"/>
      <c r="AB10" s="808"/>
      <c r="AC10" s="808"/>
      <c r="AD10" s="808"/>
      <c r="AE10" s="808"/>
      <c r="AF10" s="808"/>
      <c r="AG10" s="808"/>
      <c r="AH10" s="808"/>
      <c r="AI10" s="808"/>
      <c r="AJ10" s="808"/>
      <c r="AK10" s="808"/>
      <c r="AL10" s="808"/>
    </row>
    <row r="11" spans="1:256" ht="24" customHeight="1">
      <c r="A11" s="408"/>
      <c r="B11" s="408"/>
      <c r="C11" s="819" t="str">
        <f>IF('Names of Bidder'!D11=0, "", 'Names of Bidder'!D11)</f>
        <v/>
      </c>
      <c r="D11" s="819"/>
      <c r="E11" s="819"/>
      <c r="F11" s="819"/>
      <c r="G11" s="819"/>
      <c r="H11" s="443"/>
      <c r="I11" s="408"/>
      <c r="J11" s="409"/>
      <c r="K11" s="455" t="s">
        <v>5</v>
      </c>
      <c r="N11" s="4"/>
    </row>
    <row r="12" spans="1:256" ht="24" customHeight="1">
      <c r="A12" s="408"/>
      <c r="B12" s="408"/>
      <c r="C12" s="819" t="str">
        <f>IF('Names of Bidder'!D12=0, "", 'Names of Bidder'!D12)</f>
        <v/>
      </c>
      <c r="D12" s="819"/>
      <c r="E12" s="819"/>
      <c r="F12" s="819"/>
      <c r="G12" s="819"/>
      <c r="H12" s="443"/>
      <c r="I12" s="408"/>
      <c r="J12" s="409"/>
      <c r="K12" s="455" t="s">
        <v>6</v>
      </c>
      <c r="N12" s="4"/>
    </row>
    <row r="13" spans="1:256" s="530" customFormat="1" ht="26.25" customHeight="1">
      <c r="A13" s="822" t="s">
        <v>307</v>
      </c>
      <c r="B13" s="822"/>
      <c r="C13" s="822"/>
      <c r="D13" s="822"/>
      <c r="E13" s="822"/>
      <c r="F13" s="822"/>
      <c r="G13" s="822"/>
      <c r="H13" s="822"/>
      <c r="I13" s="822"/>
      <c r="J13" s="822"/>
      <c r="K13" s="822"/>
      <c r="L13" s="822"/>
      <c r="M13" s="822"/>
      <c r="N13" s="822"/>
    </row>
    <row r="14" spans="1:256" ht="15.75" customHeight="1">
      <c r="A14" s="4"/>
      <c r="B14" s="4"/>
      <c r="C14" s="4"/>
      <c r="D14" s="351"/>
      <c r="E14" s="4"/>
      <c r="F14" s="4"/>
      <c r="G14" s="4"/>
      <c r="H14" s="4"/>
      <c r="I14" s="4"/>
      <c r="J14" s="351"/>
      <c r="K14" s="818" t="s">
        <v>354</v>
      </c>
      <c r="L14" s="818"/>
      <c r="M14" s="818"/>
      <c r="N14" s="818"/>
    </row>
    <row r="15" spans="1:256" ht="122.25" customHeight="1">
      <c r="A15" s="390" t="s">
        <v>7</v>
      </c>
      <c r="B15" s="390" t="s">
        <v>266</v>
      </c>
      <c r="C15" s="390" t="s">
        <v>278</v>
      </c>
      <c r="D15" s="390" t="s">
        <v>280</v>
      </c>
      <c r="E15" s="390" t="s">
        <v>13</v>
      </c>
      <c r="F15" s="390" t="s">
        <v>308</v>
      </c>
      <c r="G15" s="441" t="s">
        <v>311</v>
      </c>
      <c r="H15" s="390" t="s">
        <v>314</v>
      </c>
      <c r="I15" s="442" t="s">
        <v>312</v>
      </c>
      <c r="J15" s="390" t="s">
        <v>8</v>
      </c>
      <c r="K15" s="16" t="s">
        <v>9</v>
      </c>
      <c r="L15" s="16" t="s">
        <v>10</v>
      </c>
      <c r="M15" s="390" t="s">
        <v>353</v>
      </c>
      <c r="N15" s="390" t="s">
        <v>352</v>
      </c>
    </row>
    <row r="16" spans="1:256" ht="22.15" customHeight="1">
      <c r="A16" s="16">
        <v>1</v>
      </c>
      <c r="B16" s="16">
        <v>2</v>
      </c>
      <c r="C16" s="16">
        <v>3</v>
      </c>
      <c r="D16" s="390">
        <v>4</v>
      </c>
      <c r="E16" s="16">
        <v>5</v>
      </c>
      <c r="F16" s="16">
        <v>6</v>
      </c>
      <c r="G16" s="733">
        <v>7</v>
      </c>
      <c r="H16" s="16">
        <v>8</v>
      </c>
      <c r="I16" s="734">
        <v>9</v>
      </c>
      <c r="J16" s="390">
        <v>10</v>
      </c>
      <c r="K16" s="16">
        <v>11</v>
      </c>
      <c r="L16" s="16">
        <v>12</v>
      </c>
      <c r="M16" s="16">
        <v>13</v>
      </c>
      <c r="N16" s="16" t="s">
        <v>351</v>
      </c>
      <c r="IV16" s="471">
        <f>SUM(A16:IU16)</f>
        <v>91</v>
      </c>
    </row>
    <row r="17" spans="1:22" s="586" customFormat="1" ht="31.5" customHeight="1">
      <c r="A17" s="735" t="s">
        <v>481</v>
      </c>
      <c r="B17" s="736" t="s">
        <v>486</v>
      </c>
      <c r="C17" s="737"/>
      <c r="D17" s="737"/>
      <c r="E17" s="737"/>
      <c r="F17" s="737"/>
      <c r="G17" s="737"/>
      <c r="H17" s="737"/>
      <c r="I17" s="737"/>
      <c r="J17" s="737"/>
      <c r="K17" s="737"/>
      <c r="L17" s="737"/>
      <c r="M17" s="737"/>
      <c r="N17" s="738"/>
    </row>
    <row r="18" spans="1:22" ht="49.5" customHeight="1">
      <c r="A18" s="528">
        <v>1</v>
      </c>
      <c r="B18" s="750">
        <v>7000023656</v>
      </c>
      <c r="C18" s="750">
        <v>10</v>
      </c>
      <c r="D18" s="750" t="s">
        <v>496</v>
      </c>
      <c r="E18" s="750">
        <v>1000000706</v>
      </c>
      <c r="F18" s="750">
        <v>85042330</v>
      </c>
      <c r="G18" s="722"/>
      <c r="H18" s="721">
        <v>18</v>
      </c>
      <c r="I18" s="746"/>
      <c r="J18" s="750" t="s">
        <v>491</v>
      </c>
      <c r="K18" s="750" t="s">
        <v>299</v>
      </c>
      <c r="L18" s="750">
        <v>1</v>
      </c>
      <c r="M18" s="731"/>
      <c r="N18" s="745" t="str">
        <f>IF(M18=0, "INCLUDED", IF(ISERROR(M18*L18), M18, M18*L18))</f>
        <v>INCLUDED</v>
      </c>
      <c r="O18" s="605">
        <f>IF(N18="Included",0,N18)</f>
        <v>0</v>
      </c>
      <c r="P18" s="605">
        <f>IF( I18="",H18*(IF(N18="Included",0,N18))/100,I18*(IF(N18="Included",0,N18)))</f>
        <v>0</v>
      </c>
      <c r="Q18" s="610">
        <f>Discount!$H$36</f>
        <v>0</v>
      </c>
      <c r="R18" s="610">
        <f>Q18*O18</f>
        <v>0</v>
      </c>
      <c r="S18" s="610">
        <f>IF(I18="",H18*R18/100,I18*R18)</f>
        <v>0</v>
      </c>
      <c r="T18" s="717">
        <f>M18*L18</f>
        <v>0</v>
      </c>
      <c r="U18" s="732">
        <f>L18*M18</f>
        <v>0</v>
      </c>
      <c r="V18" s="732">
        <f>U18*0.18</f>
        <v>0</v>
      </c>
    </row>
    <row r="19" spans="1:22" ht="47.25" customHeight="1">
      <c r="A19" s="528">
        <v>2</v>
      </c>
      <c r="B19" s="750">
        <v>7000023657</v>
      </c>
      <c r="C19" s="750">
        <v>10</v>
      </c>
      <c r="D19" s="750" t="s">
        <v>496</v>
      </c>
      <c r="E19" s="750">
        <v>1000013947</v>
      </c>
      <c r="F19" s="750">
        <v>85049010</v>
      </c>
      <c r="G19" s="722"/>
      <c r="H19" s="721">
        <v>18</v>
      </c>
      <c r="I19" s="746"/>
      <c r="J19" s="750" t="s">
        <v>480</v>
      </c>
      <c r="K19" s="750" t="s">
        <v>300</v>
      </c>
      <c r="L19" s="750">
        <v>1</v>
      </c>
      <c r="M19" s="731"/>
      <c r="N19" s="745" t="str">
        <f t="shared" ref="N19:N24" si="0">IF(M19=0, "INCLUDED", IF(ISERROR(M19*L19), M19, M19*L19))</f>
        <v>INCLUDED</v>
      </c>
      <c r="O19" s="605">
        <f t="shared" ref="O19:O24" si="1">IF(N19="Included",0,N19)</f>
        <v>0</v>
      </c>
      <c r="P19" s="605">
        <f t="shared" ref="P19:P24" si="2">IF( I19="",H19*(IF(N19="Included",0,N19))/100,I19*(IF(N19="Included",0,N19)))</f>
        <v>0</v>
      </c>
      <c r="Q19" s="610">
        <f>Discount!$H$36</f>
        <v>0</v>
      </c>
      <c r="R19" s="610">
        <f t="shared" ref="R19:R24" si="3">Q19*O19</f>
        <v>0</v>
      </c>
      <c r="S19" s="610">
        <f t="shared" ref="S19:S24" si="4">IF(I19="",H19*R19/100,I19*R19)</f>
        <v>0</v>
      </c>
      <c r="T19" s="717">
        <f t="shared" ref="T19:T24" si="5">M19*L19</f>
        <v>0</v>
      </c>
      <c r="U19" s="732">
        <f t="shared" ref="U19:U24" si="6">L19*M19</f>
        <v>0</v>
      </c>
      <c r="V19" s="732">
        <f t="shared" ref="V19:V24" si="7">U19*0.18</f>
        <v>0</v>
      </c>
    </row>
    <row r="20" spans="1:22" s="586" customFormat="1" ht="31.5" customHeight="1">
      <c r="A20" s="735" t="s">
        <v>482</v>
      </c>
      <c r="B20" s="736" t="s">
        <v>487</v>
      </c>
      <c r="C20" s="737"/>
      <c r="D20" s="737"/>
      <c r="E20" s="737"/>
      <c r="F20" s="737"/>
      <c r="G20" s="737"/>
      <c r="H20" s="737"/>
      <c r="I20" s="737"/>
      <c r="J20" s="747"/>
      <c r="K20" s="737"/>
      <c r="L20" s="737"/>
      <c r="M20" s="737"/>
      <c r="N20" s="738"/>
    </row>
    <row r="21" spans="1:22" ht="49.5" customHeight="1">
      <c r="A21" s="528">
        <v>3</v>
      </c>
      <c r="B21" s="750">
        <v>7000018831</v>
      </c>
      <c r="C21" s="750">
        <v>70</v>
      </c>
      <c r="D21" s="750" t="s">
        <v>496</v>
      </c>
      <c r="E21" s="750">
        <v>1000000706</v>
      </c>
      <c r="F21" s="750">
        <v>85042330</v>
      </c>
      <c r="G21" s="722"/>
      <c r="H21" s="721">
        <v>18</v>
      </c>
      <c r="I21" s="746"/>
      <c r="J21" s="750" t="s">
        <v>491</v>
      </c>
      <c r="K21" s="750" t="s">
        <v>299</v>
      </c>
      <c r="L21" s="750">
        <v>1</v>
      </c>
      <c r="M21" s="731"/>
      <c r="N21" s="745" t="str">
        <f t="shared" si="0"/>
        <v>INCLUDED</v>
      </c>
      <c r="O21" s="605">
        <f t="shared" si="1"/>
        <v>0</v>
      </c>
      <c r="P21" s="605">
        <f t="shared" si="2"/>
        <v>0</v>
      </c>
      <c r="Q21" s="610">
        <f>Discount!$H$36</f>
        <v>0</v>
      </c>
      <c r="R21" s="610">
        <f t="shared" si="3"/>
        <v>0</v>
      </c>
      <c r="S21" s="610">
        <f t="shared" si="4"/>
        <v>0</v>
      </c>
      <c r="T21" s="717">
        <f t="shared" si="5"/>
        <v>0</v>
      </c>
      <c r="U21" s="732">
        <f t="shared" si="6"/>
        <v>0</v>
      </c>
      <c r="V21" s="732">
        <f t="shared" si="7"/>
        <v>0</v>
      </c>
    </row>
    <row r="22" spans="1:22" ht="51.75" customHeight="1">
      <c r="A22" s="528">
        <v>4</v>
      </c>
      <c r="B22" s="750">
        <v>7000018831</v>
      </c>
      <c r="C22" s="750">
        <v>80</v>
      </c>
      <c r="D22" s="750" t="s">
        <v>496</v>
      </c>
      <c r="E22" s="750">
        <v>1000013947</v>
      </c>
      <c r="F22" s="750">
        <v>85049010</v>
      </c>
      <c r="G22" s="722"/>
      <c r="H22" s="721">
        <v>18</v>
      </c>
      <c r="I22" s="746"/>
      <c r="J22" s="750" t="s">
        <v>480</v>
      </c>
      <c r="K22" s="750" t="s">
        <v>300</v>
      </c>
      <c r="L22" s="750">
        <v>1</v>
      </c>
      <c r="M22" s="731"/>
      <c r="N22" s="745" t="str">
        <f t="shared" si="0"/>
        <v>INCLUDED</v>
      </c>
      <c r="O22" s="605">
        <f t="shared" si="1"/>
        <v>0</v>
      </c>
      <c r="P22" s="605">
        <f t="shared" si="2"/>
        <v>0</v>
      </c>
      <c r="Q22" s="610">
        <f>Discount!$H$36</f>
        <v>0</v>
      </c>
      <c r="R22" s="610">
        <f t="shared" si="3"/>
        <v>0</v>
      </c>
      <c r="S22" s="610">
        <f t="shared" si="4"/>
        <v>0</v>
      </c>
      <c r="T22" s="717">
        <f t="shared" si="5"/>
        <v>0</v>
      </c>
      <c r="U22" s="732">
        <f t="shared" si="6"/>
        <v>0</v>
      </c>
      <c r="V22" s="732">
        <f t="shared" si="7"/>
        <v>0</v>
      </c>
    </row>
    <row r="23" spans="1:22" s="586" customFormat="1" ht="31.5" customHeight="1">
      <c r="A23" s="735" t="s">
        <v>483</v>
      </c>
      <c r="B23" s="736" t="s">
        <v>488</v>
      </c>
      <c r="C23" s="737"/>
      <c r="D23" s="737"/>
      <c r="E23" s="737"/>
      <c r="F23" s="737"/>
      <c r="G23" s="737"/>
      <c r="H23" s="737"/>
      <c r="I23" s="737"/>
      <c r="J23" s="747"/>
      <c r="K23" s="737"/>
      <c r="L23" s="737"/>
      <c r="M23" s="737"/>
      <c r="N23" s="738"/>
    </row>
    <row r="24" spans="1:22" ht="54.75" customHeight="1">
      <c r="A24" s="528">
        <v>6</v>
      </c>
      <c r="B24" s="750">
        <v>7000018823</v>
      </c>
      <c r="C24" s="750">
        <v>270</v>
      </c>
      <c r="D24" s="750" t="s">
        <v>497</v>
      </c>
      <c r="E24" s="750">
        <v>1000006178</v>
      </c>
      <c r="F24" s="750">
        <v>85042320</v>
      </c>
      <c r="G24" s="722"/>
      <c r="H24" s="721">
        <v>18</v>
      </c>
      <c r="I24" s="746"/>
      <c r="J24" s="750" t="s">
        <v>493</v>
      </c>
      <c r="K24" s="750" t="s">
        <v>299</v>
      </c>
      <c r="L24" s="750">
        <v>1</v>
      </c>
      <c r="M24" s="731"/>
      <c r="N24" s="745" t="str">
        <f t="shared" si="0"/>
        <v>INCLUDED</v>
      </c>
      <c r="O24" s="605">
        <f t="shared" si="1"/>
        <v>0</v>
      </c>
      <c r="P24" s="605">
        <f t="shared" si="2"/>
        <v>0</v>
      </c>
      <c r="Q24" s="610">
        <f>Discount!$H$36</f>
        <v>0</v>
      </c>
      <c r="R24" s="610">
        <f t="shared" si="3"/>
        <v>0</v>
      </c>
      <c r="S24" s="610">
        <f t="shared" si="4"/>
        <v>0</v>
      </c>
      <c r="T24" s="717">
        <f t="shared" si="5"/>
        <v>0</v>
      </c>
      <c r="U24" s="732">
        <f t="shared" si="6"/>
        <v>0</v>
      </c>
      <c r="V24" s="732">
        <f t="shared" si="7"/>
        <v>0</v>
      </c>
    </row>
    <row r="25" spans="1:22" ht="54.75" customHeight="1">
      <c r="A25" s="528">
        <v>5</v>
      </c>
      <c r="B25" s="750">
        <v>7000018823</v>
      </c>
      <c r="C25" s="750">
        <v>260</v>
      </c>
      <c r="D25" s="750" t="s">
        <v>497</v>
      </c>
      <c r="E25" s="750">
        <v>1000013992</v>
      </c>
      <c r="F25" s="750">
        <v>85049010</v>
      </c>
      <c r="G25" s="722"/>
      <c r="H25" s="721">
        <v>18</v>
      </c>
      <c r="I25" s="746"/>
      <c r="J25" s="750" t="s">
        <v>492</v>
      </c>
      <c r="K25" s="750" t="s">
        <v>300</v>
      </c>
      <c r="L25" s="750">
        <v>1</v>
      </c>
      <c r="M25" s="731"/>
      <c r="N25" s="745" t="str">
        <f>IF(M25=0, "INCLUDED", IF(ISERROR(M25*L25), M25, M25*L25))</f>
        <v>INCLUDED</v>
      </c>
      <c r="O25" s="605">
        <f>IF(N25="Included",0,N25)</f>
        <v>0</v>
      </c>
      <c r="P25" s="605">
        <f>IF( I25="",H25*(IF(N25="Included",0,N25))/100,I25*(IF(N25="Included",0,N25)))</f>
        <v>0</v>
      </c>
      <c r="Q25" s="610">
        <f>Discount!$H$36</f>
        <v>0</v>
      </c>
      <c r="R25" s="610">
        <f>Q25*O25</f>
        <v>0</v>
      </c>
      <c r="S25" s="610">
        <f>IF(I25="",H25*R25/100,I25*R25)</f>
        <v>0</v>
      </c>
      <c r="T25" s="717">
        <f>M25*L25</f>
        <v>0</v>
      </c>
      <c r="U25" s="732">
        <f>L25*M25</f>
        <v>0</v>
      </c>
      <c r="V25" s="732">
        <f>U25*0.18</f>
        <v>0</v>
      </c>
    </row>
    <row r="26" spans="1:22" s="586" customFormat="1" ht="31.5" customHeight="1">
      <c r="A26" s="735" t="s">
        <v>484</v>
      </c>
      <c r="B26" s="736" t="s">
        <v>489</v>
      </c>
      <c r="C26" s="737"/>
      <c r="D26" s="737"/>
      <c r="E26" s="737"/>
      <c r="F26" s="737"/>
      <c r="G26" s="737"/>
      <c r="H26" s="737"/>
      <c r="I26" s="737"/>
      <c r="J26" s="747"/>
      <c r="K26" s="737"/>
      <c r="L26" s="737"/>
      <c r="M26" s="737"/>
      <c r="N26" s="738"/>
    </row>
    <row r="27" spans="1:22" ht="54.75" customHeight="1">
      <c r="A27" s="528">
        <v>7</v>
      </c>
      <c r="B27" s="750">
        <v>7000018823</v>
      </c>
      <c r="C27" s="750">
        <v>290</v>
      </c>
      <c r="D27" s="750" t="s">
        <v>498</v>
      </c>
      <c r="E27" s="750">
        <v>1000000566</v>
      </c>
      <c r="F27" s="750">
        <v>85042330</v>
      </c>
      <c r="G27" s="722"/>
      <c r="H27" s="721">
        <v>18</v>
      </c>
      <c r="I27" s="746"/>
      <c r="J27" s="750" t="s">
        <v>504</v>
      </c>
      <c r="K27" s="750" t="s">
        <v>299</v>
      </c>
      <c r="L27" s="750">
        <v>1</v>
      </c>
      <c r="M27" s="731"/>
      <c r="N27" s="745" t="str">
        <f t="shared" ref="N27:N31" si="8">IF(M27=0, "INCLUDED", IF(ISERROR(M27*L27), M27, M27*L27))</f>
        <v>INCLUDED</v>
      </c>
      <c r="O27" s="605">
        <f t="shared" ref="O27:O31" si="9">IF(N27="Included",0,N27)</f>
        <v>0</v>
      </c>
      <c r="P27" s="605">
        <f t="shared" ref="P27:P31" si="10">IF( I27="",H27*(IF(N27="Included",0,N27))/100,I27*(IF(N27="Included",0,N27)))</f>
        <v>0</v>
      </c>
      <c r="Q27" s="610">
        <f>Discount!$H$36</f>
        <v>0</v>
      </c>
      <c r="R27" s="610">
        <f t="shared" ref="R27:R31" si="11">Q27*O27</f>
        <v>0</v>
      </c>
      <c r="S27" s="610">
        <f t="shared" ref="S27:S31" si="12">IF(I27="",H27*R27/100,I27*R27)</f>
        <v>0</v>
      </c>
      <c r="T27" s="717">
        <f t="shared" ref="T27:T31" si="13">M27*L27</f>
        <v>0</v>
      </c>
      <c r="U27" s="732">
        <f t="shared" ref="U27:U31" si="14">L27*M27</f>
        <v>0</v>
      </c>
      <c r="V27" s="732">
        <f t="shared" ref="V27:V31" si="15">U27*0.18</f>
        <v>0</v>
      </c>
    </row>
    <row r="28" spans="1:22" ht="54.75" customHeight="1">
      <c r="A28" s="528">
        <v>8</v>
      </c>
      <c r="B28" s="750">
        <v>7000018823</v>
      </c>
      <c r="C28" s="750">
        <v>300</v>
      </c>
      <c r="D28" s="750" t="s">
        <v>498</v>
      </c>
      <c r="E28" s="750">
        <v>1000013964</v>
      </c>
      <c r="F28" s="750">
        <v>85049010</v>
      </c>
      <c r="G28" s="722"/>
      <c r="H28" s="721">
        <v>18</v>
      </c>
      <c r="I28" s="746"/>
      <c r="J28" s="750" t="s">
        <v>506</v>
      </c>
      <c r="K28" s="750" t="s">
        <v>300</v>
      </c>
      <c r="L28" s="750">
        <v>1</v>
      </c>
      <c r="M28" s="731"/>
      <c r="N28" s="745" t="str">
        <f t="shared" si="8"/>
        <v>INCLUDED</v>
      </c>
      <c r="O28" s="605">
        <f t="shared" si="9"/>
        <v>0</v>
      </c>
      <c r="P28" s="605">
        <f t="shared" si="10"/>
        <v>0</v>
      </c>
      <c r="Q28" s="610">
        <f>Discount!$H$36</f>
        <v>0</v>
      </c>
      <c r="R28" s="610">
        <f t="shared" si="11"/>
        <v>0</v>
      </c>
      <c r="S28" s="610">
        <f t="shared" si="12"/>
        <v>0</v>
      </c>
      <c r="T28" s="717">
        <f t="shared" si="13"/>
        <v>0</v>
      </c>
      <c r="U28" s="732">
        <f t="shared" si="14"/>
        <v>0</v>
      </c>
      <c r="V28" s="732">
        <f t="shared" si="15"/>
        <v>0</v>
      </c>
    </row>
    <row r="29" spans="1:22" s="586" customFormat="1" ht="31.5" customHeight="1">
      <c r="A29" s="735" t="s">
        <v>485</v>
      </c>
      <c r="B29" s="736" t="s">
        <v>490</v>
      </c>
      <c r="C29" s="737"/>
      <c r="D29" s="737"/>
      <c r="E29" s="737"/>
      <c r="F29" s="737"/>
      <c r="G29" s="737"/>
      <c r="H29" s="737"/>
      <c r="I29" s="737"/>
      <c r="J29" s="747"/>
      <c r="K29" s="737"/>
      <c r="L29" s="737"/>
      <c r="M29" s="737"/>
      <c r="N29" s="738"/>
    </row>
    <row r="30" spans="1:22" ht="54.75" customHeight="1">
      <c r="A30" s="528">
        <v>9</v>
      </c>
      <c r="B30" s="750">
        <v>7000018823</v>
      </c>
      <c r="C30" s="750">
        <v>230</v>
      </c>
      <c r="D30" s="750" t="s">
        <v>496</v>
      </c>
      <c r="E30" s="750">
        <v>1000000706</v>
      </c>
      <c r="F30" s="750">
        <v>85042330</v>
      </c>
      <c r="G30" s="722"/>
      <c r="H30" s="721">
        <v>18</v>
      </c>
      <c r="I30" s="746"/>
      <c r="J30" s="750" t="s">
        <v>491</v>
      </c>
      <c r="K30" s="750" t="s">
        <v>299</v>
      </c>
      <c r="L30" s="750">
        <v>1</v>
      </c>
      <c r="M30" s="731"/>
      <c r="N30" s="745" t="str">
        <f t="shared" si="8"/>
        <v>INCLUDED</v>
      </c>
      <c r="O30" s="605">
        <f t="shared" si="9"/>
        <v>0</v>
      </c>
      <c r="P30" s="605">
        <f t="shared" si="10"/>
        <v>0</v>
      </c>
      <c r="Q30" s="610">
        <f>Discount!$H$36</f>
        <v>0</v>
      </c>
      <c r="R30" s="610">
        <f t="shared" si="11"/>
        <v>0</v>
      </c>
      <c r="S30" s="610">
        <f t="shared" si="12"/>
        <v>0</v>
      </c>
      <c r="T30" s="717">
        <f t="shared" si="13"/>
        <v>0</v>
      </c>
      <c r="U30" s="732">
        <f t="shared" si="14"/>
        <v>0</v>
      </c>
      <c r="V30" s="732">
        <f t="shared" si="15"/>
        <v>0</v>
      </c>
    </row>
    <row r="31" spans="1:22" ht="54.75" customHeight="1">
      <c r="A31" s="528">
        <v>10</v>
      </c>
      <c r="B31" s="750">
        <v>7000018823</v>
      </c>
      <c r="C31" s="750">
        <v>240</v>
      </c>
      <c r="D31" s="750" t="s">
        <v>496</v>
      </c>
      <c r="E31" s="750">
        <v>1000013947</v>
      </c>
      <c r="F31" s="750">
        <v>85049010</v>
      </c>
      <c r="G31" s="722"/>
      <c r="H31" s="721">
        <v>18</v>
      </c>
      <c r="I31" s="746"/>
      <c r="J31" s="750" t="s">
        <v>480</v>
      </c>
      <c r="K31" s="750" t="s">
        <v>300</v>
      </c>
      <c r="L31" s="750">
        <v>1</v>
      </c>
      <c r="M31" s="731"/>
      <c r="N31" s="745" t="str">
        <f t="shared" si="8"/>
        <v>INCLUDED</v>
      </c>
      <c r="O31" s="605">
        <f t="shared" si="9"/>
        <v>0</v>
      </c>
      <c r="P31" s="605">
        <f t="shared" si="10"/>
        <v>0</v>
      </c>
      <c r="Q31" s="610">
        <f>Discount!$H$36</f>
        <v>0</v>
      </c>
      <c r="R31" s="610">
        <f t="shared" si="11"/>
        <v>0</v>
      </c>
      <c r="S31" s="610">
        <f t="shared" si="12"/>
        <v>0</v>
      </c>
      <c r="T31" s="717">
        <f t="shared" si="13"/>
        <v>0</v>
      </c>
      <c r="U31" s="732">
        <f t="shared" si="14"/>
        <v>0</v>
      </c>
      <c r="V31" s="732">
        <f t="shared" si="15"/>
        <v>0</v>
      </c>
    </row>
    <row r="32" spans="1:22" ht="22.5" customHeight="1">
      <c r="A32" s="809" t="s">
        <v>472</v>
      </c>
      <c r="B32" s="809"/>
      <c r="C32" s="809"/>
      <c r="D32" s="809"/>
      <c r="E32" s="809"/>
      <c r="F32" s="809"/>
      <c r="G32" s="809"/>
      <c r="H32" s="809"/>
      <c r="I32" s="809"/>
      <c r="J32" s="809"/>
      <c r="K32" s="809"/>
      <c r="L32" s="809"/>
      <c r="M32" s="809"/>
      <c r="N32" s="706">
        <f>SUM(N18:N31)</f>
        <v>0</v>
      </c>
      <c r="O32" s="606"/>
      <c r="P32" s="607">
        <f>SUM(P18:P31)</f>
        <v>0</v>
      </c>
      <c r="Q32" s="608"/>
      <c r="R32" s="707">
        <f>SUM(R18:R31)</f>
        <v>0</v>
      </c>
      <c r="S32" s="609">
        <f>SUM(S18:S31)</f>
        <v>0</v>
      </c>
      <c r="T32" s="717">
        <f>SUM(T18:T31)</f>
        <v>0</v>
      </c>
      <c r="U32" s="732">
        <f>SUM(U18:U31)</f>
        <v>0</v>
      </c>
      <c r="V32" s="732">
        <f>SUM(V18:V31)</f>
        <v>0</v>
      </c>
    </row>
    <row r="33" spans="1:22" ht="22.5" customHeight="1">
      <c r="A33" s="809" t="s">
        <v>271</v>
      </c>
      <c r="B33" s="809"/>
      <c r="C33" s="809"/>
      <c r="D33" s="809"/>
      <c r="E33" s="809"/>
      <c r="F33" s="809"/>
      <c r="G33" s="809"/>
      <c r="H33" s="809"/>
      <c r="I33" s="809"/>
      <c r="J33" s="809"/>
      <c r="K33" s="809"/>
      <c r="L33" s="809"/>
      <c r="M33" s="809"/>
      <c r="N33" s="706">
        <f>'Sch-7'!M18</f>
        <v>0</v>
      </c>
      <c r="O33" s="531"/>
      <c r="P33" s="531"/>
      <c r="Q33" s="510"/>
      <c r="R33" s="510"/>
      <c r="S33" s="510"/>
      <c r="U33" s="732">
        <f>N32-U32</f>
        <v>0</v>
      </c>
      <c r="V33" s="732">
        <f>P32-V32</f>
        <v>0</v>
      </c>
    </row>
    <row r="34" spans="1:22" ht="22.5" customHeight="1">
      <c r="A34" s="809" t="s">
        <v>473</v>
      </c>
      <c r="B34" s="809"/>
      <c r="C34" s="809"/>
      <c r="D34" s="809"/>
      <c r="E34" s="809"/>
      <c r="F34" s="809"/>
      <c r="G34" s="809"/>
      <c r="H34" s="809"/>
      <c r="I34" s="809"/>
      <c r="J34" s="809"/>
      <c r="K34" s="809"/>
      <c r="L34" s="809"/>
      <c r="M34" s="809"/>
      <c r="N34" s="706">
        <f>N32+N33</f>
        <v>0</v>
      </c>
      <c r="O34" s="531"/>
      <c r="P34" s="531"/>
      <c r="Q34" s="510"/>
      <c r="R34" s="510"/>
      <c r="S34" s="510"/>
    </row>
    <row r="35" spans="1:22" ht="47.25" customHeight="1">
      <c r="A35" s="533"/>
      <c r="B35" s="811" t="s">
        <v>310</v>
      </c>
      <c r="C35" s="811"/>
      <c r="D35" s="811"/>
      <c r="E35" s="811"/>
      <c r="F35" s="811"/>
      <c r="G35" s="811"/>
      <c r="H35" s="811"/>
      <c r="I35" s="811"/>
      <c r="J35" s="811"/>
      <c r="K35" s="811"/>
      <c r="L35" s="811"/>
      <c r="M35" s="811"/>
      <c r="N35" s="811"/>
      <c r="O35" s="531"/>
      <c r="P35" s="531"/>
      <c r="Q35" s="510"/>
      <c r="R35" s="510"/>
      <c r="S35" s="510"/>
    </row>
    <row r="36" spans="1:22">
      <c r="A36" s="533"/>
      <c r="B36" s="533"/>
      <c r="C36" s="533"/>
      <c r="D36" s="535"/>
      <c r="E36" s="533"/>
      <c r="F36" s="533"/>
      <c r="G36" s="533"/>
      <c r="H36" s="533"/>
      <c r="I36" s="533"/>
      <c r="J36" s="535"/>
      <c r="K36" s="533"/>
      <c r="L36" s="533"/>
      <c r="M36" s="533"/>
      <c r="N36" s="533"/>
      <c r="O36" s="510"/>
      <c r="P36" s="510"/>
      <c r="Q36" s="510"/>
      <c r="R36" s="510"/>
      <c r="S36" s="510"/>
    </row>
    <row r="37" spans="1:22" ht="16.5">
      <c r="A37" s="533"/>
      <c r="B37" s="533" t="s">
        <v>316</v>
      </c>
      <c r="C37" s="813" t="str">
        <f>'Names of Bidder'!D27&amp;" "&amp;'Names of Bidder'!E27&amp;" "&amp;'Names of Bidder'!F27</f>
        <v xml:space="preserve">  </v>
      </c>
      <c r="D37" s="810"/>
      <c r="E37" s="533"/>
      <c r="F37" s="533"/>
      <c r="G37" s="533"/>
      <c r="H37" s="533"/>
      <c r="I37" s="534"/>
      <c r="J37" s="710" t="s">
        <v>318</v>
      </c>
      <c r="K37" s="812" t="str">
        <f>IF('Names of Bidder'!D24="","",'Names of Bidder'!D24)</f>
        <v/>
      </c>
      <c r="L37" s="812"/>
      <c r="M37" s="812"/>
      <c r="N37" s="812"/>
      <c r="O37" s="510"/>
      <c r="P37" s="510"/>
      <c r="Q37" s="510"/>
      <c r="R37" s="510"/>
      <c r="S37" s="510"/>
    </row>
    <row r="38" spans="1:22" ht="16.5">
      <c r="A38" s="533"/>
      <c r="B38" s="533" t="s">
        <v>317</v>
      </c>
      <c r="C38" s="810" t="str">
        <f>IF('Names of Bidder'!D28="","",'Names of Bidder'!D28)</f>
        <v/>
      </c>
      <c r="D38" s="810"/>
      <c r="E38" s="533"/>
      <c r="F38" s="533"/>
      <c r="G38" s="533"/>
      <c r="H38" s="533"/>
      <c r="I38" s="534"/>
      <c r="J38" s="710" t="s">
        <v>125</v>
      </c>
      <c r="K38" s="812" t="str">
        <f>IF('Names of Bidder'!D25="","",'Names of Bidder'!D25)</f>
        <v/>
      </c>
      <c r="L38" s="812"/>
      <c r="M38" s="812"/>
      <c r="N38" s="812"/>
      <c r="O38" s="510"/>
      <c r="P38" s="510"/>
      <c r="Q38" s="510"/>
      <c r="R38" s="510"/>
      <c r="S38" s="510"/>
    </row>
    <row r="39" spans="1:22">
      <c r="A39" s="533"/>
      <c r="B39" s="533"/>
      <c r="C39" s="533"/>
      <c r="D39" s="535"/>
      <c r="E39" s="533"/>
      <c r="F39" s="533"/>
      <c r="G39" s="533"/>
      <c r="H39" s="533"/>
      <c r="I39" s="533"/>
      <c r="J39" s="535"/>
      <c r="K39" s="533"/>
      <c r="L39" s="533"/>
      <c r="M39" s="533"/>
      <c r="N39" s="533"/>
      <c r="O39" s="510"/>
      <c r="P39" s="510"/>
      <c r="Q39" s="510"/>
      <c r="R39" s="510"/>
      <c r="S39" s="510"/>
    </row>
    <row r="40" spans="1:22">
      <c r="A40" s="533"/>
      <c r="B40" s="533"/>
      <c r="C40" s="533"/>
      <c r="D40" s="535"/>
      <c r="E40" s="533"/>
      <c r="F40" s="533"/>
      <c r="G40" s="535"/>
      <c r="H40" s="535"/>
      <c r="I40" s="535"/>
      <c r="J40" s="535"/>
      <c r="K40" s="533"/>
      <c r="L40" s="533"/>
      <c r="M40" s="533"/>
      <c r="N40" s="533"/>
    </row>
    <row r="41" spans="1:22">
      <c r="G41" s="700"/>
      <c r="H41" s="700"/>
      <c r="I41" s="700"/>
    </row>
    <row r="42" spans="1:22">
      <c r="G42" s="700"/>
      <c r="H42" s="700"/>
      <c r="I42" s="700"/>
    </row>
    <row r="43" spans="1:22">
      <c r="G43" s="700"/>
      <c r="H43" s="700"/>
      <c r="I43" s="700"/>
      <c r="M43" s="719"/>
    </row>
    <row r="44" spans="1:22">
      <c r="G44" s="700"/>
      <c r="H44" s="700"/>
      <c r="I44" s="700"/>
    </row>
    <row r="45" spans="1:22">
      <c r="G45" s="700"/>
      <c r="H45" s="700"/>
      <c r="I45" s="700"/>
    </row>
    <row r="46" spans="1:22">
      <c r="G46" s="700"/>
      <c r="H46" s="700"/>
      <c r="I46" s="700"/>
      <c r="O46" s="719"/>
    </row>
    <row r="47" spans="1:22">
      <c r="G47" s="700"/>
      <c r="H47" s="700"/>
      <c r="I47" s="700"/>
    </row>
    <row r="48" spans="1:22">
      <c r="G48" s="700"/>
      <c r="H48" s="700"/>
      <c r="I48" s="700"/>
    </row>
    <row r="49" spans="7:9">
      <c r="G49" s="700"/>
      <c r="H49" s="700"/>
      <c r="I49" s="700"/>
    </row>
    <row r="50" spans="7:9">
      <c r="G50" s="700"/>
      <c r="H50" s="700"/>
      <c r="I50" s="700"/>
    </row>
    <row r="51" spans="7:9">
      <c r="G51" s="700"/>
      <c r="H51" s="700"/>
      <c r="I51" s="700"/>
    </row>
    <row r="52" spans="7:9">
      <c r="G52" s="700"/>
      <c r="H52" s="700"/>
      <c r="I52" s="700"/>
    </row>
    <row r="53" spans="7:9">
      <c r="G53" s="700"/>
      <c r="H53" s="700"/>
      <c r="I53" s="700"/>
    </row>
    <row r="54" spans="7:9">
      <c r="G54" s="700"/>
      <c r="H54" s="700"/>
      <c r="I54" s="700"/>
    </row>
    <row r="55" spans="7:9">
      <c r="G55" s="700"/>
      <c r="H55" s="700"/>
      <c r="I55" s="700"/>
    </row>
    <row r="56" spans="7:9">
      <c r="G56" s="700"/>
      <c r="H56" s="700"/>
      <c r="I56" s="700"/>
    </row>
    <row r="57" spans="7:9">
      <c r="G57" s="700"/>
      <c r="H57" s="700"/>
      <c r="I57" s="700"/>
    </row>
    <row r="58" spans="7:9">
      <c r="G58" s="700"/>
      <c r="H58" s="700"/>
      <c r="I58" s="700"/>
    </row>
    <row r="59" spans="7:9">
      <c r="G59" s="700"/>
      <c r="H59" s="700"/>
      <c r="I59" s="700"/>
    </row>
    <row r="60" spans="7:9">
      <c r="G60" s="700"/>
      <c r="H60" s="700"/>
      <c r="I60" s="700"/>
    </row>
    <row r="61" spans="7:9">
      <c r="G61" s="700"/>
      <c r="H61" s="700"/>
      <c r="I61" s="700"/>
    </row>
    <row r="62" spans="7:9">
      <c r="G62" s="700"/>
      <c r="H62" s="700"/>
      <c r="I62" s="700"/>
    </row>
    <row r="63" spans="7:9">
      <c r="G63" s="700"/>
      <c r="H63" s="700"/>
      <c r="I63" s="700"/>
    </row>
    <row r="64" spans="7:9">
      <c r="G64" s="700"/>
      <c r="H64" s="700"/>
      <c r="I64" s="700"/>
    </row>
    <row r="65" spans="7:9">
      <c r="G65" s="700"/>
      <c r="H65" s="700"/>
      <c r="I65" s="700"/>
    </row>
    <row r="66" spans="7:9">
      <c r="G66" s="700"/>
      <c r="H66" s="700"/>
      <c r="I66" s="700"/>
    </row>
    <row r="67" spans="7:9">
      <c r="G67" s="700"/>
      <c r="H67" s="700"/>
      <c r="I67" s="700"/>
    </row>
    <row r="68" spans="7:9">
      <c r="G68" s="700"/>
      <c r="H68" s="700"/>
      <c r="I68" s="700"/>
    </row>
    <row r="69" spans="7:9">
      <c r="G69" s="700"/>
      <c r="H69" s="700"/>
      <c r="I69" s="700"/>
    </row>
    <row r="70" spans="7:9">
      <c r="G70" s="700"/>
      <c r="H70" s="700"/>
      <c r="I70" s="700"/>
    </row>
    <row r="71" spans="7:9">
      <c r="G71" s="700"/>
      <c r="H71" s="700"/>
      <c r="I71" s="700"/>
    </row>
  </sheetData>
  <sheetProtection algorithmName="SHA-512" hashValue="yKThbKih47DIam4d2BunqaiXgIFeD4j9kvN0arAX91RvqcVdmBcoqaJ9YA7qlavDdpVVW5kA4KpGnlk2WFBqgQ==" saltValue="NqalH35c8FZ93nExmlINOQ==" spinCount="100000" sheet="1" formatColumns="0" formatRows="0" selectLockedCells="1"/>
  <customSheetViews>
    <customSheetView guid="{84F40905-A9D3-43A5-987A-8A757D486A94}" scale="60" showPageBreaks="1" fitToPage="1" printArea="1" hiddenColumns="1" view="pageBreakPreview" topLeftCell="A13">
      <selection activeCell="M24" sqref="M24"/>
      <pageMargins left="0.25" right="0.25" top="0.75" bottom="0.5" header="0.3" footer="0.5"/>
      <printOptions horizontalCentered="1"/>
      <pageSetup paperSize="9" scale="51" fitToHeight="0" orientation="landscape" r:id="rId1"/>
      <headerFooter>
        <oddHeader>&amp;RSchedule-1
Page &amp;P of &amp;N</oddHeader>
      </headerFooter>
    </customSheetView>
    <customSheetView guid="{BDFA0401-0547-4E51-8BD2-84F711B066CA}" scale="60" showPageBreaks="1" printArea="1" hiddenColumns="1" view="pageBreakPreview" topLeftCell="A8">
      <selection activeCell="M18" sqref="M18"/>
      <pageMargins left="0.25" right="0.25" top="0.75" bottom="0.5" header="0.3" footer="0.5"/>
      <printOptions horizontalCentered="1"/>
      <pageSetup paperSize="9" scale="35" orientation="landscape" r:id="rId2"/>
      <headerFooter>
        <oddHeader>&amp;RSchedule-1
Page &amp;P of &amp;N</oddHeader>
      </headerFooter>
    </customSheetView>
    <customSheetView guid="{112647D2-7580-431B-99B5-DD512E2AD50E}" scale="80" showPageBreaks="1" printArea="1" hiddenColumns="1" view="pageBreakPreview">
      <selection activeCell="G19" sqref="G19"/>
      <pageMargins left="0.25" right="0.25" top="0.75" bottom="0.5" header="0.3" footer="0.5"/>
      <printOptions horizontalCentered="1"/>
      <pageSetup paperSize="9" scale="46" orientation="landscape" r:id="rId3"/>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4"/>
      <headerFooter>
        <oddHeader>&amp;RSchedule-1
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5"/>
      <headerFooter>
        <oddHeader>&amp;RSchedule-1
Page &amp;P of &amp;N</oddHeader>
      </headerFooter>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6"/>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8"/>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9"/>
      <headerFooter>
        <oddHeader>&amp;RSchedule-1
Page &amp;P of &amp;N</oddHeader>
      </headerFooter>
    </customSheetView>
    <customSheetView guid="{F8A50AE1-259E-429D-A506-38EB64D134EF}" scale="80" showPageBreaks="1" printArea="1" hiddenColumns="1" view="pageBreakPreview" topLeftCell="A7">
      <selection activeCell="G21" sqref="G21"/>
      <pageMargins left="0.25" right="0.25" top="0.75" bottom="0.5" header="0.3" footer="0.5"/>
      <printOptions horizontalCentered="1"/>
      <pageSetup paperSize="9" scale="57" orientation="landscape" r:id="rId10"/>
      <headerFooter>
        <oddHeader>&amp;RSchedule-1
Page &amp;P of &amp;N</oddHeader>
      </headerFooter>
    </customSheetView>
    <customSheetView guid="{DEF6DCE2-4A74-4BE5-B5D5-8143DC3F770A}" scale="80" showPageBreaks="1" printArea="1" hiddenColumns="1" view="pageBreakPreview" topLeftCell="A7">
      <selection activeCell="G18" sqref="G18"/>
      <pageMargins left="0.25" right="0.25" top="0.75" bottom="0.5" header="0.3" footer="0.5"/>
      <printOptions horizontalCentered="1"/>
      <pageSetup paperSize="9" scale="57" orientation="landscape" r:id="rId11"/>
      <headerFooter>
        <oddHeader>&amp;RSchedule-1
Page &amp;P of &amp;N</oddHeader>
      </headerFooter>
    </customSheetView>
    <customSheetView guid="{F658ED72-5E54-4C5B-BB2C-7A2962080984}" scale="80" showPageBreaks="1" printArea="1" hiddenColumns="1" view="pageBreakPreview" topLeftCell="A7">
      <selection activeCell="G18" sqref="G18"/>
      <pageMargins left="0.25" right="0.25" top="0.75" bottom="0.5" header="0.3" footer="0.5"/>
      <printOptions horizontalCentered="1"/>
      <pageSetup paperSize="9" scale="57" orientation="landscape" r:id="rId12"/>
      <headerFooter>
        <oddHeader>&amp;RSchedule-1
Page &amp;P of &amp;N</oddHeader>
      </headerFooter>
    </customSheetView>
    <customSheetView guid="{BE68641D-0C1E-4F8D-890A-A660C199187C}" scale="80" showPageBreaks="1" printArea="1" hiddenColumns="1" view="pageBreakPreview" topLeftCell="A14">
      <selection activeCell="I25" sqref="I25"/>
      <pageMargins left="0.25" right="0.25" top="0.75" bottom="0.5" header="0.3" footer="0.5"/>
      <printOptions horizontalCentered="1"/>
      <pageSetup paperSize="9" scale="46" orientation="landscape" r:id="rId13"/>
      <headerFooter>
        <oddHeader>&amp;RSchedule-1
Page &amp;P of &amp;N</oddHeader>
      </headerFooter>
    </customSheetView>
    <customSheetView guid="{AD0333DF-5B33-49B5-B063-72505D20EFE4}" scale="80" showPageBreaks="1" printArea="1" hiddenColumns="1" view="pageBreakPreview" topLeftCell="A16">
      <selection activeCell="G19" sqref="G19"/>
      <pageMargins left="0.25" right="0.25" top="0.75" bottom="0.5" header="0.3" footer="0.5"/>
      <printOptions horizontalCentered="1"/>
      <pageSetup paperSize="9" scale="46" orientation="landscape" r:id="rId14"/>
      <headerFooter>
        <oddHeader>&amp;RSchedule-1
Page &amp;P of &amp;N</oddHeader>
      </headerFooter>
    </customSheetView>
    <customSheetView guid="{C44C314C-9BEB-403F-A933-6B948E5C1171}" scale="80" showPageBreaks="1" printArea="1" hiddenColumns="1" view="pageBreakPreview">
      <selection activeCell="G19" sqref="G19"/>
      <pageMargins left="0.25" right="0.25" top="0.75" bottom="0.5" header="0.3" footer="0.5"/>
      <printOptions horizontalCentered="1"/>
      <pageSetup paperSize="9" scale="46" orientation="landscape" r:id="rId15"/>
      <headerFooter>
        <oddHeader>&amp;RSchedule-1
Page &amp;P of &amp;N</oddHeader>
      </headerFooter>
    </customSheetView>
  </customSheetViews>
  <mergeCells count="22">
    <mergeCell ref="A3:N3"/>
    <mergeCell ref="A4:N4"/>
    <mergeCell ref="A6:B6"/>
    <mergeCell ref="A8:G8"/>
    <mergeCell ref="K14:N14"/>
    <mergeCell ref="C12:G12"/>
    <mergeCell ref="C10:G10"/>
    <mergeCell ref="C9:G9"/>
    <mergeCell ref="A7:I7"/>
    <mergeCell ref="A13:N13"/>
    <mergeCell ref="C11:G11"/>
    <mergeCell ref="Z10:AL10"/>
    <mergeCell ref="Z8:AL8"/>
    <mergeCell ref="Z9:AL9"/>
    <mergeCell ref="A32:M32"/>
    <mergeCell ref="C38:D38"/>
    <mergeCell ref="B35:N35"/>
    <mergeCell ref="K38:N38"/>
    <mergeCell ref="K37:N37"/>
    <mergeCell ref="A33:M33"/>
    <mergeCell ref="A34:M34"/>
    <mergeCell ref="C37:D37"/>
  </mergeCells>
  <conditionalFormatting sqref="I30:I31 I18:I19 I21:I22 I27:I28">
    <cfRule type="expression" dxfId="10" priority="28" stopIfTrue="1">
      <formula>H18&gt;0</formula>
    </cfRule>
  </conditionalFormatting>
  <conditionalFormatting sqref="I24:I25">
    <cfRule type="expression" dxfId="9" priority="10" stopIfTrue="1">
      <formula>H24&gt;0</formula>
    </cfRule>
  </conditionalFormatting>
  <conditionalFormatting sqref="L30">
    <cfRule type="expression" dxfId="8" priority="3" stopIfTrue="1">
      <formula>H30=""</formula>
    </cfRule>
  </conditionalFormatting>
  <conditionalFormatting sqref="L27:L28">
    <cfRule type="expression" dxfId="7" priority="2" stopIfTrue="1">
      <formula>H27=""</formula>
    </cfRule>
  </conditionalFormatting>
  <conditionalFormatting sqref="K27:L27">
    <cfRule type="cellIs" dxfId="6" priority="1" stopIfTrue="1" operator="equal">
      <formula>"a"</formula>
    </cfRule>
  </conditionalFormatting>
  <dataValidations count="3">
    <dataValidation type="decimal" operator="greaterThanOrEqual" allowBlank="1" showInputMessage="1" showErrorMessage="1" sqref="M18:M19 M21:M22 M27:M31 M24:M25" xr:uid="{00000000-0002-0000-0400-000000000000}">
      <formula1>0</formula1>
    </dataValidation>
    <dataValidation type="list" operator="greaterThan" allowBlank="1" showInputMessage="1" showErrorMessage="1" sqref="I18:I19 I21:I22 I27:I31 I24:I25" xr:uid="{00000000-0002-0000-0400-000001000000}">
      <formula1>"0%,5%,12%,18%,28%"</formula1>
    </dataValidation>
    <dataValidation type="whole" operator="greaterThan" allowBlank="1" showInputMessage="1" showErrorMessage="1" sqref="G18:G19 G21:G22 G27:G31 G24:G25" xr:uid="{00000000-0002-0000-0400-000002000000}">
      <formula1>0</formula1>
    </dataValidation>
  </dataValidations>
  <printOptions horizontalCentered="1"/>
  <pageMargins left="0.25" right="0.25" top="0.75" bottom="0.5" header="0.3" footer="0.5"/>
  <pageSetup paperSize="9" scale="51" fitToHeight="0" orientation="landscape" r:id="rId16"/>
  <headerFooter>
    <oddHeader>&amp;RSchedule-1
Page &amp;P of &amp;N</oddHeader>
  </headerFooter>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38"/>
  <sheetViews>
    <sheetView view="pageBreakPreview" topLeftCell="A13" zoomScale="60" zoomScaleNormal="100" workbookViewId="0">
      <selection activeCell="I28" sqref="I28"/>
    </sheetView>
  </sheetViews>
  <sheetFormatPr defaultColWidth="9.140625" defaultRowHeight="15.75"/>
  <cols>
    <col min="1" max="1" width="6.140625" style="427" customWidth="1"/>
    <col min="2" max="2" width="21.140625" style="427" customWidth="1"/>
    <col min="3" max="3" width="11.28515625" style="427" customWidth="1"/>
    <col min="4" max="4" width="23.85546875" style="427" customWidth="1"/>
    <col min="5" max="5" width="20.28515625" style="427" customWidth="1"/>
    <col min="6" max="6" width="62" style="419" customWidth="1"/>
    <col min="7" max="7" width="11.28515625" style="427" customWidth="1"/>
    <col min="8" max="8" width="11" style="427" customWidth="1"/>
    <col min="9" max="9" width="22.140625" style="9" customWidth="1"/>
    <col min="10" max="10" width="30.42578125" style="427" customWidth="1"/>
    <col min="11" max="13" width="10.28515625" style="424" customWidth="1"/>
    <col min="14" max="14" width="9.140625" style="424" customWidth="1"/>
    <col min="15" max="17" width="9.140625" style="424"/>
    <col min="18" max="28" width="9.140625" style="415"/>
    <col min="29" max="16384" width="9.140625" style="423"/>
  </cols>
  <sheetData>
    <row r="1" spans="1:32" ht="27.75" customHeight="1">
      <c r="A1" s="1" t="str">
        <f>Basic!B5</f>
        <v>Spec. No. CC/NT/W-RT/DOM/A06/23/04299</v>
      </c>
      <c r="B1" s="1"/>
      <c r="C1" s="1"/>
      <c r="D1" s="418"/>
      <c r="E1" s="418"/>
      <c r="F1" s="418"/>
      <c r="G1" s="421"/>
      <c r="H1" s="421"/>
      <c r="I1" s="422"/>
      <c r="J1" s="611" t="s">
        <v>14</v>
      </c>
    </row>
    <row r="2" spans="1:32" ht="21.75" customHeight="1">
      <c r="A2" s="417"/>
      <c r="B2" s="417"/>
      <c r="C2" s="417"/>
      <c r="D2" s="417"/>
      <c r="E2" s="417"/>
      <c r="F2" s="417"/>
      <c r="G2" s="351"/>
      <c r="H2" s="351"/>
      <c r="I2" s="425"/>
      <c r="J2" s="351"/>
    </row>
    <row r="3" spans="1:32" ht="69" customHeight="1">
      <c r="A3" s="814" t="str">
        <f>Cover!$B$2</f>
        <v>Reactor Package RT03 under Bulk Procurement of 765kV and 400kV Class Transformers and Reactors of various capacities- LOT-3 and SIS/Addl. Cap. -Re-Tender</v>
      </c>
      <c r="B3" s="814"/>
      <c r="C3" s="814"/>
      <c r="D3" s="814"/>
      <c r="E3" s="814"/>
      <c r="F3" s="814"/>
      <c r="G3" s="814"/>
      <c r="H3" s="814"/>
      <c r="I3" s="814"/>
      <c r="J3" s="814"/>
      <c r="K3" s="426"/>
      <c r="N3" s="825"/>
      <c r="O3" s="825"/>
      <c r="R3" s="424"/>
      <c r="S3" s="424"/>
      <c r="T3" s="424"/>
      <c r="U3" s="424"/>
      <c r="V3" s="424"/>
      <c r="W3" s="424"/>
      <c r="X3" s="424"/>
      <c r="Y3" s="424"/>
      <c r="Z3" s="424"/>
      <c r="AA3" s="424"/>
      <c r="AC3" s="415"/>
      <c r="AD3" s="415"/>
      <c r="AE3" s="415"/>
      <c r="AF3" s="415"/>
    </row>
    <row r="4" spans="1:32" ht="21.95" customHeight="1">
      <c r="A4" s="826" t="s">
        <v>0</v>
      </c>
      <c r="B4" s="826"/>
      <c r="C4" s="826"/>
      <c r="D4" s="826"/>
      <c r="E4" s="826"/>
      <c r="F4" s="826"/>
      <c r="G4" s="826"/>
      <c r="H4" s="826"/>
      <c r="I4" s="826"/>
      <c r="J4" s="826"/>
    </row>
    <row r="5" spans="1:32" ht="15" customHeight="1">
      <c r="J5" s="351"/>
    </row>
    <row r="6" spans="1:32" ht="22.5" customHeight="1">
      <c r="A6" s="816" t="s">
        <v>349</v>
      </c>
      <c r="B6" s="816"/>
      <c r="C6" s="4"/>
      <c r="D6" s="351"/>
      <c r="E6" s="4"/>
      <c r="F6" s="4"/>
      <c r="G6" s="4"/>
      <c r="H6" s="4"/>
      <c r="I6" s="4"/>
      <c r="J6" s="351"/>
    </row>
    <row r="7" spans="1:32" ht="25.5" customHeight="1">
      <c r="A7" s="821" t="str">
        <f>'Sch-1'!A7</f>
        <v/>
      </c>
      <c r="B7" s="821"/>
      <c r="C7" s="821"/>
      <c r="D7" s="821"/>
      <c r="E7" s="821"/>
      <c r="F7" s="821"/>
      <c r="G7" s="578"/>
      <c r="H7" s="454" t="s">
        <v>1</v>
      </c>
      <c r="I7" s="578"/>
      <c r="J7" s="351"/>
    </row>
    <row r="8" spans="1:32" ht="29.25" customHeight="1">
      <c r="A8" s="817" t="str">
        <f>"Bidder’s Name and Address  (" &amp; MID('Names of Bidder'!B9,9, 20) &amp; ") :"</f>
        <v>Bidder’s Name and Address  (Sole Bidder) :</v>
      </c>
      <c r="B8" s="817"/>
      <c r="C8" s="817"/>
      <c r="D8" s="817"/>
      <c r="E8" s="817"/>
      <c r="F8" s="817"/>
      <c r="G8" s="817"/>
      <c r="H8" s="455" t="s">
        <v>2</v>
      </c>
      <c r="I8" s="536"/>
      <c r="J8" s="351"/>
    </row>
    <row r="9" spans="1:32" ht="26.25" customHeight="1">
      <c r="A9" s="459" t="s">
        <v>12</v>
      </c>
      <c r="B9" s="407"/>
      <c r="C9" s="820" t="str">
        <f>IF('Names of Bidder'!D9=0, "", 'Names of Bidder'!D9)</f>
        <v/>
      </c>
      <c r="D9" s="820"/>
      <c r="E9" s="820"/>
      <c r="F9" s="580"/>
      <c r="G9" s="580"/>
      <c r="H9" s="455" t="s">
        <v>3</v>
      </c>
      <c r="I9" s="408"/>
      <c r="J9" s="351"/>
    </row>
    <row r="10" spans="1:32" ht="17.25" customHeight="1">
      <c r="A10" s="459" t="s">
        <v>11</v>
      </c>
      <c r="B10" s="407"/>
      <c r="C10" s="819" t="str">
        <f>IF('Names of Bidder'!D10=0, "", 'Names of Bidder'!D10)</f>
        <v/>
      </c>
      <c r="D10" s="819"/>
      <c r="E10" s="819"/>
      <c r="F10" s="580"/>
      <c r="G10" s="580"/>
      <c r="H10" s="455" t="s">
        <v>4</v>
      </c>
      <c r="I10" s="408"/>
      <c r="J10" s="351"/>
    </row>
    <row r="11" spans="1:32" ht="18" customHeight="1">
      <c r="A11" s="408"/>
      <c r="B11" s="408"/>
      <c r="C11" s="819" t="str">
        <f>IF('Names of Bidder'!D11=0, "", 'Names of Bidder'!D11)</f>
        <v/>
      </c>
      <c r="D11" s="819"/>
      <c r="E11" s="819"/>
      <c r="F11" s="580"/>
      <c r="G11" s="580"/>
      <c r="H11" s="455" t="s">
        <v>5</v>
      </c>
      <c r="I11" s="408"/>
      <c r="J11" s="351"/>
    </row>
    <row r="12" spans="1:32" ht="18" customHeight="1">
      <c r="A12" s="408"/>
      <c r="B12" s="408"/>
      <c r="C12" s="819" t="str">
        <f>IF('Names of Bidder'!D12=0, "", 'Names of Bidder'!D12)</f>
        <v/>
      </c>
      <c r="D12" s="819"/>
      <c r="E12" s="819"/>
      <c r="F12" s="580"/>
      <c r="G12" s="580"/>
      <c r="H12" s="455" t="s">
        <v>6</v>
      </c>
      <c r="I12" s="408"/>
      <c r="J12" s="351"/>
    </row>
    <row r="13" spans="1:32" s="469" customFormat="1" ht="26.45" customHeight="1">
      <c r="A13" s="823" t="s">
        <v>363</v>
      </c>
      <c r="B13" s="823"/>
      <c r="C13" s="823"/>
      <c r="D13" s="823"/>
      <c r="E13" s="823"/>
      <c r="F13" s="823"/>
      <c r="G13" s="823"/>
      <c r="H13" s="823"/>
      <c r="I13" s="823"/>
      <c r="J13" s="823"/>
      <c r="K13" s="467"/>
      <c r="L13" s="467"/>
      <c r="M13" s="467"/>
      <c r="N13" s="467"/>
      <c r="O13" s="467"/>
      <c r="P13" s="467"/>
      <c r="Q13" s="467"/>
      <c r="R13" s="468"/>
      <c r="S13" s="468"/>
      <c r="T13" s="468"/>
      <c r="U13" s="468"/>
      <c r="V13" s="468"/>
      <c r="W13" s="468"/>
      <c r="X13" s="468"/>
      <c r="Y13" s="468"/>
      <c r="Z13" s="468"/>
      <c r="AA13" s="468"/>
      <c r="AB13" s="468"/>
    </row>
    <row r="14" spans="1:32" ht="20.25" customHeight="1" thickBot="1">
      <c r="A14" s="428"/>
      <c r="B14" s="428"/>
      <c r="C14" s="428"/>
      <c r="D14" s="428"/>
      <c r="E14" s="428"/>
      <c r="F14" s="420"/>
      <c r="G14" s="429"/>
      <c r="H14" s="429"/>
      <c r="I14" s="828" t="s">
        <v>354</v>
      </c>
      <c r="J14" s="828"/>
    </row>
    <row r="15" spans="1:32" ht="102" customHeight="1">
      <c r="A15" s="13" t="s">
        <v>7</v>
      </c>
      <c r="B15" s="17" t="s">
        <v>266</v>
      </c>
      <c r="C15" s="17" t="s">
        <v>278</v>
      </c>
      <c r="D15" s="17" t="s">
        <v>280</v>
      </c>
      <c r="E15" s="17" t="s">
        <v>13</v>
      </c>
      <c r="F15" s="14" t="s">
        <v>15</v>
      </c>
      <c r="G15" s="14" t="s">
        <v>9</v>
      </c>
      <c r="H15" s="14" t="s">
        <v>16</v>
      </c>
      <c r="I15" s="14" t="s">
        <v>362</v>
      </c>
      <c r="J15" s="15" t="s">
        <v>361</v>
      </c>
    </row>
    <row r="16" spans="1:32" ht="16.5">
      <c r="A16" s="390">
        <v>1</v>
      </c>
      <c r="B16" s="390">
        <v>2</v>
      </c>
      <c r="C16" s="390">
        <v>3</v>
      </c>
      <c r="D16" s="390">
        <v>4</v>
      </c>
      <c r="E16" s="390">
        <v>5</v>
      </c>
      <c r="F16" s="390">
        <v>6</v>
      </c>
      <c r="G16" s="390">
        <v>7</v>
      </c>
      <c r="H16" s="390">
        <v>8</v>
      </c>
      <c r="I16" s="390">
        <v>9</v>
      </c>
      <c r="J16" s="390" t="s">
        <v>355</v>
      </c>
    </row>
    <row r="17" spans="1:18" ht="26.25" customHeight="1">
      <c r="A17" s="739" t="s">
        <v>481</v>
      </c>
      <c r="B17" s="737" t="str">
        <f>'Sch-1'!B17</f>
        <v xml:space="preserve">1 x 125 MVAR, 420kV Reactors at Vizag   </v>
      </c>
      <c r="C17" s="740"/>
      <c r="D17" s="740"/>
      <c r="E17" s="740"/>
      <c r="F17" s="740"/>
      <c r="G17" s="740"/>
      <c r="H17" s="740"/>
      <c r="I17" s="740"/>
      <c r="J17" s="741"/>
    </row>
    <row r="18" spans="1:18" ht="51.75" customHeight="1">
      <c r="A18" s="528">
        <v>1</v>
      </c>
      <c r="B18" s="750">
        <v>7000023656</v>
      </c>
      <c r="C18" s="750">
        <v>10</v>
      </c>
      <c r="D18" s="750" t="s">
        <v>496</v>
      </c>
      <c r="E18" s="750">
        <v>1000000706</v>
      </c>
      <c r="F18" s="750" t="s">
        <v>491</v>
      </c>
      <c r="G18" s="750" t="s">
        <v>299</v>
      </c>
      <c r="H18" s="750">
        <v>1</v>
      </c>
      <c r="I18" s="731"/>
      <c r="J18" s="723" t="str">
        <f t="shared" ref="J18:J31" si="0">IF(I18=0, "INCLUDED", IF(ISERROR(I18*H18), I18, I18*H18))</f>
        <v>INCLUDED</v>
      </c>
    </row>
    <row r="19" spans="1:18" ht="51.75" customHeight="1">
      <c r="A19" s="528">
        <v>2</v>
      </c>
      <c r="B19" s="750">
        <v>7000023657</v>
      </c>
      <c r="C19" s="750">
        <v>10</v>
      </c>
      <c r="D19" s="750" t="s">
        <v>496</v>
      </c>
      <c r="E19" s="750">
        <v>1000013947</v>
      </c>
      <c r="F19" s="750" t="s">
        <v>480</v>
      </c>
      <c r="G19" s="750" t="s">
        <v>300</v>
      </c>
      <c r="H19" s="750">
        <v>1</v>
      </c>
      <c r="I19" s="731"/>
      <c r="J19" s="723" t="str">
        <f t="shared" si="0"/>
        <v>INCLUDED</v>
      </c>
    </row>
    <row r="20" spans="1:18" ht="26.25" customHeight="1">
      <c r="A20" s="739" t="s">
        <v>482</v>
      </c>
      <c r="B20" s="737" t="str">
        <f>'Sch-1'!B20</f>
        <v xml:space="preserve">1 x 125 MVAR, 420kV Reactors at Gooty   </v>
      </c>
      <c r="C20" s="740"/>
      <c r="D20" s="740"/>
      <c r="E20" s="740"/>
      <c r="F20" s="740"/>
      <c r="G20" s="740"/>
      <c r="H20" s="740"/>
      <c r="I20" s="740"/>
      <c r="J20" s="741"/>
    </row>
    <row r="21" spans="1:18" ht="52.5" customHeight="1">
      <c r="A21" s="528">
        <v>3</v>
      </c>
      <c r="B21" s="750">
        <v>7000018831</v>
      </c>
      <c r="C21" s="750">
        <v>70</v>
      </c>
      <c r="D21" s="750" t="s">
        <v>496</v>
      </c>
      <c r="E21" s="750">
        <v>1000000706</v>
      </c>
      <c r="F21" s="750" t="s">
        <v>491</v>
      </c>
      <c r="G21" s="750" t="s">
        <v>299</v>
      </c>
      <c r="H21" s="750">
        <v>1</v>
      </c>
      <c r="I21" s="731"/>
      <c r="J21" s="723" t="str">
        <f t="shared" si="0"/>
        <v>INCLUDED</v>
      </c>
    </row>
    <row r="22" spans="1:18" ht="52.5" customHeight="1">
      <c r="A22" s="528">
        <v>4</v>
      </c>
      <c r="B22" s="750">
        <v>7000018831</v>
      </c>
      <c r="C22" s="750">
        <v>80</v>
      </c>
      <c r="D22" s="750" t="s">
        <v>496</v>
      </c>
      <c r="E22" s="750">
        <v>1000013947</v>
      </c>
      <c r="F22" s="750" t="s">
        <v>480</v>
      </c>
      <c r="G22" s="750" t="s">
        <v>300</v>
      </c>
      <c r="H22" s="750">
        <v>1</v>
      </c>
      <c r="I22" s="731"/>
      <c r="J22" s="723" t="str">
        <f t="shared" si="0"/>
        <v>INCLUDED</v>
      </c>
    </row>
    <row r="23" spans="1:18" ht="26.25" customHeight="1">
      <c r="A23" s="739" t="s">
        <v>483</v>
      </c>
      <c r="B23" s="737" t="str">
        <f>'Sch-1'!B23</f>
        <v xml:space="preserve">1 x 80 MVAR,765kV 1-Ph Rtr at Bilaspur  </v>
      </c>
      <c r="C23" s="740"/>
      <c r="D23" s="740"/>
      <c r="E23" s="740"/>
      <c r="F23" s="740"/>
      <c r="G23" s="740"/>
      <c r="H23" s="740"/>
      <c r="I23" s="740"/>
      <c r="J23" s="741"/>
    </row>
    <row r="24" spans="1:18" ht="60" customHeight="1">
      <c r="A24" s="528">
        <v>5</v>
      </c>
      <c r="B24" s="750">
        <v>7000018823</v>
      </c>
      <c r="C24" s="750">
        <v>270</v>
      </c>
      <c r="D24" s="750" t="s">
        <v>497</v>
      </c>
      <c r="E24" s="750">
        <v>1000006178</v>
      </c>
      <c r="F24" s="750" t="s">
        <v>493</v>
      </c>
      <c r="G24" s="750" t="s">
        <v>299</v>
      </c>
      <c r="H24" s="750">
        <v>1</v>
      </c>
      <c r="I24" s="731"/>
      <c r="J24" s="723" t="str">
        <f t="shared" si="0"/>
        <v>INCLUDED</v>
      </c>
    </row>
    <row r="25" spans="1:18" ht="60" customHeight="1">
      <c r="A25" s="528">
        <v>6</v>
      </c>
      <c r="B25" s="750">
        <v>7000018823</v>
      </c>
      <c r="C25" s="750">
        <v>260</v>
      </c>
      <c r="D25" s="750" t="s">
        <v>497</v>
      </c>
      <c r="E25" s="750">
        <v>1000013992</v>
      </c>
      <c r="F25" s="750" t="s">
        <v>492</v>
      </c>
      <c r="G25" s="750" t="s">
        <v>300</v>
      </c>
      <c r="H25" s="750">
        <v>1</v>
      </c>
      <c r="I25" s="731"/>
      <c r="J25" s="723" t="str">
        <f t="shared" si="0"/>
        <v>INCLUDED</v>
      </c>
    </row>
    <row r="26" spans="1:18" ht="26.25" customHeight="1">
      <c r="A26" s="739" t="s">
        <v>484</v>
      </c>
      <c r="B26" s="737" t="str">
        <f>'Sch-1'!B26</f>
        <v xml:space="preserve">1 x 110 MVAR, 765kV 1-Ph Rtr at Wardha </v>
      </c>
      <c r="C26" s="740"/>
      <c r="D26" s="740"/>
      <c r="E26" s="740"/>
      <c r="F26" s="740"/>
      <c r="G26" s="740"/>
      <c r="H26" s="740"/>
      <c r="I26" s="740"/>
      <c r="J26" s="741"/>
    </row>
    <row r="27" spans="1:18" ht="52.5" customHeight="1">
      <c r="A27" s="528">
        <v>7</v>
      </c>
      <c r="B27" s="750">
        <v>7000018823</v>
      </c>
      <c r="C27" s="750">
        <v>290</v>
      </c>
      <c r="D27" s="750" t="s">
        <v>498</v>
      </c>
      <c r="E27" s="750">
        <v>1000000566</v>
      </c>
      <c r="F27" s="750" t="s">
        <v>504</v>
      </c>
      <c r="G27" s="750" t="s">
        <v>299</v>
      </c>
      <c r="H27" s="750">
        <v>1</v>
      </c>
      <c r="I27" s="731"/>
      <c r="J27" s="723" t="str">
        <f t="shared" si="0"/>
        <v>INCLUDED</v>
      </c>
    </row>
    <row r="28" spans="1:18" ht="52.5" customHeight="1">
      <c r="A28" s="528">
        <v>8</v>
      </c>
      <c r="B28" s="750">
        <v>7000018823</v>
      </c>
      <c r="C28" s="750">
        <v>300</v>
      </c>
      <c r="D28" s="750" t="s">
        <v>498</v>
      </c>
      <c r="E28" s="750">
        <v>1000013964</v>
      </c>
      <c r="F28" s="750" t="s">
        <v>506</v>
      </c>
      <c r="G28" s="750" t="s">
        <v>300</v>
      </c>
      <c r="H28" s="750">
        <v>1</v>
      </c>
      <c r="I28" s="731"/>
      <c r="J28" s="723" t="str">
        <f t="shared" si="0"/>
        <v>INCLUDED</v>
      </c>
    </row>
    <row r="29" spans="1:18" ht="26.25" customHeight="1">
      <c r="A29" s="739" t="s">
        <v>485</v>
      </c>
      <c r="B29" s="737" t="str">
        <f>'Sch-1'!B29</f>
        <v xml:space="preserve">1 x 125 MVAR, 420kV Reactor at Bikaner  </v>
      </c>
      <c r="C29" s="740"/>
      <c r="D29" s="740"/>
      <c r="E29" s="740"/>
      <c r="F29" s="740"/>
      <c r="G29" s="740"/>
      <c r="H29" s="740"/>
      <c r="I29" s="740"/>
      <c r="J29" s="741"/>
    </row>
    <row r="30" spans="1:18" ht="52.5" customHeight="1">
      <c r="A30" s="528">
        <v>9</v>
      </c>
      <c r="B30" s="750">
        <v>7000018823</v>
      </c>
      <c r="C30" s="750">
        <v>230</v>
      </c>
      <c r="D30" s="750" t="s">
        <v>496</v>
      </c>
      <c r="E30" s="750">
        <v>1000000706</v>
      </c>
      <c r="F30" s="750" t="s">
        <v>491</v>
      </c>
      <c r="G30" s="750" t="s">
        <v>299</v>
      </c>
      <c r="H30" s="750">
        <v>1</v>
      </c>
      <c r="I30" s="731"/>
      <c r="J30" s="723" t="str">
        <f t="shared" si="0"/>
        <v>INCLUDED</v>
      </c>
    </row>
    <row r="31" spans="1:18" ht="52.5" customHeight="1">
      <c r="A31" s="528">
        <v>10</v>
      </c>
      <c r="B31" s="750">
        <v>7000018823</v>
      </c>
      <c r="C31" s="750">
        <v>240</v>
      </c>
      <c r="D31" s="750" t="s">
        <v>496</v>
      </c>
      <c r="E31" s="750">
        <v>1000013947</v>
      </c>
      <c r="F31" s="750" t="s">
        <v>480</v>
      </c>
      <c r="G31" s="750" t="s">
        <v>300</v>
      </c>
      <c r="H31" s="750">
        <v>1</v>
      </c>
      <c r="I31" s="731"/>
      <c r="J31" s="723" t="str">
        <f t="shared" si="0"/>
        <v>INCLUDED</v>
      </c>
    </row>
    <row r="32" spans="1:18" ht="33" customHeight="1">
      <c r="A32" s="829" t="s">
        <v>315</v>
      </c>
      <c r="B32" s="829"/>
      <c r="C32" s="829"/>
      <c r="D32" s="829"/>
      <c r="E32" s="829"/>
      <c r="F32" s="829"/>
      <c r="G32" s="829"/>
      <c r="H32" s="829"/>
      <c r="I32" s="829"/>
      <c r="J32" s="749">
        <f>SUM(J18:J31)</f>
        <v>0</v>
      </c>
      <c r="K32" s="748"/>
      <c r="L32" s="748"/>
      <c r="M32" s="748"/>
      <c r="N32" s="748"/>
      <c r="O32" s="748"/>
      <c r="P32" s="748"/>
      <c r="Q32" s="748"/>
      <c r="R32" s="748"/>
    </row>
    <row r="33" spans="1:11" ht="57.75" customHeight="1">
      <c r="A33" s="430"/>
      <c r="B33" s="827" t="s">
        <v>477</v>
      </c>
      <c r="C33" s="827"/>
      <c r="D33" s="827"/>
      <c r="E33" s="827"/>
      <c r="F33" s="827"/>
      <c r="G33" s="827"/>
      <c r="H33" s="827"/>
      <c r="I33" s="827"/>
      <c r="J33" s="827"/>
      <c r="K33" s="470"/>
    </row>
    <row r="34" spans="1:11" ht="24.75" customHeight="1">
      <c r="B34" s="417"/>
      <c r="C34" s="417"/>
      <c r="D34" s="417"/>
      <c r="E34" s="417"/>
      <c r="F34" s="417"/>
      <c r="G34" s="417"/>
      <c r="H34" s="351"/>
      <c r="I34" s="417"/>
      <c r="J34" s="351"/>
      <c r="K34" s="470"/>
    </row>
    <row r="35" spans="1:11" s="471" customFormat="1" ht="16.5">
      <c r="A35" s="533"/>
      <c r="B35" s="537" t="s">
        <v>316</v>
      </c>
      <c r="C35" s="813" t="str">
        <f>'Sch-1'!C37:D37</f>
        <v xml:space="preserve">  </v>
      </c>
      <c r="D35" s="810"/>
      <c r="E35" s="533"/>
      <c r="F35" s="533"/>
      <c r="G35" s="824" t="s">
        <v>318</v>
      </c>
      <c r="H35" s="824"/>
      <c r="I35" s="812" t="str">
        <f>'Sch-1'!K37</f>
        <v/>
      </c>
      <c r="J35" s="812"/>
    </row>
    <row r="36" spans="1:11" s="471" customFormat="1" ht="16.5">
      <c r="A36" s="533"/>
      <c r="B36" s="537" t="s">
        <v>317</v>
      </c>
      <c r="C36" s="810" t="str">
        <f>'Sch-1'!C38:D38</f>
        <v/>
      </c>
      <c r="D36" s="810"/>
      <c r="E36" s="533"/>
      <c r="F36" s="533"/>
      <c r="G36" s="824" t="s">
        <v>125</v>
      </c>
      <c r="H36" s="824"/>
      <c r="I36" s="812" t="str">
        <f>'Sch-1'!K38</f>
        <v/>
      </c>
      <c r="J36" s="812"/>
    </row>
    <row r="37" spans="1:11" ht="16.5">
      <c r="B37" s="538"/>
      <c r="C37" s="539"/>
      <c r="D37" s="351"/>
      <c r="E37" s="540"/>
      <c r="F37" s="541"/>
      <c r="G37" s="351"/>
      <c r="H37" s="535"/>
      <c r="I37" s="542"/>
      <c r="J37" s="535"/>
      <c r="K37" s="470"/>
    </row>
    <row r="38" spans="1:11" ht="16.5">
      <c r="B38" s="543"/>
      <c r="C38" s="544"/>
      <c r="D38" s="543"/>
      <c r="E38" s="540"/>
      <c r="F38" s="541"/>
      <c r="G38" s="543"/>
      <c r="H38" s="535"/>
      <c r="I38" s="542"/>
      <c r="J38" s="535"/>
      <c r="K38" s="470"/>
    </row>
  </sheetData>
  <sheetProtection algorithmName="SHA-512" hashValue="qJLKT2+8N4450E9zKSwgjb6oE4sn75GZKwtxEqDM2fBhVyYYwPwL60PglBp31cLFBeN4qw624hh7J7VGADyExA==" saltValue="S+gklvoH2Fnyjz5gr0kVRQ==" spinCount="100000" sheet="1" formatColumns="0" formatRows="0" selectLockedCells="1"/>
  <customSheetViews>
    <customSheetView guid="{84F40905-A9D3-43A5-987A-8A757D486A94}" scale="60" showPageBreaks="1" fitToPage="1" printArea="1" view="pageBreakPreview" topLeftCell="A13">
      <selection activeCell="I28" sqref="I28"/>
      <pageMargins left="0.45" right="0.45" top="0.75" bottom="0.5" header="0.3" footer="0.3"/>
      <printOptions horizontalCentered="1"/>
      <pageSetup paperSize="9" scale="62" fitToHeight="0" orientation="landscape" r:id="rId1"/>
      <headerFooter>
        <oddHeader>&amp;RSchedule-2
Page &amp;P of &amp;N</oddHeader>
      </headerFooter>
    </customSheetView>
    <customSheetView guid="{BDFA0401-0547-4E51-8BD2-84F711B066CA}" scale="60" showPageBreaks="1" printArea="1" view="pageBreakPreview" topLeftCell="A3">
      <selection activeCell="I18" sqref="I18"/>
      <pageMargins left="0.45" right="0.45" top="0.75" bottom="0.5" header="0.3" footer="0.3"/>
      <printOptions horizontalCentered="1"/>
      <pageSetup paperSize="9" scale="62" orientation="landscape" r:id="rId2"/>
      <headerFooter>
        <oddHeader>&amp;RSchedule-2
Page &amp;P of &amp;N</oddHeader>
      </headerFooter>
    </customSheetView>
    <customSheetView guid="{112647D2-7580-431B-99B5-DD512E2AD50E}" scale="85" showPageBreaks="1" printArea="1" view="pageBreakPreview">
      <selection activeCell="I22" sqref="I22:I24"/>
      <pageMargins left="0.45" right="0.45" top="0.75" bottom="0.5" header="0.3" footer="0.3"/>
      <printOptions horizontalCentered="1"/>
      <pageSetup paperSize="9" scale="62" orientation="landscape" r:id="rId3"/>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4"/>
      <headerFooter>
        <oddHeader>&amp;RSchedule-2
Page &amp;P of &amp;N</oddHeader>
      </headerFooter>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5"/>
      <headerFooter>
        <oddHeader>&amp;RSchedule-2
Page &amp;P of &amp;N</oddHeader>
      </headerFooter>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6"/>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8"/>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9"/>
      <headerFooter>
        <oddHeader>&amp;RSchedule-2
Page &amp;P of &amp;N</oddHeader>
      </headerFooter>
    </customSheetView>
    <customSheetView guid="{F8A50AE1-259E-429D-A506-38EB64D134EF}" scale="85" showPageBreaks="1" printArea="1" view="pageBreakPreview" topLeftCell="A10">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DEF6DCE2-4A74-4BE5-B5D5-8143DC3F770A}" scale="85" showPageBreaks="1" printArea="1" view="pageBreakPreview" topLeftCell="A10">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F658ED72-5E54-4C5B-BB2C-7A2962080984}" scale="85" showPageBreaks="1" printArea="1" view="pageBreakPreview" topLeftCell="A10">
      <selection activeCell="I19" sqref="I19"/>
      <pageMargins left="0.45" right="0.45" top="0.75" bottom="0.5" header="0.3" footer="0.3"/>
      <printOptions horizontalCentered="1"/>
      <pageSetup paperSize="9" scale="62" orientation="landscape" r:id="rId12"/>
      <headerFooter>
        <oddHeader>&amp;RSchedule-2
Page &amp;P of &amp;N</oddHeader>
      </headerFooter>
    </customSheetView>
    <customSheetView guid="{BE68641D-0C1E-4F8D-890A-A660C199187C}" scale="85" showPageBreaks="1" printArea="1" view="pageBreakPreview" topLeftCell="A13">
      <selection activeCell="I24" sqref="I24"/>
      <pageMargins left="0.45" right="0.45" top="0.75" bottom="0.5" header="0.3" footer="0.3"/>
      <printOptions horizontalCentered="1"/>
      <pageSetup paperSize="9" scale="62" orientation="landscape" r:id="rId13"/>
      <headerFooter>
        <oddHeader>&amp;RSchedule-2
Page &amp;P of &amp;N</oddHeader>
      </headerFooter>
    </customSheetView>
    <customSheetView guid="{AD0333DF-5B33-49B5-B063-72505D20EFE4}" scale="85" showPageBreaks="1" printArea="1" view="pageBreakPreview" topLeftCell="A16">
      <selection activeCell="I22" sqref="I22:I24"/>
      <pageMargins left="0.45" right="0.45" top="0.75" bottom="0.5" header="0.3" footer="0.3"/>
      <printOptions horizontalCentered="1"/>
      <pageSetup paperSize="9" scale="62" orientation="landscape" r:id="rId14"/>
      <headerFooter>
        <oddHeader>&amp;RSchedule-2
Page &amp;P of &amp;N</oddHeader>
      </headerFooter>
    </customSheetView>
    <customSheetView guid="{C44C314C-9BEB-403F-A933-6B948E5C1171}" scale="85" showPageBreaks="1" printArea="1" view="pageBreakPreview">
      <selection activeCell="I22" sqref="I22:I24"/>
      <pageMargins left="0.45" right="0.45" top="0.75" bottom="0.5" header="0.3" footer="0.3"/>
      <printOptions horizontalCentered="1"/>
      <pageSetup paperSize="9" scale="62" orientation="landscape" r:id="rId15"/>
      <headerFooter>
        <oddHeader>&amp;RSchedule-2
Page &amp;P of &amp;N</oddHeader>
      </headerFooter>
    </customSheetView>
  </customSheetViews>
  <mergeCells count="20">
    <mergeCell ref="G36:H36"/>
    <mergeCell ref="G35:H35"/>
    <mergeCell ref="I36:J36"/>
    <mergeCell ref="N3:O3"/>
    <mergeCell ref="A4:J4"/>
    <mergeCell ref="A3:J3"/>
    <mergeCell ref="C36:D36"/>
    <mergeCell ref="B33:J33"/>
    <mergeCell ref="C35:D35"/>
    <mergeCell ref="I35:J35"/>
    <mergeCell ref="A6:B6"/>
    <mergeCell ref="I14:J14"/>
    <mergeCell ref="A7:F7"/>
    <mergeCell ref="A8:G8"/>
    <mergeCell ref="A32:I32"/>
    <mergeCell ref="C10:E10"/>
    <mergeCell ref="C9:E9"/>
    <mergeCell ref="C12:E12"/>
    <mergeCell ref="C11:E11"/>
    <mergeCell ref="A13:J13"/>
  </mergeCells>
  <dataValidations count="2">
    <dataValidation type="decimal" operator="greaterThan" allowBlank="1" showInputMessage="1" showErrorMessage="1" error="Enter only Numeric value greater than zero or leave the cell blank !" sqref="I64615:I64616" xr:uid="{00000000-0002-0000-0500-000000000000}">
      <formula1>0</formula1>
    </dataValidation>
    <dataValidation type="decimal" operator="greaterThanOrEqual" allowBlank="1" showInputMessage="1" showErrorMessage="1" sqref="I18:I19 I21:I22 I24:I25 I27:I28 I30:I31" xr:uid="{00000000-0002-0000-0500-000001000000}">
      <formula1>0</formula1>
    </dataValidation>
  </dataValidations>
  <printOptions horizontalCentered="1"/>
  <pageMargins left="0.45" right="0.45" top="0.75" bottom="0.5" header="0.3" footer="0.3"/>
  <pageSetup paperSize="9" scale="62" fitToHeight="0" orientation="landscape" r:id="rId16"/>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43"/>
  <sheetViews>
    <sheetView view="pageBreakPreview" topLeftCell="A13" zoomScale="60" zoomScaleNormal="80" workbookViewId="0">
      <selection activeCell="O31" sqref="O31"/>
    </sheetView>
  </sheetViews>
  <sheetFormatPr defaultColWidth="38.5703125" defaultRowHeight="15.75"/>
  <cols>
    <col min="1" max="1" width="5.5703125" style="20" customWidth="1"/>
    <col min="2" max="2" width="16.140625" style="20" customWidth="1"/>
    <col min="3" max="3" width="9.7109375" style="20" customWidth="1"/>
    <col min="4" max="4" width="15.85546875" style="20" customWidth="1"/>
    <col min="5" max="5" width="9.28515625" style="20" customWidth="1"/>
    <col min="6" max="6" width="26.42578125" style="412" customWidth="1"/>
    <col min="7" max="7" width="15.28515625" style="412" customWidth="1"/>
    <col min="8" max="8" width="13.85546875" style="412" customWidth="1"/>
    <col min="9" max="9" width="18.5703125" style="412" customWidth="1"/>
    <col min="10" max="10" width="13.85546875" style="412" customWidth="1"/>
    <col min="11" max="11" width="18.85546875" style="412" customWidth="1"/>
    <col min="12" max="12" width="59.5703125" style="9" customWidth="1"/>
    <col min="13" max="13" width="12" style="10" customWidth="1"/>
    <col min="14" max="14" width="13.85546875" style="457" customWidth="1"/>
    <col min="15" max="15" width="22.7109375" style="10" customWidth="1"/>
    <col min="16" max="16" width="24" style="10" customWidth="1"/>
    <col min="17" max="17" width="9.140625" style="7" hidden="1" customWidth="1"/>
    <col min="18" max="18" width="16.42578125" style="8" hidden="1" customWidth="1"/>
    <col min="19" max="19" width="20.85546875" style="8" hidden="1" customWidth="1"/>
    <col min="20" max="20" width="16.42578125" style="449" hidden="1" customWidth="1"/>
    <col min="21" max="21" width="16.85546875" style="8" hidden="1" customWidth="1"/>
    <col min="22" max="22" width="14.5703125" style="7" hidden="1" customWidth="1"/>
    <col min="23" max="23" width="9.140625" style="7" hidden="1" customWidth="1"/>
    <col min="24" max="26" width="9.140625" style="7" customWidth="1"/>
    <col min="27" max="27" width="9.140625" style="7" hidden="1" customWidth="1"/>
    <col min="28"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 No. CC/NT/W-RT/DOM/A06/23/04299</v>
      </c>
      <c r="B1" s="18"/>
      <c r="C1" s="18"/>
      <c r="D1" s="18"/>
      <c r="E1" s="18"/>
      <c r="F1" s="410"/>
      <c r="G1" s="410"/>
      <c r="H1" s="410"/>
      <c r="I1" s="410"/>
      <c r="J1" s="410"/>
      <c r="K1" s="410"/>
      <c r="L1" s="391"/>
      <c r="M1" s="6"/>
      <c r="N1" s="6"/>
      <c r="O1" s="1"/>
      <c r="P1" s="2" t="s">
        <v>17</v>
      </c>
    </row>
    <row r="2" spans="1:31">
      <c r="A2" s="19"/>
      <c r="B2" s="19"/>
      <c r="C2" s="19"/>
      <c r="D2" s="19"/>
      <c r="E2" s="19"/>
      <c r="F2" s="411"/>
      <c r="G2" s="411"/>
      <c r="H2" s="411"/>
      <c r="I2" s="411"/>
      <c r="J2" s="411"/>
      <c r="K2" s="411"/>
      <c r="L2" s="385"/>
      <c r="M2" s="4"/>
      <c r="N2" s="4"/>
      <c r="O2" s="3"/>
      <c r="P2" s="3"/>
    </row>
    <row r="3" spans="1:31" ht="52.5" customHeight="1">
      <c r="A3" s="814" t="str">
        <f>Cover!$B$2</f>
        <v>Reactor Package RT03 under Bulk Procurement of 765kV and 400kV Class Transformers and Reactors of various capacities- LOT-3 and SIS/Addl. Cap. -Re-Tender</v>
      </c>
      <c r="B3" s="814"/>
      <c r="C3" s="814"/>
      <c r="D3" s="814"/>
      <c r="E3" s="814"/>
      <c r="F3" s="814"/>
      <c r="G3" s="814"/>
      <c r="H3" s="814"/>
      <c r="I3" s="814"/>
      <c r="J3" s="814"/>
      <c r="K3" s="814"/>
      <c r="L3" s="814"/>
      <c r="M3" s="814"/>
      <c r="N3" s="814"/>
      <c r="O3" s="814"/>
      <c r="P3" s="814"/>
    </row>
    <row r="4" spans="1:31" ht="16.5">
      <c r="A4" s="815" t="s">
        <v>19</v>
      </c>
      <c r="B4" s="815"/>
      <c r="C4" s="815"/>
      <c r="D4" s="815"/>
      <c r="E4" s="815"/>
      <c r="F4" s="815"/>
      <c r="G4" s="815"/>
      <c r="H4" s="815"/>
      <c r="I4" s="815"/>
      <c r="J4" s="815"/>
      <c r="K4" s="815"/>
      <c r="L4" s="815"/>
      <c r="M4" s="815"/>
      <c r="N4" s="815"/>
      <c r="O4" s="815"/>
      <c r="P4" s="815"/>
    </row>
    <row r="6" spans="1:31" ht="21.75" customHeight="1">
      <c r="A6" s="816" t="s">
        <v>349</v>
      </c>
      <c r="B6" s="816"/>
      <c r="C6" s="4"/>
      <c r="D6" s="351"/>
      <c r="E6" s="4"/>
      <c r="F6" s="4"/>
      <c r="G6" s="4"/>
      <c r="H6" s="4"/>
      <c r="I6" s="4"/>
    </row>
    <row r="7" spans="1:31" ht="21" customHeight="1">
      <c r="A7" s="821" t="str">
        <f>'Sch-1'!A7</f>
        <v/>
      </c>
      <c r="B7" s="821"/>
      <c r="C7" s="821"/>
      <c r="D7" s="821"/>
      <c r="E7" s="821"/>
      <c r="F7" s="821"/>
      <c r="G7" s="821"/>
      <c r="H7" s="821"/>
      <c r="I7" s="821"/>
      <c r="J7" s="413"/>
      <c r="K7" s="413"/>
      <c r="L7" s="392"/>
      <c r="M7" s="11" t="s">
        <v>1</v>
      </c>
      <c r="N7" s="458"/>
      <c r="O7" s="8"/>
      <c r="P7" s="3"/>
    </row>
    <row r="8" spans="1:31" ht="22.5" customHeight="1">
      <c r="A8" s="817" t="str">
        <f>"Bidder’s Name and Address  (" &amp; MID('Names of Bidder'!B9,9, 20) &amp; ") :"</f>
        <v>Bidder’s Name and Address  (Sole Bidder) :</v>
      </c>
      <c r="B8" s="817"/>
      <c r="C8" s="817"/>
      <c r="D8" s="817"/>
      <c r="E8" s="817"/>
      <c r="F8" s="817"/>
      <c r="G8" s="817"/>
      <c r="H8" s="536"/>
      <c r="I8" s="536"/>
      <c r="J8" s="512"/>
      <c r="K8" s="512"/>
      <c r="L8" s="512"/>
      <c r="M8" s="12" t="str">
        <f>'Sch-1'!K8</f>
        <v>Contract Services</v>
      </c>
      <c r="N8" s="512"/>
      <c r="O8" s="8"/>
      <c r="P8" s="3"/>
    </row>
    <row r="9" spans="1:31" ht="24.75" customHeight="1">
      <c r="A9" s="459" t="s">
        <v>12</v>
      </c>
      <c r="B9" s="407"/>
      <c r="C9" s="820" t="str">
        <f>IF('Names of Bidder'!D9=0, "", 'Names of Bidder'!D9)</f>
        <v/>
      </c>
      <c r="D9" s="820"/>
      <c r="E9" s="820"/>
      <c r="F9" s="820"/>
      <c r="G9" s="820"/>
      <c r="H9" s="443"/>
      <c r="I9" s="408"/>
      <c r="J9" s="393"/>
      <c r="K9" s="393"/>
      <c r="L9" s="393"/>
      <c r="M9" s="12" t="str">
        <f>'Sch-1'!K9</f>
        <v>Power Grid Corporation of India Ltd.,</v>
      </c>
      <c r="N9" s="449"/>
      <c r="O9" s="8"/>
      <c r="P9" s="3"/>
    </row>
    <row r="10" spans="1:31" ht="21" customHeight="1">
      <c r="A10" s="459" t="s">
        <v>11</v>
      </c>
      <c r="B10" s="407"/>
      <c r="C10" s="819" t="str">
        <f>IF('Names of Bidder'!D10=0, "", 'Names of Bidder'!D10)</f>
        <v/>
      </c>
      <c r="D10" s="819"/>
      <c r="E10" s="819"/>
      <c r="F10" s="819"/>
      <c r="G10" s="819"/>
      <c r="H10" s="443"/>
      <c r="I10" s="408"/>
      <c r="J10" s="393"/>
      <c r="K10" s="393"/>
      <c r="L10" s="393"/>
      <c r="M10" s="12" t="str">
        <f>'Sch-1'!K10</f>
        <v>"Saudamini", Plot No.-2</v>
      </c>
      <c r="N10" s="449"/>
      <c r="O10" s="8"/>
      <c r="P10" s="3"/>
    </row>
    <row r="11" spans="1:31" ht="20.25" customHeight="1">
      <c r="A11" s="408"/>
      <c r="B11" s="408"/>
      <c r="C11" s="819" t="str">
        <f>IF('Names of Bidder'!D11=0, "", 'Names of Bidder'!D11)</f>
        <v/>
      </c>
      <c r="D11" s="819"/>
      <c r="E11" s="819"/>
      <c r="F11" s="819"/>
      <c r="G11" s="819"/>
      <c r="H11" s="443"/>
      <c r="I11" s="408"/>
      <c r="J11" s="393"/>
      <c r="K11" s="393"/>
      <c r="L11" s="393"/>
      <c r="M11" s="12" t="str">
        <f>'Sch-1'!K11</f>
        <v xml:space="preserve">Sector-29, </v>
      </c>
      <c r="N11" s="449"/>
      <c r="O11" s="8"/>
      <c r="P11" s="3"/>
    </row>
    <row r="12" spans="1:31" ht="21" customHeight="1">
      <c r="A12" s="408"/>
      <c r="B12" s="408"/>
      <c r="C12" s="819" t="str">
        <f>IF('Names of Bidder'!D12=0, "", 'Names of Bidder'!D12)</f>
        <v/>
      </c>
      <c r="D12" s="819"/>
      <c r="E12" s="819"/>
      <c r="F12" s="819"/>
      <c r="G12" s="819"/>
      <c r="H12" s="443"/>
      <c r="I12" s="408"/>
      <c r="J12" s="393"/>
      <c r="K12" s="393"/>
      <c r="L12" s="393"/>
      <c r="M12" s="12" t="str">
        <f>'Sch-1'!K12</f>
        <v>Gurgaon (Haryana) - 122001</v>
      </c>
      <c r="N12" s="449"/>
      <c r="O12" s="8"/>
      <c r="P12" s="3"/>
    </row>
    <row r="13" spans="1:31">
      <c r="A13" s="21"/>
      <c r="B13" s="21"/>
      <c r="C13" s="21"/>
      <c r="D13" s="21"/>
      <c r="E13" s="21"/>
      <c r="F13" s="414"/>
      <c r="G13" s="414"/>
      <c r="H13" s="414"/>
      <c r="I13" s="414"/>
      <c r="J13" s="414"/>
      <c r="K13" s="414"/>
      <c r="L13" s="393"/>
      <c r="M13" s="261"/>
      <c r="N13" s="443"/>
      <c r="O13" s="12"/>
      <c r="P13" s="3"/>
    </row>
    <row r="14" spans="1:31" ht="24.75" customHeight="1">
      <c r="A14" s="830" t="s">
        <v>21</v>
      </c>
      <c r="B14" s="830"/>
      <c r="C14" s="830"/>
      <c r="D14" s="830"/>
      <c r="E14" s="830"/>
      <c r="F14" s="830"/>
      <c r="G14" s="830"/>
      <c r="H14" s="830"/>
      <c r="I14" s="830"/>
      <c r="J14" s="830"/>
      <c r="K14" s="830"/>
      <c r="L14" s="830"/>
      <c r="M14" s="830"/>
      <c r="N14" s="830"/>
      <c r="O14" s="830"/>
      <c r="P14" s="830"/>
    </row>
    <row r="15" spans="1:31" ht="24.75" customHeight="1">
      <c r="A15" s="720"/>
      <c r="B15" s="720"/>
      <c r="C15" s="720"/>
      <c r="D15" s="720"/>
      <c r="E15" s="720"/>
      <c r="F15" s="720"/>
      <c r="G15" s="720"/>
      <c r="H15" s="720"/>
      <c r="I15" s="720"/>
      <c r="J15" s="720"/>
      <c r="K15" s="720"/>
      <c r="L15" s="720"/>
      <c r="M15" s="831" t="s">
        <v>354</v>
      </c>
      <c r="N15" s="831"/>
      <c r="O15" s="831"/>
      <c r="P15" s="831"/>
    </row>
    <row r="16" spans="1:31" s="432" customFormat="1" ht="118.5" customHeight="1">
      <c r="A16" s="476" t="s">
        <v>7</v>
      </c>
      <c r="B16" s="477" t="s">
        <v>266</v>
      </c>
      <c r="C16" s="477" t="s">
        <v>278</v>
      </c>
      <c r="D16" s="477" t="s">
        <v>277</v>
      </c>
      <c r="E16" s="477" t="s">
        <v>279</v>
      </c>
      <c r="F16" s="477" t="s">
        <v>280</v>
      </c>
      <c r="G16" s="476" t="s">
        <v>25</v>
      </c>
      <c r="H16" s="478" t="s">
        <v>320</v>
      </c>
      <c r="I16" s="479" t="s">
        <v>475</v>
      </c>
      <c r="J16" s="479" t="s">
        <v>309</v>
      </c>
      <c r="K16" s="479" t="s">
        <v>476</v>
      </c>
      <c r="L16" s="480" t="s">
        <v>15</v>
      </c>
      <c r="M16" s="481" t="s">
        <v>9</v>
      </c>
      <c r="N16" s="481" t="s">
        <v>16</v>
      </c>
      <c r="O16" s="480" t="s">
        <v>23</v>
      </c>
      <c r="P16" s="480" t="s">
        <v>24</v>
      </c>
      <c r="Q16" s="431"/>
      <c r="R16" s="613" t="s">
        <v>345</v>
      </c>
      <c r="S16" s="616" t="s">
        <v>346</v>
      </c>
      <c r="T16" s="613" t="s">
        <v>343</v>
      </c>
      <c r="U16" s="613" t="s">
        <v>344</v>
      </c>
      <c r="V16" s="431"/>
      <c r="W16" s="431"/>
      <c r="X16" s="431"/>
      <c r="Y16" s="431"/>
      <c r="Z16" s="431"/>
      <c r="AA16" s="431"/>
      <c r="AB16" s="431"/>
      <c r="AC16" s="431"/>
      <c r="AD16" s="431"/>
      <c r="AE16" s="431"/>
    </row>
    <row r="17" spans="1:31" s="432" customFormat="1" ht="16.5">
      <c r="A17" s="16">
        <v>1</v>
      </c>
      <c r="B17" s="16">
        <v>2</v>
      </c>
      <c r="C17" s="16">
        <v>3</v>
      </c>
      <c r="D17" s="16">
        <v>4</v>
      </c>
      <c r="E17" s="16">
        <v>5</v>
      </c>
      <c r="F17" s="390">
        <v>6</v>
      </c>
      <c r="G17" s="390">
        <v>7</v>
      </c>
      <c r="H17" s="478">
        <v>8</v>
      </c>
      <c r="I17" s="478">
        <v>9</v>
      </c>
      <c r="J17" s="478">
        <v>10</v>
      </c>
      <c r="K17" s="478">
        <v>11</v>
      </c>
      <c r="L17" s="390">
        <v>12</v>
      </c>
      <c r="M17" s="16">
        <v>13</v>
      </c>
      <c r="N17" s="16">
        <v>14</v>
      </c>
      <c r="O17" s="16">
        <v>15</v>
      </c>
      <c r="P17" s="16" t="s">
        <v>321</v>
      </c>
      <c r="Q17" s="431"/>
      <c r="V17" s="431"/>
      <c r="W17" s="431"/>
      <c r="X17" s="431"/>
      <c r="Y17" s="431"/>
      <c r="Z17" s="431"/>
      <c r="AA17" s="431"/>
      <c r="AB17" s="431"/>
      <c r="AC17" s="431"/>
      <c r="AD17" s="431"/>
      <c r="AE17" s="431"/>
    </row>
    <row r="18" spans="1:31" s="744" customFormat="1" ht="31.5" customHeight="1">
      <c r="A18" s="742" t="s">
        <v>481</v>
      </c>
      <c r="B18" s="736" t="str">
        <f>'Sch-2'!B17</f>
        <v xml:space="preserve">1 x 125 MVAR, 420kV Reactors at Vizag   </v>
      </c>
      <c r="C18" s="737"/>
      <c r="D18" s="737"/>
      <c r="E18" s="737"/>
      <c r="F18" s="737"/>
      <c r="G18" s="737"/>
      <c r="H18" s="737"/>
      <c r="I18" s="737"/>
      <c r="J18" s="737"/>
      <c r="K18" s="737"/>
      <c r="L18" s="737"/>
      <c r="M18" s="737"/>
      <c r="N18" s="737"/>
      <c r="O18" s="737"/>
      <c r="P18" s="738"/>
      <c r="Q18" s="743"/>
      <c r="V18" s="743"/>
      <c r="W18" s="743"/>
      <c r="X18" s="743"/>
      <c r="Y18" s="743"/>
      <c r="Z18" s="743"/>
      <c r="AA18" s="743"/>
      <c r="AB18" s="743"/>
      <c r="AC18" s="743"/>
      <c r="AD18" s="743"/>
      <c r="AE18" s="743"/>
    </row>
    <row r="19" spans="1:31" ht="47.25" customHeight="1">
      <c r="A19" s="724">
        <v>1</v>
      </c>
      <c r="B19" s="750">
        <v>7000023655</v>
      </c>
      <c r="C19" s="750">
        <v>10</v>
      </c>
      <c r="D19" s="750">
        <v>20</v>
      </c>
      <c r="E19" s="750">
        <v>10</v>
      </c>
      <c r="F19" s="750" t="s">
        <v>501</v>
      </c>
      <c r="G19" s="750">
        <v>100000050</v>
      </c>
      <c r="H19" s="750">
        <v>998736</v>
      </c>
      <c r="I19" s="726"/>
      <c r="J19" s="725">
        <v>18</v>
      </c>
      <c r="K19" s="727"/>
      <c r="L19" s="750" t="s">
        <v>491</v>
      </c>
      <c r="M19" s="750" t="s">
        <v>299</v>
      </c>
      <c r="N19" s="750">
        <v>1</v>
      </c>
      <c r="O19" s="730"/>
      <c r="P19" s="728" t="str">
        <f t="shared" ref="P19" si="0">IF(O19=0, "INCLUDED", IF(ISERROR(N19*O19), O19, N19*O19))</f>
        <v>INCLUDED</v>
      </c>
      <c r="Q19" s="510">
        <f t="shared" ref="Q19" si="1">IF(P19="Included",0,P19)</f>
        <v>0</v>
      </c>
      <c r="R19" s="450">
        <f>IF( K19="",J19*(IF(P19="Included",0,P19))/100,K19*(IF(P19="Included",0,P19)))</f>
        <v>0</v>
      </c>
      <c r="S19" s="612">
        <f>Discount!$J$36</f>
        <v>0</v>
      </c>
      <c r="T19" s="450">
        <f>S19*Q19</f>
        <v>0</v>
      </c>
      <c r="U19" s="451">
        <f>IF(K19="",J19*T19/100,K19*T19)</f>
        <v>0</v>
      </c>
      <c r="V19" s="718">
        <f>O19*N19</f>
        <v>0</v>
      </c>
      <c r="W19" s="263"/>
      <c r="X19" s="263"/>
      <c r="Y19" s="263"/>
      <c r="Z19" s="263"/>
      <c r="AA19" s="263"/>
    </row>
    <row r="20" spans="1:31" ht="47.25" customHeight="1">
      <c r="A20" s="724">
        <v>2</v>
      </c>
      <c r="B20" s="750">
        <v>7000023655</v>
      </c>
      <c r="C20" s="750">
        <v>10</v>
      </c>
      <c r="D20" s="750">
        <v>20</v>
      </c>
      <c r="E20" s="750">
        <v>20</v>
      </c>
      <c r="F20" s="750" t="s">
        <v>501</v>
      </c>
      <c r="G20" s="750">
        <v>100000060</v>
      </c>
      <c r="H20" s="750">
        <v>998736</v>
      </c>
      <c r="I20" s="726"/>
      <c r="J20" s="725">
        <v>18</v>
      </c>
      <c r="K20" s="727"/>
      <c r="L20" s="750" t="s">
        <v>480</v>
      </c>
      <c r="M20" s="750" t="s">
        <v>300</v>
      </c>
      <c r="N20" s="750">
        <v>1</v>
      </c>
      <c r="O20" s="730"/>
      <c r="P20" s="728" t="str">
        <f t="shared" ref="P20" si="2">IF(O20=0, "INCLUDED", IF(ISERROR(N20*O20), O20, N20*O20))</f>
        <v>INCLUDED</v>
      </c>
      <c r="Q20" s="510">
        <f t="shared" ref="Q20" si="3">IF(P20="Included",0,P20)</f>
        <v>0</v>
      </c>
      <c r="R20" s="450">
        <f t="shared" ref="R20" si="4">IF( K20="",J20*(IF(P20="Included",0,P20))/100,K20*(IF(P20="Included",0,P20)))</f>
        <v>0</v>
      </c>
      <c r="S20" s="612">
        <f>Discount!$J$36</f>
        <v>0</v>
      </c>
      <c r="T20" s="450">
        <f t="shared" ref="T20" si="5">S20*Q20</f>
        <v>0</v>
      </c>
      <c r="U20" s="451">
        <f t="shared" ref="U20" si="6">IF(K20="",J20*T20/100,K20*T20)</f>
        <v>0</v>
      </c>
      <c r="V20" s="718">
        <f t="shared" ref="V20" si="7">O20*N20</f>
        <v>0</v>
      </c>
      <c r="W20" s="263"/>
      <c r="X20" s="263"/>
      <c r="Y20" s="263"/>
      <c r="Z20" s="263"/>
      <c r="AA20" s="263"/>
    </row>
    <row r="21" spans="1:31" s="744" customFormat="1" ht="31.5" customHeight="1">
      <c r="A21" s="742" t="s">
        <v>482</v>
      </c>
      <c r="B21" s="736" t="str">
        <f>'Sch-2'!B20</f>
        <v xml:space="preserve">1 x 125 MVAR, 420kV Reactors at Gooty   </v>
      </c>
      <c r="C21" s="737"/>
      <c r="D21" s="737"/>
      <c r="E21" s="737"/>
      <c r="F21" s="737"/>
      <c r="G21" s="737"/>
      <c r="H21" s="737"/>
      <c r="I21" s="737"/>
      <c r="J21" s="737"/>
      <c r="K21" s="737"/>
      <c r="L21" s="737"/>
      <c r="M21" s="737"/>
      <c r="N21" s="737"/>
      <c r="O21" s="737"/>
      <c r="P21" s="738"/>
      <c r="Q21" s="743"/>
      <c r="V21" s="743"/>
      <c r="W21" s="743"/>
      <c r="X21" s="743"/>
      <c r="Y21" s="743"/>
      <c r="Z21" s="743"/>
      <c r="AA21" s="743"/>
      <c r="AB21" s="743"/>
      <c r="AC21" s="743"/>
      <c r="AD21" s="743"/>
      <c r="AE21" s="743"/>
    </row>
    <row r="22" spans="1:31" ht="47.25" customHeight="1">
      <c r="A22" s="724">
        <v>3</v>
      </c>
      <c r="B22" s="750">
        <v>7000023671</v>
      </c>
      <c r="C22" s="750">
        <v>10</v>
      </c>
      <c r="D22" s="750">
        <v>20</v>
      </c>
      <c r="E22" s="750">
        <v>10</v>
      </c>
      <c r="F22" s="750" t="s">
        <v>501</v>
      </c>
      <c r="G22" s="750">
        <v>100000050</v>
      </c>
      <c r="H22" s="750">
        <v>998736</v>
      </c>
      <c r="I22" s="726"/>
      <c r="J22" s="725">
        <v>18</v>
      </c>
      <c r="K22" s="727"/>
      <c r="L22" s="750" t="s">
        <v>491</v>
      </c>
      <c r="M22" s="750" t="s">
        <v>299</v>
      </c>
      <c r="N22" s="750">
        <v>1</v>
      </c>
      <c r="O22" s="730"/>
      <c r="P22" s="728" t="str">
        <f t="shared" ref="P22:P23" si="8">IF(O22=0, "INCLUDED", IF(ISERROR(N22*O22), O22, N22*O22))</f>
        <v>INCLUDED</v>
      </c>
      <c r="Q22" s="510">
        <f t="shared" ref="Q22:Q23" si="9">IF(P22="Included",0,P22)</f>
        <v>0</v>
      </c>
      <c r="R22" s="450">
        <f t="shared" ref="R22:R23" si="10">IF( K22="",J22*(IF(P22="Included",0,P22))/100,K22*(IF(P22="Included",0,P22)))</f>
        <v>0</v>
      </c>
      <c r="S22" s="612">
        <f>Discount!$J$36</f>
        <v>0</v>
      </c>
      <c r="T22" s="450">
        <f t="shared" ref="T22:T23" si="11">S22*Q22</f>
        <v>0</v>
      </c>
      <c r="U22" s="451">
        <f t="shared" ref="U22:U23" si="12">IF(K22="",J22*T22/100,K22*T22)</f>
        <v>0</v>
      </c>
      <c r="V22" s="718">
        <f t="shared" ref="V22:V23" si="13">O22*N22</f>
        <v>0</v>
      </c>
      <c r="W22" s="263"/>
      <c r="X22" s="263"/>
      <c r="Y22" s="263"/>
      <c r="Z22" s="263"/>
      <c r="AA22" s="263"/>
    </row>
    <row r="23" spans="1:31" ht="47.25" customHeight="1">
      <c r="A23" s="724">
        <v>4</v>
      </c>
      <c r="B23" s="750">
        <v>7000023671</v>
      </c>
      <c r="C23" s="750">
        <v>10</v>
      </c>
      <c r="D23" s="750">
        <v>20</v>
      </c>
      <c r="E23" s="750">
        <v>20</v>
      </c>
      <c r="F23" s="750" t="s">
        <v>501</v>
      </c>
      <c r="G23" s="750">
        <v>100000060</v>
      </c>
      <c r="H23" s="750">
        <v>998736</v>
      </c>
      <c r="I23" s="726"/>
      <c r="J23" s="725">
        <v>18</v>
      </c>
      <c r="K23" s="727"/>
      <c r="L23" s="750" t="s">
        <v>480</v>
      </c>
      <c r="M23" s="750" t="s">
        <v>300</v>
      </c>
      <c r="N23" s="750">
        <v>1</v>
      </c>
      <c r="O23" s="730"/>
      <c r="P23" s="728" t="str">
        <f t="shared" si="8"/>
        <v>INCLUDED</v>
      </c>
      <c r="Q23" s="510">
        <f t="shared" si="9"/>
        <v>0</v>
      </c>
      <c r="R23" s="450">
        <f t="shared" si="10"/>
        <v>0</v>
      </c>
      <c r="S23" s="612">
        <f>Discount!$J$36</f>
        <v>0</v>
      </c>
      <c r="T23" s="450">
        <f t="shared" si="11"/>
        <v>0</v>
      </c>
      <c r="U23" s="451">
        <f t="shared" si="12"/>
        <v>0</v>
      </c>
      <c r="V23" s="718">
        <f t="shared" si="13"/>
        <v>0</v>
      </c>
      <c r="W23" s="263"/>
      <c r="X23" s="263"/>
      <c r="Y23" s="263"/>
      <c r="Z23" s="263"/>
      <c r="AA23" s="263"/>
    </row>
    <row r="24" spans="1:31" s="744" customFormat="1" ht="31.5" customHeight="1">
      <c r="A24" s="742" t="s">
        <v>483</v>
      </c>
      <c r="B24" s="736" t="str">
        <f>'Sch-2'!B23</f>
        <v xml:space="preserve">1 x 80 MVAR,765kV 1-Ph Rtr at Bilaspur  </v>
      </c>
      <c r="C24" s="737"/>
      <c r="D24" s="737"/>
      <c r="E24" s="737"/>
      <c r="F24" s="737"/>
      <c r="G24" s="737"/>
      <c r="H24" s="737"/>
      <c r="I24" s="737"/>
      <c r="J24" s="737"/>
      <c r="K24" s="737"/>
      <c r="L24" s="737"/>
      <c r="M24" s="737"/>
      <c r="N24" s="737"/>
      <c r="O24" s="737"/>
      <c r="P24" s="738"/>
      <c r="Q24" s="743"/>
      <c r="V24" s="743"/>
      <c r="W24" s="743"/>
      <c r="X24" s="743"/>
      <c r="Y24" s="743"/>
      <c r="Z24" s="743"/>
      <c r="AA24" s="743"/>
      <c r="AB24" s="743"/>
      <c r="AC24" s="743"/>
      <c r="AD24" s="743"/>
      <c r="AE24" s="743"/>
    </row>
    <row r="25" spans="1:31" ht="47.25" customHeight="1">
      <c r="A25" s="724">
        <v>5</v>
      </c>
      <c r="B25" s="750">
        <v>7000018823</v>
      </c>
      <c r="C25" s="750">
        <v>280</v>
      </c>
      <c r="D25" s="750">
        <v>20</v>
      </c>
      <c r="E25" s="750">
        <v>10</v>
      </c>
      <c r="F25" s="750" t="s">
        <v>500</v>
      </c>
      <c r="G25" s="750">
        <v>100000044</v>
      </c>
      <c r="H25" s="750">
        <v>998736</v>
      </c>
      <c r="I25" s="726"/>
      <c r="J25" s="725">
        <v>18</v>
      </c>
      <c r="K25" s="727"/>
      <c r="L25" s="750" t="s">
        <v>502</v>
      </c>
      <c r="M25" s="750" t="s">
        <v>299</v>
      </c>
      <c r="N25" s="750">
        <v>1</v>
      </c>
      <c r="O25" s="730"/>
      <c r="P25" s="728" t="str">
        <f t="shared" ref="P25:P26" si="14">IF(O25=0, "INCLUDED", IF(ISERROR(N25*O25), O25, N25*O25))</f>
        <v>INCLUDED</v>
      </c>
      <c r="Q25" s="510">
        <f t="shared" ref="Q25:Q26" si="15">IF(P25="Included",0,P25)</f>
        <v>0</v>
      </c>
      <c r="R25" s="450">
        <f t="shared" ref="R25:R26" si="16">IF( K25="",J25*(IF(P25="Included",0,P25))/100,K25*(IF(P25="Included",0,P25)))</f>
        <v>0</v>
      </c>
      <c r="S25" s="612">
        <f>Discount!$J$36</f>
        <v>0</v>
      </c>
      <c r="T25" s="450">
        <f t="shared" ref="T25:T26" si="17">S25*Q25</f>
        <v>0</v>
      </c>
      <c r="U25" s="451">
        <f t="shared" ref="U25:U26" si="18">IF(K25="",J25*T25/100,K25*T25)</f>
        <v>0</v>
      </c>
      <c r="V25" s="718">
        <f t="shared" ref="V25:V26" si="19">O25*N25</f>
        <v>0</v>
      </c>
      <c r="W25" s="263"/>
      <c r="X25" s="263"/>
      <c r="Y25" s="263"/>
      <c r="Z25" s="263"/>
      <c r="AA25" s="263"/>
    </row>
    <row r="26" spans="1:31" ht="47.25" customHeight="1">
      <c r="A26" s="724">
        <v>6</v>
      </c>
      <c r="B26" s="750">
        <v>7000018823</v>
      </c>
      <c r="C26" s="750">
        <v>280</v>
      </c>
      <c r="D26" s="750">
        <v>20</v>
      </c>
      <c r="E26" s="750">
        <v>20</v>
      </c>
      <c r="F26" s="750" t="s">
        <v>500</v>
      </c>
      <c r="G26" s="750">
        <v>100000045</v>
      </c>
      <c r="H26" s="750">
        <v>998736</v>
      </c>
      <c r="I26" s="726"/>
      <c r="J26" s="725">
        <v>18</v>
      </c>
      <c r="K26" s="727"/>
      <c r="L26" s="750" t="s">
        <v>503</v>
      </c>
      <c r="M26" s="750" t="s">
        <v>300</v>
      </c>
      <c r="N26" s="750">
        <v>1</v>
      </c>
      <c r="O26" s="730"/>
      <c r="P26" s="728" t="str">
        <f t="shared" si="14"/>
        <v>INCLUDED</v>
      </c>
      <c r="Q26" s="510">
        <f t="shared" si="15"/>
        <v>0</v>
      </c>
      <c r="R26" s="450">
        <f t="shared" si="16"/>
        <v>0</v>
      </c>
      <c r="S26" s="612">
        <f>Discount!$J$36</f>
        <v>0</v>
      </c>
      <c r="T26" s="450">
        <f t="shared" si="17"/>
        <v>0</v>
      </c>
      <c r="U26" s="451">
        <f t="shared" si="18"/>
        <v>0</v>
      </c>
      <c r="V26" s="718">
        <f t="shared" si="19"/>
        <v>0</v>
      </c>
      <c r="W26" s="263"/>
      <c r="X26" s="263"/>
      <c r="Y26" s="263"/>
      <c r="Z26" s="263"/>
      <c r="AA26" s="263"/>
    </row>
    <row r="27" spans="1:31" s="744" customFormat="1" ht="31.5" customHeight="1">
      <c r="A27" s="742" t="s">
        <v>484</v>
      </c>
      <c r="B27" s="736" t="str">
        <f>'Sch-2'!B26</f>
        <v xml:space="preserve">1 x 110 MVAR, 765kV 1-Ph Rtr at Wardha </v>
      </c>
      <c r="C27" s="737"/>
      <c r="D27" s="737"/>
      <c r="E27" s="737"/>
      <c r="F27" s="737"/>
      <c r="G27" s="737"/>
      <c r="H27" s="737"/>
      <c r="I27" s="737"/>
      <c r="J27" s="737"/>
      <c r="K27" s="737"/>
      <c r="L27" s="737"/>
      <c r="M27" s="737"/>
      <c r="N27" s="737"/>
      <c r="O27" s="737"/>
      <c r="P27" s="738"/>
      <c r="Q27" s="743"/>
      <c r="V27" s="743"/>
      <c r="W27" s="743"/>
      <c r="X27" s="743"/>
      <c r="Y27" s="743"/>
      <c r="Z27" s="743"/>
      <c r="AA27" s="743"/>
      <c r="AB27" s="743"/>
      <c r="AC27" s="743"/>
      <c r="AD27" s="743"/>
      <c r="AE27" s="743"/>
    </row>
    <row r="28" spans="1:31" ht="58.5" customHeight="1">
      <c r="A28" s="724">
        <v>7</v>
      </c>
      <c r="B28" s="750">
        <v>7000018823</v>
      </c>
      <c r="C28" s="750">
        <v>310</v>
      </c>
      <c r="D28" s="750">
        <v>20</v>
      </c>
      <c r="E28" s="750">
        <v>10</v>
      </c>
      <c r="F28" s="750" t="s">
        <v>499</v>
      </c>
      <c r="G28" s="750">
        <v>100000041</v>
      </c>
      <c r="H28" s="750">
        <v>998736</v>
      </c>
      <c r="I28" s="726"/>
      <c r="J28" s="725">
        <v>18</v>
      </c>
      <c r="K28" s="727"/>
      <c r="L28" s="750" t="s">
        <v>504</v>
      </c>
      <c r="M28" s="750" t="s">
        <v>299</v>
      </c>
      <c r="N28" s="750">
        <v>1</v>
      </c>
      <c r="O28" s="730"/>
      <c r="P28" s="728" t="str">
        <f t="shared" ref="P28:P29" si="20">IF(O28=0, "INCLUDED", IF(ISERROR(N28*O28), O28, N28*O28))</f>
        <v>INCLUDED</v>
      </c>
      <c r="Q28" s="510">
        <f t="shared" ref="Q28:Q29" si="21">IF(P28="Included",0,P28)</f>
        <v>0</v>
      </c>
      <c r="R28" s="450">
        <f t="shared" ref="R28:R29" si="22">IF( K28="",J28*(IF(P28="Included",0,P28))/100,K28*(IF(P28="Included",0,P28)))</f>
        <v>0</v>
      </c>
      <c r="S28" s="612">
        <f>Discount!$J$36</f>
        <v>0</v>
      </c>
      <c r="T28" s="450">
        <f t="shared" ref="T28:T29" si="23">S28*Q28</f>
        <v>0</v>
      </c>
      <c r="U28" s="451">
        <f t="shared" ref="U28:U29" si="24">IF(K28="",J28*T28/100,K28*T28)</f>
        <v>0</v>
      </c>
      <c r="V28" s="718">
        <f t="shared" ref="V28:V29" si="25">O28*N28</f>
        <v>0</v>
      </c>
      <c r="W28" s="263"/>
      <c r="X28" s="263"/>
      <c r="Y28" s="263"/>
      <c r="Z28" s="263"/>
      <c r="AA28" s="263"/>
    </row>
    <row r="29" spans="1:31" ht="47.25" customHeight="1">
      <c r="A29" s="724">
        <v>8</v>
      </c>
      <c r="B29" s="750">
        <v>7000018823</v>
      </c>
      <c r="C29" s="750">
        <v>310</v>
      </c>
      <c r="D29" s="750">
        <v>20</v>
      </c>
      <c r="E29" s="750">
        <v>20</v>
      </c>
      <c r="F29" s="750" t="s">
        <v>499</v>
      </c>
      <c r="G29" s="750">
        <v>100000042</v>
      </c>
      <c r="H29" s="750">
        <v>998736</v>
      </c>
      <c r="I29" s="726"/>
      <c r="J29" s="725">
        <v>18</v>
      </c>
      <c r="K29" s="727"/>
      <c r="L29" s="750" t="s">
        <v>505</v>
      </c>
      <c r="M29" s="750" t="s">
        <v>300</v>
      </c>
      <c r="N29" s="750">
        <v>1</v>
      </c>
      <c r="O29" s="730"/>
      <c r="P29" s="728" t="str">
        <f t="shared" si="20"/>
        <v>INCLUDED</v>
      </c>
      <c r="Q29" s="510">
        <f t="shared" si="21"/>
        <v>0</v>
      </c>
      <c r="R29" s="450">
        <f t="shared" si="22"/>
        <v>0</v>
      </c>
      <c r="S29" s="612">
        <f>Discount!$J$36</f>
        <v>0</v>
      </c>
      <c r="T29" s="450">
        <f t="shared" si="23"/>
        <v>0</v>
      </c>
      <c r="U29" s="451">
        <f t="shared" si="24"/>
        <v>0</v>
      </c>
      <c r="V29" s="718">
        <f t="shared" si="25"/>
        <v>0</v>
      </c>
      <c r="W29" s="263"/>
      <c r="X29" s="263"/>
      <c r="Y29" s="263"/>
      <c r="Z29" s="263"/>
      <c r="AA29" s="263"/>
    </row>
    <row r="30" spans="1:31" s="744" customFormat="1" ht="31.5" customHeight="1">
      <c r="A30" s="742" t="s">
        <v>485</v>
      </c>
      <c r="B30" s="736" t="str">
        <f>'Sch-2'!B29</f>
        <v xml:space="preserve">1 x 125 MVAR, 420kV Reactor at Bikaner  </v>
      </c>
      <c r="C30" s="737"/>
      <c r="D30" s="737"/>
      <c r="E30" s="737"/>
      <c r="F30" s="737"/>
      <c r="G30" s="737"/>
      <c r="H30" s="737"/>
      <c r="I30" s="737"/>
      <c r="J30" s="737"/>
      <c r="K30" s="737"/>
      <c r="L30" s="737"/>
      <c r="M30" s="737"/>
      <c r="N30" s="737"/>
      <c r="O30" s="737"/>
      <c r="P30" s="738"/>
      <c r="Q30" s="743"/>
      <c r="V30" s="743"/>
      <c r="W30" s="743"/>
      <c r="X30" s="743"/>
      <c r="Y30" s="743"/>
      <c r="Z30" s="743"/>
      <c r="AA30" s="743"/>
      <c r="AB30" s="743"/>
      <c r="AC30" s="743"/>
      <c r="AD30" s="743"/>
      <c r="AE30" s="743"/>
    </row>
    <row r="31" spans="1:31" ht="47.25" customHeight="1">
      <c r="A31" s="724">
        <v>9</v>
      </c>
      <c r="B31" s="750">
        <v>7000018823</v>
      </c>
      <c r="C31" s="750">
        <v>250</v>
      </c>
      <c r="D31" s="750">
        <v>20</v>
      </c>
      <c r="E31" s="750">
        <v>10</v>
      </c>
      <c r="F31" s="750" t="s">
        <v>501</v>
      </c>
      <c r="G31" s="750">
        <v>100000050</v>
      </c>
      <c r="H31" s="750">
        <v>998736</v>
      </c>
      <c r="I31" s="726"/>
      <c r="J31" s="725">
        <v>18</v>
      </c>
      <c r="K31" s="727"/>
      <c r="L31" s="750" t="s">
        <v>491</v>
      </c>
      <c r="M31" s="750" t="s">
        <v>299</v>
      </c>
      <c r="N31" s="750">
        <v>1</v>
      </c>
      <c r="O31" s="730"/>
      <c r="P31" s="728" t="str">
        <f t="shared" ref="P31:P32" si="26">IF(O31=0, "INCLUDED", IF(ISERROR(N31*O31), O31, N31*O31))</f>
        <v>INCLUDED</v>
      </c>
      <c r="Q31" s="510">
        <f t="shared" ref="Q31:Q32" si="27">IF(P31="Included",0,P31)</f>
        <v>0</v>
      </c>
      <c r="R31" s="450">
        <f t="shared" ref="R31:R32" si="28">IF( K31="",J31*(IF(P31="Included",0,P31))/100,K31*(IF(P31="Included",0,P31)))</f>
        <v>0</v>
      </c>
      <c r="S31" s="612">
        <f>Discount!$J$36</f>
        <v>0</v>
      </c>
      <c r="T31" s="450">
        <f t="shared" ref="T31:T32" si="29">S31*Q31</f>
        <v>0</v>
      </c>
      <c r="U31" s="451">
        <f t="shared" ref="U31:U32" si="30">IF(K31="",J31*T31/100,K31*T31)</f>
        <v>0</v>
      </c>
      <c r="V31" s="718">
        <f t="shared" ref="V31:V32" si="31">O31*N31</f>
        <v>0</v>
      </c>
      <c r="W31" s="263"/>
      <c r="X31" s="263"/>
      <c r="Y31" s="263"/>
      <c r="Z31" s="263"/>
      <c r="AA31" s="263"/>
    </row>
    <row r="32" spans="1:31" ht="47.25" customHeight="1">
      <c r="A32" s="724">
        <v>10</v>
      </c>
      <c r="B32" s="750">
        <v>7000018823</v>
      </c>
      <c r="C32" s="750">
        <v>250</v>
      </c>
      <c r="D32" s="750">
        <v>20</v>
      </c>
      <c r="E32" s="750">
        <v>20</v>
      </c>
      <c r="F32" s="750" t="s">
        <v>501</v>
      </c>
      <c r="G32" s="750">
        <v>100000060</v>
      </c>
      <c r="H32" s="750">
        <v>998736</v>
      </c>
      <c r="I32" s="726"/>
      <c r="J32" s="725">
        <v>18</v>
      </c>
      <c r="K32" s="727"/>
      <c r="L32" s="750" t="s">
        <v>480</v>
      </c>
      <c r="M32" s="750" t="s">
        <v>300</v>
      </c>
      <c r="N32" s="750">
        <v>1</v>
      </c>
      <c r="O32" s="730"/>
      <c r="P32" s="728" t="str">
        <f t="shared" si="26"/>
        <v>INCLUDED</v>
      </c>
      <c r="Q32" s="510">
        <f t="shared" si="27"/>
        <v>0</v>
      </c>
      <c r="R32" s="450">
        <f t="shared" si="28"/>
        <v>0</v>
      </c>
      <c r="S32" s="612">
        <f>Discount!$J$36</f>
        <v>0</v>
      </c>
      <c r="T32" s="450">
        <f t="shared" si="29"/>
        <v>0</v>
      </c>
      <c r="U32" s="451">
        <f t="shared" si="30"/>
        <v>0</v>
      </c>
      <c r="V32" s="718">
        <f t="shared" si="31"/>
        <v>0</v>
      </c>
      <c r="W32" s="263"/>
      <c r="X32" s="263"/>
      <c r="Y32" s="263"/>
      <c r="Z32" s="263"/>
      <c r="AA32" s="263"/>
    </row>
    <row r="33" spans="1:27" ht="28.5" customHeight="1">
      <c r="A33" s="837" t="s">
        <v>315</v>
      </c>
      <c r="B33" s="838"/>
      <c r="C33" s="838"/>
      <c r="D33" s="838"/>
      <c r="E33" s="838"/>
      <c r="F33" s="838"/>
      <c r="G33" s="838"/>
      <c r="H33" s="838"/>
      <c r="I33" s="838"/>
      <c r="J33" s="838"/>
      <c r="K33" s="838"/>
      <c r="L33" s="838"/>
      <c r="M33" s="838"/>
      <c r="N33" s="838"/>
      <c r="O33" s="839"/>
      <c r="P33" s="749">
        <f>SUM(P19:P32)</f>
        <v>0</v>
      </c>
      <c r="Q33" s="615"/>
      <c r="R33" s="614">
        <f>SUM(R19:R32)</f>
        <v>0</v>
      </c>
      <c r="S33" s="262"/>
      <c r="T33" s="452"/>
      <c r="U33" s="614">
        <f>SUM(U19:U32)</f>
        <v>0</v>
      </c>
      <c r="V33" s="718">
        <f>SUM(V19:V32)</f>
        <v>0</v>
      </c>
      <c r="W33" s="263"/>
      <c r="X33" s="263"/>
      <c r="Y33" s="263"/>
      <c r="Z33" s="263"/>
      <c r="AA33" s="263">
        <f>P33*0.18</f>
        <v>0</v>
      </c>
    </row>
    <row r="34" spans="1:27" ht="21.75" customHeight="1">
      <c r="B34" s="713"/>
      <c r="C34" s="714"/>
      <c r="D34" s="714"/>
      <c r="E34" s="714"/>
      <c r="F34" s="714"/>
      <c r="G34" s="714"/>
      <c r="H34" s="714"/>
      <c r="I34" s="714"/>
      <c r="J34" s="714"/>
      <c r="K34" s="714"/>
      <c r="L34" s="714"/>
      <c r="M34" s="475"/>
      <c r="N34" s="466"/>
      <c r="O34" s="475"/>
      <c r="P34" s="475"/>
      <c r="Q34" s="473"/>
      <c r="R34" s="262"/>
      <c r="S34" s="262"/>
      <c r="T34" s="452"/>
      <c r="U34" s="262"/>
      <c r="V34" s="263"/>
      <c r="W34" s="263"/>
      <c r="X34" s="263"/>
      <c r="Y34" s="263"/>
      <c r="Z34" s="263"/>
      <c r="AA34" s="263"/>
    </row>
    <row r="35" spans="1:27" ht="30" customHeight="1">
      <c r="A35" s="587" t="s">
        <v>356</v>
      </c>
      <c r="B35" s="832" t="s">
        <v>357</v>
      </c>
      <c r="C35" s="832"/>
      <c r="D35" s="832"/>
      <c r="E35" s="832"/>
      <c r="F35" s="832"/>
      <c r="G35" s="832"/>
      <c r="H35" s="832"/>
      <c r="I35" s="832"/>
      <c r="J35" s="832"/>
      <c r="K35" s="832"/>
      <c r="L35" s="832"/>
      <c r="M35" s="832"/>
      <c r="N35" s="832"/>
      <c r="O35" s="832"/>
      <c r="P35" s="832"/>
      <c r="Q35" s="473"/>
      <c r="R35" s="262"/>
      <c r="S35" s="262"/>
      <c r="T35" s="452"/>
      <c r="U35" s="262"/>
      <c r="V35" s="263"/>
      <c r="W35" s="263"/>
      <c r="X35" s="263"/>
      <c r="Y35" s="263"/>
      <c r="Z35" s="263"/>
      <c r="AA35" s="263"/>
    </row>
    <row r="36" spans="1:27" ht="21.75" customHeight="1">
      <c r="A36" s="715"/>
      <c r="B36" s="433"/>
      <c r="C36" s="329"/>
      <c r="D36" s="330"/>
      <c r="E36" s="331"/>
      <c r="F36" s="425"/>
      <c r="G36" s="425"/>
      <c r="H36" s="425"/>
      <c r="I36" s="425"/>
      <c r="J36" s="425"/>
      <c r="K36" s="425"/>
      <c r="L36" s="415"/>
      <c r="M36" s="475"/>
      <c r="N36" s="466"/>
      <c r="O36" s="475"/>
      <c r="P36" s="475"/>
      <c r="Q36" s="473"/>
      <c r="R36" s="262"/>
      <c r="S36" s="262"/>
      <c r="T36" s="452"/>
      <c r="U36" s="262"/>
      <c r="V36" s="263"/>
      <c r="W36" s="263"/>
      <c r="X36" s="263"/>
      <c r="Y36" s="263"/>
      <c r="Z36" s="263"/>
      <c r="AA36" s="263"/>
    </row>
    <row r="37" spans="1:27" ht="21.75" customHeight="1">
      <c r="A37" s="715"/>
      <c r="B37" s="433"/>
      <c r="C37" s="329"/>
      <c r="D37" s="330"/>
      <c r="E37" s="331"/>
      <c r="F37" s="425"/>
      <c r="G37" s="425"/>
      <c r="H37" s="425"/>
      <c r="I37" s="425"/>
      <c r="J37" s="425"/>
      <c r="K37" s="425"/>
      <c r="L37" s="415"/>
      <c r="M37" s="475"/>
      <c r="N37" s="466"/>
      <c r="O37" s="475"/>
      <c r="P37" s="475"/>
      <c r="Q37" s="473"/>
      <c r="R37" s="262"/>
      <c r="S37" s="262"/>
      <c r="T37" s="452"/>
      <c r="U37" s="262"/>
      <c r="V37" s="263"/>
      <c r="W37" s="263"/>
      <c r="X37" s="263"/>
      <c r="Y37" s="263"/>
      <c r="Z37" s="263"/>
      <c r="AA37" s="263"/>
    </row>
    <row r="38" spans="1:27" s="466" customFormat="1" ht="16.5">
      <c r="A38" s="587"/>
      <c r="B38" s="588" t="s">
        <v>316</v>
      </c>
      <c r="C38" s="835" t="str">
        <f>'Sch-1'!C37:D37</f>
        <v xml:space="preserve">  </v>
      </c>
      <c r="D38" s="835"/>
      <c r="E38" s="835"/>
      <c r="F38" s="587"/>
      <c r="G38" s="587"/>
      <c r="H38" s="587"/>
      <c r="I38" s="587"/>
      <c r="J38" s="587"/>
      <c r="K38" s="587"/>
      <c r="L38" s="587"/>
      <c r="M38" s="833" t="s">
        <v>318</v>
      </c>
      <c r="N38" s="833"/>
      <c r="O38" s="836" t="str">
        <f>'Sch-1'!K37</f>
        <v/>
      </c>
      <c r="P38" s="836"/>
      <c r="R38" s="474"/>
      <c r="S38" s="474"/>
      <c r="T38" s="474"/>
      <c r="U38" s="474"/>
    </row>
    <row r="39" spans="1:27" s="466" customFormat="1" ht="16.5">
      <c r="A39" s="587"/>
      <c r="B39" s="588" t="s">
        <v>317</v>
      </c>
      <c r="C39" s="834" t="str">
        <f>'Sch-1'!C38:D38</f>
        <v/>
      </c>
      <c r="D39" s="834"/>
      <c r="E39" s="834"/>
      <c r="F39" s="587"/>
      <c r="G39" s="587"/>
      <c r="H39" s="587"/>
      <c r="I39" s="587"/>
      <c r="J39" s="587"/>
      <c r="K39" s="587"/>
      <c r="L39" s="587"/>
      <c r="M39" s="833" t="s">
        <v>125</v>
      </c>
      <c r="N39" s="833"/>
      <c r="O39" s="836" t="str">
        <f>'Sch-1'!K38</f>
        <v/>
      </c>
      <c r="P39" s="836"/>
      <c r="R39" s="474"/>
      <c r="S39" s="474"/>
      <c r="T39" s="474"/>
      <c r="U39" s="474"/>
    </row>
    <row r="40" spans="1:27" ht="16.5">
      <c r="B40" s="433"/>
      <c r="C40" s="329"/>
      <c r="D40" s="3"/>
      <c r="E40" s="331"/>
      <c r="F40" s="434"/>
      <c r="G40" s="425"/>
      <c r="H40" s="425"/>
      <c r="I40" s="425"/>
      <c r="J40" s="425"/>
      <c r="K40" s="425"/>
      <c r="L40" s="415"/>
      <c r="M40" s="475"/>
      <c r="N40" s="466"/>
      <c r="O40" s="475"/>
      <c r="P40" s="475"/>
      <c r="Q40" s="475"/>
    </row>
    <row r="41" spans="1:27" ht="16.5">
      <c r="B41" s="435"/>
      <c r="C41" s="334"/>
      <c r="D41" s="335"/>
      <c r="E41" s="331"/>
      <c r="F41" s="434"/>
      <c r="G41" s="436"/>
      <c r="H41" s="436"/>
      <c r="I41" s="436"/>
      <c r="J41" s="436"/>
      <c r="K41" s="436"/>
      <c r="L41" s="415"/>
      <c r="M41" s="475"/>
      <c r="N41" s="466"/>
      <c r="O41" s="475"/>
      <c r="P41" s="475"/>
      <c r="Q41" s="475"/>
    </row>
    <row r="43" spans="1:27">
      <c r="P43" s="701">
        <f>P33*0.18</f>
        <v>0</v>
      </c>
    </row>
  </sheetData>
  <sheetProtection algorithmName="SHA-512" hashValue="hE+/OiiQBAL0myuAh9ybVYehTRJ/wEr29tTSETjf2JQ7jEZTCWIV3z93yor01KSnKUEhfNdKjXIDphLWB6fF6Q==" saltValue="nSFrt6DSpoTONXwNeSs5uw==" spinCount="100000" sheet="1" formatColumns="0" formatRows="0" selectLockedCells="1"/>
  <customSheetViews>
    <customSheetView guid="{84F40905-A9D3-43A5-987A-8A757D486A94}" scale="60" showPageBreaks="1" fitToPage="1" printArea="1" hiddenColumns="1" view="pageBreakPreview" topLeftCell="A13">
      <selection activeCell="O31" sqref="O31"/>
      <pageMargins left="0.2" right="0.2" top="0.75" bottom="0.5" header="0.3" footer="0.3"/>
      <printOptions horizontalCentered="1"/>
      <pageSetup paperSize="9" scale="48" fitToHeight="0" orientation="landscape" r:id="rId1"/>
      <headerFooter>
        <oddHeader>&amp;RSchedule-3
Page &amp;P of &amp;N</oddHeader>
      </headerFooter>
    </customSheetView>
    <customSheetView guid="{BDFA0401-0547-4E51-8BD2-84F711B066CA}" scale="60" showPageBreaks="1" printArea="1" hiddenColumns="1" view="pageBreakPreview" topLeftCell="C1">
      <selection activeCell="I19" sqref="I19"/>
      <pageMargins left="0.2" right="0.2" top="0.75" bottom="0.5" header="0.3" footer="0.3"/>
      <printOptions horizontalCentered="1"/>
      <pageSetup paperSize="9" scale="48" orientation="landscape" r:id="rId2"/>
      <headerFooter>
        <oddHeader>&amp;RSchedule-3
Page &amp;P of &amp;N</oddHeader>
      </headerFooter>
    </customSheetView>
    <customSheetView guid="{112647D2-7580-431B-99B5-DD512E2AD50E}" scale="70" showPageBreaks="1" printArea="1" hiddenColumns="1" view="pageBreakPreview">
      <selection activeCell="K20" sqref="K20"/>
      <pageMargins left="0.2" right="0.2" top="0.75" bottom="0.5" header="0.3" footer="0.3"/>
      <printOptions horizontalCentered="1"/>
      <pageSetup paperSize="9" scale="51" orientation="landscape" r:id="rId3"/>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4"/>
      <headerFooter>
        <oddHeader>&amp;RSchedule-3
Page &amp;P of &amp;N</oddHeader>
      </headerFooter>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5"/>
      <headerFooter>
        <oddHeader>&amp;RSchedule-3
Page &amp;P of &amp;N</oddHeader>
      </headerFooter>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6"/>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8"/>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9"/>
      <headerFooter>
        <oddHeader>&amp;RSchedule-3
Page &amp;P of &amp;N</oddHeader>
      </headerFooter>
    </customSheetView>
    <customSheetView guid="{F8A50AE1-259E-429D-A506-38EB64D134EF}" scale="55" showPageBreaks="1" printArea="1" hiddenColumns="1" view="pageBreakPreview">
      <selection activeCell="I21" sqref="I21"/>
      <pageMargins left="0.2" right="0.2" top="0.75" bottom="0.5" header="0.3" footer="0.3"/>
      <printOptions horizontalCentered="1"/>
      <pageSetup paperSize="9" scale="53" orientation="landscape" r:id="rId10"/>
      <headerFooter>
        <oddHeader>&amp;RSchedule-3
Page &amp;P of &amp;N</oddHeader>
      </headerFooter>
    </customSheetView>
    <customSheetView guid="{DEF6DCE2-4A74-4BE5-B5D5-8143DC3F770A}" scale="55" showPageBreaks="1" printArea="1" hiddenColumns="1" view="pageBreakPreview">
      <selection activeCell="O20" sqref="O20"/>
      <pageMargins left="0.2" right="0.2" top="0.75" bottom="0.5" header="0.3" footer="0.3"/>
      <printOptions horizontalCentered="1"/>
      <pageSetup paperSize="9" scale="53" orientation="landscape" r:id="rId11"/>
      <headerFooter>
        <oddHeader>&amp;RSchedule-3
Page &amp;P of &amp;N</oddHeader>
      </headerFooter>
    </customSheetView>
    <customSheetView guid="{F658ED72-5E54-4C5B-BB2C-7A2962080984}" scale="55" showPageBreaks="1" printArea="1" hiddenColumns="1" view="pageBreakPreview">
      <selection activeCell="O20" sqref="O20"/>
      <pageMargins left="0.2" right="0.2" top="0.75" bottom="0.5" header="0.3" footer="0.3"/>
      <printOptions horizontalCentered="1"/>
      <pageSetup paperSize="9" scale="53" orientation="landscape" r:id="rId12"/>
      <headerFooter>
        <oddHeader>&amp;RSchedule-3
Page &amp;P of &amp;N</oddHeader>
      </headerFooter>
    </customSheetView>
    <customSheetView guid="{BE68641D-0C1E-4F8D-890A-A660C199187C}" scale="70" showPageBreaks="1" printArea="1" hiddenColumns="1" view="pageBreakPreview" topLeftCell="A13">
      <selection activeCell="I22" sqref="I22"/>
      <pageMargins left="0.2" right="0.2" top="0.75" bottom="0.5" header="0.3" footer="0.3"/>
      <printOptions horizontalCentered="1"/>
      <pageSetup paperSize="9" scale="53" orientation="landscape" r:id="rId13"/>
      <headerFooter>
        <oddHeader>&amp;RSchedule-3
Page &amp;P of &amp;N</oddHeader>
      </headerFooter>
    </customSheetView>
    <customSheetView guid="{AD0333DF-5B33-49B5-B063-72505D20EFE4}" scale="70" showPageBreaks="1" printArea="1" hiddenColumns="1" view="pageBreakPreview" topLeftCell="A13">
      <selection activeCell="K20" sqref="K20"/>
      <pageMargins left="0.2" right="0.2" top="0.75" bottom="0.5" header="0.3" footer="0.3"/>
      <printOptions horizontalCentered="1"/>
      <pageSetup paperSize="9" scale="51" orientation="landscape" r:id="rId14"/>
      <headerFooter>
        <oddHeader>&amp;RSchedule-3
Page &amp;P of &amp;N</oddHeader>
      </headerFooter>
    </customSheetView>
    <customSheetView guid="{C44C314C-9BEB-403F-A933-6B948E5C1171}" scale="70" showPageBreaks="1" printArea="1" hiddenColumns="1" view="pageBreakPreview">
      <selection activeCell="K20" sqref="K20"/>
      <pageMargins left="0.2" right="0.2" top="0.75" bottom="0.5" header="0.3" footer="0.3"/>
      <printOptions horizontalCentered="1"/>
      <pageSetup paperSize="9" scale="51" orientation="landscape" r:id="rId15"/>
      <headerFooter>
        <oddHeader>&amp;RSchedule-3
Page &amp;P of &amp;N</oddHeader>
      </headerFooter>
    </customSheetView>
  </customSheetViews>
  <mergeCells count="19">
    <mergeCell ref="M15:P15"/>
    <mergeCell ref="B35:P35"/>
    <mergeCell ref="M39:N39"/>
    <mergeCell ref="M38:N38"/>
    <mergeCell ref="C39:E39"/>
    <mergeCell ref="C38:E38"/>
    <mergeCell ref="O39:P39"/>
    <mergeCell ref="O38:P38"/>
    <mergeCell ref="A33:O33"/>
    <mergeCell ref="A3:P3"/>
    <mergeCell ref="A4:P4"/>
    <mergeCell ref="A6:B6"/>
    <mergeCell ref="A7:I7"/>
    <mergeCell ref="A8:G8"/>
    <mergeCell ref="C12:G12"/>
    <mergeCell ref="A14:P14"/>
    <mergeCell ref="C11:G11"/>
    <mergeCell ref="C10:G10"/>
    <mergeCell ref="C9:G9"/>
  </mergeCells>
  <conditionalFormatting sqref="K22:K23 K25:K26 K31:K32 K19:K20 K28:K29">
    <cfRule type="expression" dxfId="5" priority="7" stopIfTrue="1">
      <formula>J19&gt;0</formula>
    </cfRule>
  </conditionalFormatting>
  <dataValidations count="5">
    <dataValidation type="list" allowBlank="1" showInputMessage="1" showErrorMessage="1" sqref="IJ64468 A64468:K64468" xr:uid="{00000000-0002-0000-0600-000000000000}">
      <formula1>#REF!</formula1>
    </dataValidation>
    <dataValidation type="decimal" operator="greaterThan" allowBlank="1" showInputMessage="1" showErrorMessage="1" error="Enter only Numeric Value greater than zero or leave the cell blank !" sqref="O64438:O64484" xr:uid="{00000000-0002-0000-0600-000001000000}">
      <formula1>0</formula1>
    </dataValidation>
    <dataValidation type="list" operator="greaterThan" allowBlank="1" showInputMessage="1" showErrorMessage="1" sqref="K19:K32" xr:uid="{00000000-0002-0000-0600-000002000000}">
      <formula1>"0%,5%,12%,18%,28%"</formula1>
    </dataValidation>
    <dataValidation type="whole" operator="greaterThan" allowBlank="1" showInputMessage="1" showErrorMessage="1" sqref="I19:I32" xr:uid="{00000000-0002-0000-0600-000003000000}">
      <formula1>0</formula1>
    </dataValidation>
    <dataValidation type="decimal" operator="greaterThanOrEqual" allowBlank="1" showInputMessage="1" showErrorMessage="1" sqref="O19:O32" xr:uid="{00000000-0002-0000-0600-000004000000}">
      <formula1>0</formula1>
    </dataValidation>
  </dataValidations>
  <printOptions horizontalCentered="1"/>
  <pageMargins left="0.2" right="0.2" top="0.75" bottom="0.5" header="0.3" footer="0.3"/>
  <pageSetup paperSize="9" scale="48" fitToHeight="0"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zoomScale="60" zoomScaleNormal="100" workbookViewId="0">
      <selection activeCell="E17" sqref="E17"/>
    </sheetView>
  </sheetViews>
  <sheetFormatPr defaultColWidth="9.140625" defaultRowHeight="15.75"/>
  <cols>
    <col min="1" max="1" width="7.5703125" style="501" customWidth="1"/>
    <col min="2" max="2" width="9" style="501" customWidth="1"/>
    <col min="3" max="3" width="10.28515625" style="501" customWidth="1"/>
    <col min="4" max="4" width="10.85546875" style="501" customWidth="1"/>
    <col min="5" max="5" width="11.140625" style="501" customWidth="1"/>
    <col min="6" max="6" width="13.7109375" style="501" customWidth="1"/>
    <col min="7" max="7" width="15.42578125" style="501" customWidth="1"/>
    <col min="8" max="11" width="16.85546875" style="501" customWidth="1"/>
    <col min="12" max="12" width="14.42578125" style="502" customWidth="1"/>
    <col min="13" max="13" width="9" style="501" customWidth="1"/>
    <col min="14" max="14" width="11.42578125" style="501" customWidth="1"/>
    <col min="15" max="15" width="13.28515625" style="501" customWidth="1"/>
    <col min="16" max="16" width="15.7109375" style="506" customWidth="1"/>
    <col min="17" max="16384" width="9.140625" style="506"/>
  </cols>
  <sheetData>
    <row r="1" spans="1:16" s="503" customFormat="1" ht="24.75" customHeight="1">
      <c r="A1" s="486" t="str">
        <f>Cover!B3</f>
        <v>Spec. No. CC/NT/W-RT/DOM/A06/23/04299</v>
      </c>
      <c r="B1" s="486"/>
      <c r="C1" s="486"/>
      <c r="D1" s="486"/>
      <c r="E1" s="486"/>
      <c r="F1" s="486"/>
      <c r="G1" s="487"/>
      <c r="H1" s="487"/>
      <c r="I1" s="487"/>
      <c r="J1" s="487"/>
      <c r="K1" s="487"/>
      <c r="L1" s="488"/>
      <c r="M1" s="489"/>
      <c r="N1" s="490"/>
      <c r="O1" s="490"/>
      <c r="P1" s="491" t="s">
        <v>26</v>
      </c>
    </row>
    <row r="2" spans="1:16" s="503" customFormat="1">
      <c r="A2" s="11"/>
      <c r="B2" s="11"/>
      <c r="C2" s="11"/>
      <c r="D2" s="11"/>
      <c r="E2" s="11"/>
      <c r="F2" s="11"/>
      <c r="G2" s="492"/>
      <c r="H2" s="492"/>
      <c r="I2" s="492"/>
      <c r="J2" s="492"/>
      <c r="K2" s="492"/>
      <c r="L2" s="493"/>
      <c r="M2" s="494"/>
      <c r="N2" s="495"/>
      <c r="O2" s="495"/>
    </row>
    <row r="3" spans="1:16" s="503" customFormat="1" ht="61.5" customHeight="1">
      <c r="A3" s="840" t="str">
        <f>Cover!$B$2</f>
        <v>Reactor Package RT03 under Bulk Procurement of 765kV and 400kV Class Transformers and Reactors of various capacities- LOT-3 and SIS/Addl. Cap. -Re-Tender</v>
      </c>
      <c r="B3" s="840"/>
      <c r="C3" s="840"/>
      <c r="D3" s="840"/>
      <c r="E3" s="840"/>
      <c r="F3" s="840"/>
      <c r="G3" s="840"/>
      <c r="H3" s="840"/>
      <c r="I3" s="840"/>
      <c r="J3" s="840"/>
      <c r="K3" s="840"/>
      <c r="L3" s="840"/>
      <c r="M3" s="840"/>
      <c r="N3" s="840"/>
      <c r="O3" s="840"/>
      <c r="P3" s="840"/>
    </row>
    <row r="4" spans="1:16" s="503" customFormat="1" ht="16.5">
      <c r="A4" s="841" t="s">
        <v>19</v>
      </c>
      <c r="B4" s="841"/>
      <c r="C4" s="841"/>
      <c r="D4" s="841"/>
      <c r="E4" s="841"/>
      <c r="F4" s="841"/>
      <c r="G4" s="841"/>
      <c r="H4" s="841"/>
      <c r="I4" s="841"/>
      <c r="J4" s="841"/>
      <c r="K4" s="841"/>
      <c r="L4" s="841"/>
      <c r="M4" s="841"/>
      <c r="N4" s="841"/>
      <c r="O4" s="841"/>
      <c r="P4" s="841"/>
    </row>
    <row r="5" spans="1:16" s="503" customFormat="1">
      <c r="A5" s="496"/>
      <c r="B5" s="496"/>
      <c r="C5" s="496"/>
      <c r="D5" s="496"/>
      <c r="E5" s="496"/>
      <c r="F5" s="496"/>
      <c r="G5" s="497"/>
      <c r="H5" s="497"/>
      <c r="I5" s="497"/>
      <c r="J5" s="497"/>
      <c r="K5" s="497"/>
      <c r="L5" s="497"/>
      <c r="M5" s="496"/>
      <c r="N5" s="496"/>
      <c r="O5" s="496"/>
    </row>
    <row r="6" spans="1:16" s="503" customFormat="1" ht="20.25" customHeight="1">
      <c r="A6" s="816" t="s">
        <v>349</v>
      </c>
      <c r="B6" s="816"/>
      <c r="C6" s="4"/>
      <c r="D6" s="351"/>
      <c r="E6" s="4"/>
      <c r="F6" s="4"/>
      <c r="G6" s="4"/>
      <c r="H6" s="4"/>
      <c r="I6" s="4"/>
      <c r="J6" s="497"/>
      <c r="K6" s="497"/>
      <c r="L6" s="497"/>
      <c r="M6" s="496"/>
      <c r="N6" s="496"/>
      <c r="O6" s="496"/>
    </row>
    <row r="7" spans="1:16" s="503" customFormat="1" ht="21" customHeight="1">
      <c r="A7" s="821" t="str">
        <f>'Sch-1'!A7</f>
        <v/>
      </c>
      <c r="B7" s="821"/>
      <c r="C7" s="821"/>
      <c r="D7" s="821"/>
      <c r="E7" s="821"/>
      <c r="F7" s="821"/>
      <c r="G7" s="821"/>
      <c r="H7" s="821"/>
      <c r="I7" s="821"/>
      <c r="J7" s="5"/>
      <c r="K7" s="5"/>
      <c r="L7" s="392"/>
      <c r="M7" s="5"/>
      <c r="N7" s="498" t="s">
        <v>1</v>
      </c>
      <c r="O7" s="495"/>
    </row>
    <row r="8" spans="1:16" s="503" customFormat="1" ht="21" customHeight="1">
      <c r="A8" s="817" t="str">
        <f>"Bidder’s Name and Address  (" &amp; MID('Names of Bidder'!B9,9, 20) &amp; ") :"</f>
        <v>Bidder’s Name and Address  (Sole Bidder) :</v>
      </c>
      <c r="B8" s="817"/>
      <c r="C8" s="817"/>
      <c r="D8" s="817"/>
      <c r="E8" s="817"/>
      <c r="F8" s="817"/>
      <c r="G8" s="817"/>
      <c r="H8" s="536"/>
      <c r="I8" s="536"/>
      <c r="J8" s="512"/>
      <c r="K8" s="512"/>
      <c r="L8" s="512"/>
      <c r="M8" s="512"/>
      <c r="N8" s="12" t="str">
        <f>'Sch-1'!K8</f>
        <v>Contract Services</v>
      </c>
      <c r="O8" s="495"/>
    </row>
    <row r="9" spans="1:16" s="503" customFormat="1" ht="24" customHeight="1">
      <c r="A9" s="459" t="s">
        <v>12</v>
      </c>
      <c r="B9" s="407"/>
      <c r="C9" s="820" t="str">
        <f>IF('Names of Bidder'!D9=0, "", 'Names of Bidder'!D9)</f>
        <v/>
      </c>
      <c r="D9" s="820"/>
      <c r="E9" s="820"/>
      <c r="F9" s="820"/>
      <c r="G9" s="820"/>
      <c r="H9" s="443"/>
      <c r="I9" s="408"/>
      <c r="J9" s="261"/>
      <c r="K9" s="261"/>
      <c r="L9" s="504"/>
      <c r="N9" s="12" t="str">
        <f>'Sch-1'!K9</f>
        <v>Power Grid Corporation of India Ltd.,</v>
      </c>
      <c r="O9" s="495"/>
    </row>
    <row r="10" spans="1:16" s="503" customFormat="1" ht="16.5">
      <c r="A10" s="459" t="s">
        <v>11</v>
      </c>
      <c r="B10" s="407"/>
      <c r="C10" s="819" t="str">
        <f>IF('Names of Bidder'!D10=0, "", 'Names of Bidder'!D10)</f>
        <v/>
      </c>
      <c r="D10" s="819"/>
      <c r="E10" s="819"/>
      <c r="F10" s="819"/>
      <c r="G10" s="819"/>
      <c r="H10" s="443"/>
      <c r="I10" s="408"/>
      <c r="J10" s="261"/>
      <c r="K10" s="261"/>
      <c r="L10" s="504"/>
      <c r="N10" s="12" t="str">
        <f>'Sch-1'!K10</f>
        <v>"Saudamini", Plot No.-2</v>
      </c>
      <c r="O10" s="495"/>
    </row>
    <row r="11" spans="1:16" s="503" customFormat="1">
      <c r="A11" s="408"/>
      <c r="B11" s="408"/>
      <c r="C11" s="819" t="str">
        <f>IF('Names of Bidder'!D11=0, "", 'Names of Bidder'!D11)</f>
        <v/>
      </c>
      <c r="D11" s="819"/>
      <c r="E11" s="819"/>
      <c r="F11" s="819"/>
      <c r="G11" s="819"/>
      <c r="H11" s="443"/>
      <c r="I11" s="408"/>
      <c r="J11" s="261"/>
      <c r="K11" s="261"/>
      <c r="L11" s="504"/>
      <c r="N11" s="12" t="str">
        <f>'Sch-1'!K11</f>
        <v xml:space="preserve">Sector-29, </v>
      </c>
      <c r="O11" s="495"/>
    </row>
    <row r="12" spans="1:16" s="503" customFormat="1">
      <c r="A12" s="408"/>
      <c r="B12" s="408"/>
      <c r="C12" s="819" t="str">
        <f>IF('Names of Bidder'!D12=0, "", 'Names of Bidder'!D12)</f>
        <v/>
      </c>
      <c r="D12" s="819"/>
      <c r="E12" s="819"/>
      <c r="F12" s="819"/>
      <c r="G12" s="819"/>
      <c r="H12" s="443"/>
      <c r="I12" s="408"/>
      <c r="J12" s="261"/>
      <c r="K12" s="261"/>
      <c r="L12" s="504"/>
      <c r="N12" s="12" t="str">
        <f>'Sch-1'!K12</f>
        <v>Gurgaon (Haryana) - 122001</v>
      </c>
      <c r="O12" s="495"/>
    </row>
    <row r="13" spans="1:16" s="503" customFormat="1">
      <c r="A13" s="408"/>
      <c r="B13" s="408"/>
      <c r="C13" s="579"/>
      <c r="D13" s="579"/>
      <c r="E13" s="579"/>
      <c r="F13" s="579"/>
      <c r="G13" s="579"/>
      <c r="H13" s="443"/>
      <c r="I13" s="408"/>
      <c r="J13" s="261"/>
      <c r="K13" s="261"/>
      <c r="L13" s="504"/>
      <c r="N13" s="12"/>
      <c r="O13" s="495"/>
    </row>
    <row r="14" spans="1:16" s="503" customFormat="1" ht="21" customHeight="1">
      <c r="A14" s="830" t="s">
        <v>27</v>
      </c>
      <c r="B14" s="830"/>
      <c r="C14" s="830"/>
      <c r="D14" s="830"/>
      <c r="E14" s="830"/>
      <c r="F14" s="830"/>
      <c r="G14" s="830"/>
      <c r="H14" s="830"/>
      <c r="I14" s="830"/>
      <c r="J14" s="830"/>
      <c r="K14" s="830"/>
      <c r="L14" s="830"/>
      <c r="M14" s="830"/>
      <c r="N14" s="830"/>
      <c r="O14" s="830"/>
      <c r="P14" s="830"/>
    </row>
    <row r="15" spans="1:16" s="503" customFormat="1" ht="63.75" customHeight="1">
      <c r="A15" s="482" t="s">
        <v>7</v>
      </c>
      <c r="B15" s="483" t="s">
        <v>266</v>
      </c>
      <c r="C15" s="483" t="s">
        <v>267</v>
      </c>
      <c r="D15" s="483" t="s">
        <v>277</v>
      </c>
      <c r="E15" s="483" t="s">
        <v>279</v>
      </c>
      <c r="F15" s="483" t="s">
        <v>280</v>
      </c>
      <c r="G15" s="482" t="s">
        <v>25</v>
      </c>
      <c r="H15" s="513" t="s">
        <v>323</v>
      </c>
      <c r="I15" s="514" t="s">
        <v>322</v>
      </c>
      <c r="J15" s="514" t="s">
        <v>309</v>
      </c>
      <c r="K15" s="514" t="s">
        <v>319</v>
      </c>
      <c r="L15" s="483" t="s">
        <v>15</v>
      </c>
      <c r="M15" s="484" t="s">
        <v>9</v>
      </c>
      <c r="N15" s="484" t="s">
        <v>16</v>
      </c>
      <c r="O15" s="485" t="s">
        <v>28</v>
      </c>
      <c r="P15" s="485" t="s">
        <v>29</v>
      </c>
    </row>
    <row r="16" spans="1:16" s="592" customFormat="1" ht="15">
      <c r="A16" s="589">
        <v>1</v>
      </c>
      <c r="B16" s="589">
        <v>2</v>
      </c>
      <c r="C16" s="589">
        <v>3</v>
      </c>
      <c r="D16" s="589">
        <v>4</v>
      </c>
      <c r="E16" s="589">
        <v>5</v>
      </c>
      <c r="F16" s="589">
        <v>6</v>
      </c>
      <c r="G16" s="589">
        <v>7</v>
      </c>
      <c r="H16" s="590">
        <v>8</v>
      </c>
      <c r="I16" s="590">
        <v>9</v>
      </c>
      <c r="J16" s="590">
        <v>10</v>
      </c>
      <c r="K16" s="590">
        <v>11</v>
      </c>
      <c r="L16" s="591">
        <v>12</v>
      </c>
      <c r="M16" s="589">
        <v>13</v>
      </c>
      <c r="N16" s="589">
        <v>14</v>
      </c>
      <c r="O16" s="589">
        <v>15</v>
      </c>
      <c r="P16" s="589" t="s">
        <v>321</v>
      </c>
    </row>
    <row r="17" spans="1:17">
      <c r="A17" s="499"/>
      <c r="B17" s="499"/>
      <c r="C17" s="499"/>
      <c r="D17" s="499"/>
      <c r="E17" s="499"/>
      <c r="F17" s="499"/>
      <c r="G17" s="499"/>
      <c r="H17" s="499"/>
      <c r="I17" s="499"/>
      <c r="J17" s="499"/>
      <c r="K17" s="499"/>
      <c r="L17" s="500"/>
      <c r="M17" s="499"/>
      <c r="N17" s="499"/>
      <c r="O17" s="499"/>
      <c r="P17" s="505"/>
    </row>
    <row r="18" spans="1:17" s="501" customFormat="1" ht="45" customHeight="1">
      <c r="A18" s="499"/>
      <c r="B18" s="507"/>
      <c r="C18" s="507"/>
      <c r="D18" s="507"/>
      <c r="F18" s="507"/>
      <c r="G18" s="507"/>
      <c r="H18" s="507"/>
      <c r="I18" s="585" t="s">
        <v>338</v>
      </c>
      <c r="J18" s="507"/>
      <c r="K18" s="507"/>
      <c r="L18" s="507"/>
      <c r="M18" s="507"/>
      <c r="N18" s="507"/>
      <c r="O18" s="507"/>
      <c r="P18" s="507"/>
    </row>
    <row r="19" spans="1:17" ht="26.25" customHeight="1">
      <c r="A19" s="499"/>
      <c r="B19" s="849"/>
      <c r="C19" s="850"/>
      <c r="D19" s="850"/>
      <c r="E19" s="850"/>
      <c r="F19" s="850"/>
      <c r="G19" s="850"/>
      <c r="H19" s="850"/>
      <c r="I19" s="850"/>
      <c r="J19" s="850"/>
      <c r="K19" s="851"/>
      <c r="L19" s="508"/>
      <c r="M19" s="508"/>
      <c r="N19" s="508"/>
      <c r="O19" s="508"/>
      <c r="P19" s="509"/>
      <c r="Q19" s="444"/>
    </row>
    <row r="20" spans="1:17" ht="27.75" customHeight="1">
      <c r="A20" s="846" t="s">
        <v>324</v>
      </c>
      <c r="B20" s="846"/>
      <c r="C20" s="846"/>
      <c r="D20" s="846"/>
      <c r="E20" s="846"/>
      <c r="F20" s="846"/>
      <c r="G20" s="846"/>
      <c r="H20" s="846"/>
      <c r="I20" s="846"/>
      <c r="J20" s="846"/>
      <c r="K20" s="846"/>
      <c r="L20" s="846"/>
      <c r="M20" s="846"/>
      <c r="N20" s="846"/>
      <c r="O20" s="846"/>
      <c r="P20" s="846"/>
      <c r="Q20" s="444"/>
    </row>
    <row r="21" spans="1:17" ht="39" customHeight="1">
      <c r="A21" s="847" t="s">
        <v>325</v>
      </c>
      <c r="B21" s="847"/>
      <c r="C21" s="847"/>
      <c r="D21" s="847"/>
      <c r="E21" s="847"/>
      <c r="F21" s="847"/>
      <c r="G21" s="847"/>
      <c r="H21" s="847"/>
      <c r="I21" s="847"/>
      <c r="J21" s="847"/>
      <c r="K21" s="847"/>
      <c r="L21" s="847"/>
      <c r="M21" s="847"/>
      <c r="N21" s="847"/>
      <c r="O21" s="847"/>
      <c r="P21" s="847"/>
      <c r="Q21" s="444"/>
    </row>
    <row r="23" spans="1:17" s="510" customFormat="1">
      <c r="B23" s="511" t="s">
        <v>316</v>
      </c>
      <c r="C23" s="845" t="str">
        <f>'Sch-3'!C38:D38</f>
        <v xml:space="preserve">  </v>
      </c>
      <c r="D23" s="844"/>
    </row>
    <row r="24" spans="1:17" s="510" customFormat="1">
      <c r="B24" s="511" t="s">
        <v>317</v>
      </c>
      <c r="C24" s="843" t="str">
        <f>'Sch-3'!C39:D39</f>
        <v/>
      </c>
      <c r="D24" s="844"/>
      <c r="L24" s="842" t="s">
        <v>318</v>
      </c>
      <c r="M24" s="842"/>
      <c r="N24" s="848" t="str">
        <f>'Sch-3'!O38</f>
        <v/>
      </c>
      <c r="O24" s="848"/>
      <c r="P24" s="848"/>
    </row>
    <row r="25" spans="1:17">
      <c r="L25" s="842" t="s">
        <v>125</v>
      </c>
      <c r="M25" s="842"/>
      <c r="N25" s="848" t="str">
        <f>'Sch-3'!O39</f>
        <v/>
      </c>
      <c r="O25" s="848"/>
      <c r="P25" s="848"/>
    </row>
  </sheetData>
  <sheetProtection algorithmName="SHA-512" hashValue="sZ1l2cQo2KAKRkaro/bHHybtzTRNiaIgGAFO5lXaqBJK4Av2PwAimVArSKAdqp7oSZ/V8wmq7mj71mNhqqqIkg==" saltValue="FOqFQxIJyTQR3bbEnzBkSQ==" spinCount="100000" sheet="1" formatColumns="0" formatRows="0" selectLockedCells="1"/>
  <customSheetViews>
    <customSheetView guid="{84F40905-A9D3-43A5-987A-8A757D486A94}" scale="60" showPageBreaks="1" printArea="1" view="pageBreakPreview">
      <selection activeCell="E17" sqref="E17"/>
      <pageMargins left="0.7" right="0.7" top="0.75" bottom="0.75" header="0.3" footer="0.3"/>
      <pageSetup paperSize="9" scale="58" orientation="landscape" r:id="rId1"/>
    </customSheetView>
    <customSheetView guid="{BDFA0401-0547-4E51-8BD2-84F711B066CA}" scale="60" showPageBreaks="1" printArea="1" view="pageBreakPreview">
      <selection activeCell="E17" sqref="E17"/>
      <pageMargins left="0.7" right="0.7" top="0.75" bottom="0.75" header="0.3" footer="0.3"/>
      <pageSetup paperSize="9" scale="58" orientation="landscape" r:id="rId2"/>
    </customSheetView>
    <customSheetView guid="{112647D2-7580-431B-99B5-DD512E2AD50E}" showPageBreaks="1" printArea="1" view="pageBreakPreview">
      <selection activeCell="E17" sqref="E17"/>
      <pageMargins left="0.7" right="0.7" top="0.75" bottom="0.75" header="0.3" footer="0.3"/>
      <pageSetup paperSize="9" scale="58" orientation="landscape" r:id="rId3"/>
    </customSheetView>
    <customSheetView guid="{63D51328-7CBC-4A1E-B96D-BAE91416501B}" showPageBreaks="1" printArea="1" view="pageBreakPreview">
      <selection activeCell="Q18" sqref="Q18"/>
      <pageMargins left="0.7" right="0.7" top="0.75" bottom="0.75" header="0.3" footer="0.3"/>
      <pageSetup paperSize="9" scale="58" orientation="landscape" r:id="rId4"/>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5"/>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B96E710B-6DD7-4DE1-95AB-C9EE060CD030}" scale="80" showPageBreaks="1" printArea="1" view="pageBreakPreview">
      <selection activeCell="G22" sqref="G22"/>
      <pageMargins left="0.7" right="0.7" top="0.75" bottom="0.75" header="0.3" footer="0.3"/>
      <pageSetup paperSize="9" scale="58" orientation="landscape" r:id="rId8"/>
    </customSheetView>
    <customSheetView guid="{CCA37BAE-906F-43D5-9FD9-B13563E4B9D7}" showPageBreaks="1" printArea="1" view="pageBreakPreview">
      <selection activeCell="Q18" sqref="Q18"/>
      <pageMargins left="0.7" right="0.7" top="0.75" bottom="0.75" header="0.3" footer="0.3"/>
      <pageSetup paperSize="9" scale="58" orientation="landscape" r:id="rId9"/>
    </customSheetView>
    <customSheetView guid="{F8A50AE1-259E-429D-A506-38EB64D134EF}" showPageBreaks="1" printArea="1" view="pageBreakPreview" topLeftCell="A10">
      <selection activeCell="Q18" sqref="Q18"/>
      <pageMargins left="0.7" right="0.7" top="0.75" bottom="0.75" header="0.3" footer="0.3"/>
      <pageSetup paperSize="9" scale="58" orientation="landscape" r:id="rId10"/>
    </customSheetView>
    <customSheetView guid="{DEF6DCE2-4A74-4BE5-B5D5-8143DC3F770A}" showPageBreaks="1" printArea="1" view="pageBreakPreview" topLeftCell="A10">
      <selection activeCell="Q18" sqref="Q18"/>
      <pageMargins left="0.7" right="0.7" top="0.75" bottom="0.75" header="0.3" footer="0.3"/>
      <pageSetup paperSize="9" scale="58" orientation="landscape" r:id="rId11"/>
    </customSheetView>
    <customSheetView guid="{F658ED72-5E54-4C5B-BB2C-7A2962080984}" showPageBreaks="1" printArea="1" view="pageBreakPreview" topLeftCell="A10">
      <selection activeCell="Q18" sqref="Q18"/>
      <pageMargins left="0.7" right="0.7" top="0.75" bottom="0.75" header="0.3" footer="0.3"/>
      <pageSetup paperSize="9" scale="58" orientation="landscape" r:id="rId12"/>
    </customSheetView>
    <customSheetView guid="{BE68641D-0C1E-4F8D-890A-A660C199187C}" showPageBreaks="1" printArea="1" view="pageBreakPreview" topLeftCell="A10">
      <selection activeCell="Q18" sqref="Q18"/>
      <pageMargins left="0.7" right="0.7" top="0.75" bottom="0.75" header="0.3" footer="0.3"/>
      <pageSetup paperSize="9" scale="58" orientation="landscape" r:id="rId13"/>
    </customSheetView>
    <customSheetView guid="{AD0333DF-5B33-49B5-B063-72505D20EFE4}" showPageBreaks="1" printArea="1" view="pageBreakPreview" topLeftCell="A7">
      <selection activeCell="H17" sqref="H17"/>
      <pageMargins left="0.7" right="0.7" top="0.75" bottom="0.75" header="0.3" footer="0.3"/>
      <pageSetup paperSize="9" scale="58" orientation="landscape" r:id="rId14"/>
    </customSheetView>
    <customSheetView guid="{C44C314C-9BEB-403F-A933-6B948E5C1171}" showPageBreaks="1" printArea="1" view="pageBreakPreview">
      <selection activeCell="E17" sqref="E17"/>
      <pageMargins left="0.7" right="0.7" top="0.75" bottom="0.75" header="0.3" footer="0.3"/>
      <pageSetup paperSize="9" scale="58" orientation="landscape" r:id="rId15"/>
    </customSheetView>
  </customSheetViews>
  <mergeCells count="19">
    <mergeCell ref="A14:P14"/>
    <mergeCell ref="L24:M24"/>
    <mergeCell ref="C24:D24"/>
    <mergeCell ref="L25:M25"/>
    <mergeCell ref="C23:D23"/>
    <mergeCell ref="A20:P20"/>
    <mergeCell ref="A21:P21"/>
    <mergeCell ref="N25:P25"/>
    <mergeCell ref="N24:P24"/>
    <mergeCell ref="B19:K19"/>
    <mergeCell ref="A3:P3"/>
    <mergeCell ref="A6:B6"/>
    <mergeCell ref="A7:I7"/>
    <mergeCell ref="A8:G8"/>
    <mergeCell ref="C12:G12"/>
    <mergeCell ref="C11:G11"/>
    <mergeCell ref="C10:G10"/>
    <mergeCell ref="C9:G9"/>
    <mergeCell ref="A4:P4"/>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80" zoomScaleNormal="100" zoomScaleSheetLayoutView="80" workbookViewId="0">
      <selection activeCell="D19" sqref="D19:E1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hidden="1" customWidth="1"/>
    <col min="7" max="7" width="34.140625" style="85" hidden="1" customWidth="1"/>
    <col min="8" max="8" width="11.42578125" style="85" hidden="1" customWidth="1"/>
    <col min="9" max="9" width="14" style="386" hidden="1" customWidth="1"/>
    <col min="10" max="10" width="14.42578125" style="386" hidden="1" customWidth="1"/>
    <col min="11" max="11" width="17.140625" style="386" hidden="1" customWidth="1"/>
    <col min="12" max="13" width="11.42578125" style="386" hidden="1" customWidth="1"/>
    <col min="14" max="14" width="21.28515625" style="386"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Spec. No. CC/NT/W-RT/DOM/A06/23/04299</v>
      </c>
      <c r="B1" s="82"/>
      <c r="C1" s="83"/>
      <c r="D1" s="83"/>
      <c r="E1" s="84" t="s">
        <v>128</v>
      </c>
    </row>
    <row r="2" spans="1:15" ht="8.1" customHeight="1">
      <c r="A2" s="87"/>
      <c r="B2" s="88"/>
      <c r="C2" s="89"/>
      <c r="D2" s="89"/>
      <c r="E2" s="90"/>
      <c r="F2" s="91"/>
    </row>
    <row r="3" spans="1:15" ht="84.75" customHeight="1">
      <c r="A3" s="859" t="str">
        <f>Cover!$B$2</f>
        <v>Reactor Package RT03 under Bulk Procurement of 765kV and 400kV Class Transformers and Reactors of various capacities- LOT-3 and SIS/Addl. Cap. -Re-Tender</v>
      </c>
      <c r="B3" s="859"/>
      <c r="C3" s="859"/>
      <c r="D3" s="859"/>
      <c r="E3" s="859"/>
    </row>
    <row r="4" spans="1:15" ht="21.95" customHeight="1">
      <c r="A4" s="860" t="s">
        <v>129</v>
      </c>
      <c r="B4" s="860"/>
      <c r="C4" s="860"/>
      <c r="D4" s="860"/>
      <c r="E4" s="860"/>
    </row>
    <row r="5" spans="1:15" ht="12" customHeight="1">
      <c r="A5" s="92"/>
      <c r="B5" s="93"/>
      <c r="C5" s="93"/>
      <c r="D5" s="93"/>
      <c r="E5" s="93"/>
    </row>
    <row r="6" spans="1:15" ht="24" customHeight="1">
      <c r="A6" s="816" t="s">
        <v>349</v>
      </c>
      <c r="B6" s="816"/>
      <c r="C6" s="4"/>
      <c r="D6" s="351"/>
      <c r="E6" s="4"/>
      <c r="F6" s="4"/>
      <c r="G6" s="4"/>
      <c r="H6" s="4"/>
      <c r="I6" s="4"/>
    </row>
    <row r="7" spans="1:15" ht="18" customHeight="1">
      <c r="A7" s="821" t="str">
        <f>'Sch-1'!A7</f>
        <v/>
      </c>
      <c r="B7" s="821"/>
      <c r="C7" s="821"/>
      <c r="D7" s="498" t="s">
        <v>1</v>
      </c>
      <c r="E7" s="578"/>
      <c r="F7" s="578"/>
      <c r="G7" s="578"/>
      <c r="H7" s="578"/>
      <c r="I7" s="578"/>
    </row>
    <row r="8" spans="1:15" ht="18" customHeight="1">
      <c r="A8" s="817" t="str">
        <f>"Bidder’s Name and Address  (" &amp; MID('Names of Bidder'!B9,9, 20) &amp; ") :"</f>
        <v>Bidder’s Name and Address  (Sole Bidder) :</v>
      </c>
      <c r="B8" s="817"/>
      <c r="C8" s="817"/>
      <c r="D8" s="12" t="s">
        <v>2</v>
      </c>
      <c r="E8" s="581"/>
      <c r="F8" s="581"/>
      <c r="G8" s="581"/>
      <c r="H8" s="536"/>
      <c r="I8" s="536"/>
    </row>
    <row r="9" spans="1:15" ht="18" customHeight="1">
      <c r="A9" s="459" t="s">
        <v>12</v>
      </c>
      <c r="B9" s="459" t="str">
        <f>IF('Names of Bidder'!D9=0, "", 'Names of Bidder'!D9)</f>
        <v/>
      </c>
      <c r="C9" s="112"/>
      <c r="D9" s="12" t="s">
        <v>3</v>
      </c>
      <c r="E9" s="580"/>
      <c r="F9" s="580"/>
      <c r="G9" s="580"/>
      <c r="H9" s="443"/>
      <c r="I9" s="408"/>
    </row>
    <row r="10" spans="1:15" ht="18" customHeight="1">
      <c r="A10" s="459" t="s">
        <v>11</v>
      </c>
      <c r="B10" s="579" t="str">
        <f>IF('Names of Bidder'!D10=0, "", 'Names of Bidder'!D10)</f>
        <v/>
      </c>
      <c r="C10" s="112"/>
      <c r="D10" s="12" t="s">
        <v>4</v>
      </c>
      <c r="E10" s="580"/>
      <c r="F10" s="580"/>
      <c r="G10" s="580"/>
      <c r="H10" s="443"/>
      <c r="I10" s="408"/>
    </row>
    <row r="11" spans="1:15" ht="18" customHeight="1">
      <c r="A11" s="408"/>
      <c r="B11" s="579" t="str">
        <f>IF('Names of Bidder'!D11=0, "", 'Names of Bidder'!D11)</f>
        <v/>
      </c>
      <c r="C11" s="112"/>
      <c r="D11" s="12" t="s">
        <v>5</v>
      </c>
      <c r="E11" s="580"/>
      <c r="F11" s="580"/>
      <c r="G11" s="580"/>
      <c r="H11" s="443"/>
      <c r="I11" s="408"/>
    </row>
    <row r="12" spans="1:15" ht="18" customHeight="1">
      <c r="A12" s="408"/>
      <c r="B12" s="579" t="str">
        <f>IF('Names of Bidder'!D12=0, "", 'Names of Bidder'!D12)</f>
        <v/>
      </c>
      <c r="C12" s="112"/>
      <c r="D12" s="12" t="s">
        <v>6</v>
      </c>
      <c r="E12" s="580"/>
      <c r="F12" s="580"/>
      <c r="G12" s="580"/>
      <c r="H12" s="443"/>
      <c r="I12" s="408"/>
    </row>
    <row r="13" spans="1:15" ht="8.1" customHeight="1" thickBot="1">
      <c r="B13" s="141"/>
    </row>
    <row r="14" spans="1:15" ht="21.95" customHeight="1">
      <c r="A14" s="634" t="s">
        <v>130</v>
      </c>
      <c r="B14" s="861" t="s">
        <v>131</v>
      </c>
      <c r="C14" s="861"/>
      <c r="D14" s="862" t="s">
        <v>132</v>
      </c>
      <c r="E14" s="863"/>
      <c r="I14" s="870" t="s">
        <v>133</v>
      </c>
      <c r="J14" s="870"/>
      <c r="K14" s="870"/>
      <c r="M14" s="867" t="s">
        <v>134</v>
      </c>
      <c r="N14" s="867"/>
      <c r="O14" s="867"/>
    </row>
    <row r="15" spans="1:15" ht="29.25" customHeight="1">
      <c r="A15" s="635" t="s">
        <v>135</v>
      </c>
      <c r="B15" s="864" t="s">
        <v>326</v>
      </c>
      <c r="C15" s="864"/>
      <c r="D15" s="865">
        <f>'Sch-1'!P32</f>
        <v>0</v>
      </c>
      <c r="E15" s="866"/>
      <c r="I15" s="387" t="s">
        <v>136</v>
      </c>
      <c r="K15" s="387" t="e">
        <f>ROUND('[6]Sch-1'!U3*#REF!,0)</f>
        <v>#REF!</v>
      </c>
      <c r="M15" s="387" t="s">
        <v>136</v>
      </c>
      <c r="O15" s="97" t="e">
        <f>ROUND('[6]Sch-1'!U5*#REF!,0)</f>
        <v>#REF!</v>
      </c>
    </row>
    <row r="16" spans="1:15" ht="87.75" customHeight="1">
      <c r="A16" s="636"/>
      <c r="B16" s="856" t="s">
        <v>327</v>
      </c>
      <c r="C16" s="856"/>
      <c r="D16" s="868"/>
      <c r="E16" s="869"/>
      <c r="G16" s="98"/>
    </row>
    <row r="17" spans="1:15" ht="25.5" customHeight="1">
      <c r="A17" s="635" t="s">
        <v>137</v>
      </c>
      <c r="B17" s="864" t="s">
        <v>328</v>
      </c>
      <c r="C17" s="864"/>
      <c r="D17" s="865">
        <f>'Sch-3'!R33</f>
        <v>0</v>
      </c>
      <c r="E17" s="866"/>
      <c r="I17" s="387" t="s">
        <v>138</v>
      </c>
      <c r="K17" s="388">
        <f>IF(ISERROR(ROUND((#REF!+#REF!)*#REF!,0)),0, ROUND((#REF!+#REF!)*#REF!,0))</f>
        <v>0</v>
      </c>
      <c r="M17" s="387" t="s">
        <v>138</v>
      </c>
      <c r="O17" s="100">
        <f>IF(ISERROR(ROUND((#REF!+#REF!)*#REF!,0)),0, ROUND((#REF!+#REF!)*#REF!,0))</f>
        <v>0</v>
      </c>
    </row>
    <row r="18" spans="1:15" ht="84" customHeight="1">
      <c r="A18" s="636"/>
      <c r="B18" s="856" t="s">
        <v>329</v>
      </c>
      <c r="C18" s="856"/>
      <c r="D18" s="857"/>
      <c r="E18" s="858"/>
      <c r="G18" s="101"/>
      <c r="I18" s="389" t="e">
        <f>#REF!/'Sch-1'!Y1</f>
        <v>#REF!</v>
      </c>
      <c r="K18" s="386">
        <f>'[6]Sch-1'!U3</f>
        <v>0</v>
      </c>
      <c r="M18" s="389" t="e">
        <f>I18</f>
        <v>#REF!</v>
      </c>
      <c r="O18" s="86">
        <f>'[6]Sch-1'!U5</f>
        <v>0</v>
      </c>
    </row>
    <row r="19" spans="1:15" ht="33" customHeight="1" thickBot="1">
      <c r="A19" s="637"/>
      <c r="B19" s="638" t="s">
        <v>332</v>
      </c>
      <c r="C19" s="639"/>
      <c r="D19" s="854">
        <f>D15+D17</f>
        <v>0</v>
      </c>
      <c r="E19" s="855"/>
    </row>
    <row r="20" spans="1:15" ht="30" customHeight="1">
      <c r="A20" s="102"/>
      <c r="B20" s="102"/>
      <c r="C20" s="103"/>
      <c r="D20" s="102"/>
      <c r="E20" s="102"/>
    </row>
    <row r="21" spans="1:15" ht="30" customHeight="1">
      <c r="A21" s="104" t="s">
        <v>143</v>
      </c>
      <c r="B21" s="642" t="str">
        <f>'Names of Bidder'!D27&amp;" "&amp;'Names of Bidder'!E27&amp;" "&amp;'Names of Bidder'!F27</f>
        <v xml:space="preserve">  </v>
      </c>
      <c r="C21" s="103" t="s">
        <v>144</v>
      </c>
      <c r="D21" s="852" t="str">
        <f>IF('Names of Bidder'!D24="","",'Names of Bidder'!D24)</f>
        <v/>
      </c>
      <c r="E21" s="853"/>
      <c r="F21" s="105"/>
    </row>
    <row r="22" spans="1:15" ht="30" customHeight="1">
      <c r="A22" s="104" t="s">
        <v>145</v>
      </c>
      <c r="B22" s="716" t="str">
        <f>IF('Names of Bidder'!D28="","",'Names of Bidder'!D28)</f>
        <v/>
      </c>
      <c r="C22" s="103" t="s">
        <v>146</v>
      </c>
      <c r="D22" s="852" t="str">
        <f>IF('Names of Bidder'!D25="","",'Names of Bidder'!D25)</f>
        <v/>
      </c>
      <c r="E22" s="853"/>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4PkhD1RWd+/LBVVoU9eIlx8a6UqNs0V/GBRpUceNklTGf+YKK1zgN0m8kS1y/FQPYQvfdjR8XoV9oWU1jUXXZg==" saltValue="7+sLhdwUbhiLKTeOaC8ozg==" spinCount="100000" sheet="1" formatColumns="0" formatRows="0" selectLockedCells="1"/>
  <dataConsolidate/>
  <customSheetViews>
    <customSheetView guid="{84F40905-A9D3-43A5-987A-8A757D486A94}" scale="80"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BDFA0401-0547-4E51-8BD2-84F711B066CA}" scale="80" showPageBreaks="1" printArea="1" hiddenColumns="1" view="pageBreakPreview" topLeftCell="A13">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12647D2-7580-431B-99B5-DD512E2AD50E}"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F8A50AE1-259E-429D-A506-38EB64D134EF}"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DEF6DCE2-4A74-4BE5-B5D5-8143DC3F770A}" showPageBreaks="1" printArea="1" hiddenColumns="1" view="pageBreakPreview">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F658ED72-5E54-4C5B-BB2C-7A2962080984}" showPageBreaks="1" printArea="1" hiddenColumns="1" view="pageBreakPreview">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BE68641D-0C1E-4F8D-890A-A660C199187C}" showPageBreaks="1" printArea="1" hiddenColumns="1" view="pageBreakPreview" topLeftCell="A10">
      <selection activeCell="D16" sqref="D16:E16"/>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AD0333DF-5B33-49B5-B063-72505D20EFE4}"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 guid="{C44C314C-9BEB-403F-A933-6B948E5C1171}" showPageBreaks="1" printArea="1" hiddenColumns="1" view="pageBreakPreview" topLeftCell="A7">
      <selection activeCell="D16" sqref="D16:E16"/>
      <pageMargins left="0.31" right="0.25" top="0.52" bottom="0.67" header="0.23" footer="0.24"/>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M14:O14"/>
    <mergeCell ref="B15:C15"/>
    <mergeCell ref="D15:E15"/>
    <mergeCell ref="B16:C16"/>
    <mergeCell ref="D16:E16"/>
    <mergeCell ref="I14:K14"/>
    <mergeCell ref="A3:E3"/>
    <mergeCell ref="A4:E4"/>
    <mergeCell ref="B14:C14"/>
    <mergeCell ref="D14:E14"/>
    <mergeCell ref="B17:C17"/>
    <mergeCell ref="D17:E17"/>
    <mergeCell ref="D22:E22"/>
    <mergeCell ref="D21:E21"/>
    <mergeCell ref="A6:B6"/>
    <mergeCell ref="A8:C8"/>
    <mergeCell ref="A7:C7"/>
    <mergeCell ref="D19:E19"/>
    <mergeCell ref="B18:C18"/>
    <mergeCell ref="D18:E18"/>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zoomScale="80" zoomScaleNormal="100" zoomScaleSheetLayoutView="80" workbookViewId="0">
      <selection activeCell="D18" sqref="D18:E18"/>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6" customWidth="1"/>
    <col min="10" max="10" width="14.42578125" style="386" customWidth="1"/>
    <col min="11" max="11" width="17.140625" style="386" customWidth="1"/>
    <col min="12" max="13" width="11.42578125" style="386" customWidth="1"/>
    <col min="14" max="14" width="21.28515625" style="386"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Spec. No. CC/NT/W-RT/DOM/A06/23/04299</v>
      </c>
      <c r="B1" s="82"/>
      <c r="C1" s="83"/>
      <c r="D1" s="83"/>
      <c r="E1" s="84" t="s">
        <v>128</v>
      </c>
    </row>
    <row r="2" spans="1:15" ht="8.1" customHeight="1">
      <c r="A2" s="87"/>
      <c r="B2" s="88"/>
      <c r="C2" s="89"/>
      <c r="D2" s="89"/>
      <c r="E2" s="90"/>
      <c r="F2" s="91"/>
    </row>
    <row r="3" spans="1:15" ht="83.25" customHeight="1">
      <c r="A3" s="859" t="str">
        <f>Cover!$B$2</f>
        <v>Reactor Package RT03 under Bulk Procurement of 765kV and 400kV Class Transformers and Reactors of various capacities- LOT-3 and SIS/Addl. Cap. -Re-Tender</v>
      </c>
      <c r="B3" s="859"/>
      <c r="C3" s="859"/>
      <c r="D3" s="859"/>
      <c r="E3" s="859"/>
    </row>
    <row r="4" spans="1:15" ht="21.95" customHeight="1">
      <c r="A4" s="860" t="s">
        <v>129</v>
      </c>
      <c r="B4" s="860"/>
      <c r="C4" s="860"/>
      <c r="D4" s="860"/>
      <c r="E4" s="860"/>
    </row>
    <row r="5" spans="1:15" ht="12" customHeight="1">
      <c r="A5" s="92"/>
      <c r="B5" s="93"/>
      <c r="C5" s="93"/>
      <c r="D5" s="93"/>
      <c r="E5" s="93"/>
    </row>
    <row r="6" spans="1:15" ht="20.25" customHeight="1">
      <c r="A6" s="816" t="s">
        <v>349</v>
      </c>
      <c r="B6" s="816"/>
      <c r="C6" s="4"/>
      <c r="D6" s="93"/>
      <c r="E6" s="93"/>
    </row>
    <row r="7" spans="1:15" ht="18" customHeight="1">
      <c r="A7" s="821" t="str">
        <f>'Sch-1'!A7</f>
        <v/>
      </c>
      <c r="B7" s="821"/>
      <c r="C7" s="821"/>
      <c r="D7" s="94" t="s">
        <v>1</v>
      </c>
    </row>
    <row r="8" spans="1:15" ht="18" customHeight="1">
      <c r="A8" s="817" t="str">
        <f>"Bidder’s Name and Address  (" &amp; MID('Names of Bidder'!B9,9, 20) &amp; ") :"</f>
        <v>Bidder’s Name and Address  (Sole Bidder) :</v>
      </c>
      <c r="B8" s="817"/>
      <c r="C8" s="817"/>
      <c r="D8" s="95" t="str">
        <f>'Sch-1'!K8</f>
        <v>Contract Services</v>
      </c>
    </row>
    <row r="9" spans="1:15" ht="18" customHeight="1">
      <c r="A9" s="459" t="s">
        <v>12</v>
      </c>
      <c r="B9" s="459" t="str">
        <f>IF('Names of Bidder'!D9=0, "", 'Names of Bidder'!D9)</f>
        <v/>
      </c>
      <c r="C9" s="112"/>
      <c r="D9" s="95" t="str">
        <f>'Sch-1'!K9</f>
        <v>Power Grid Corporation of India Ltd.,</v>
      </c>
    </row>
    <row r="10" spans="1:15" ht="18" customHeight="1">
      <c r="A10" s="459" t="s">
        <v>11</v>
      </c>
      <c r="B10" s="579" t="str">
        <f>IF('Names of Bidder'!D10=0, "", 'Names of Bidder'!D10)</f>
        <v/>
      </c>
      <c r="C10" s="112"/>
      <c r="D10" s="95" t="str">
        <f>'Sch-1'!K10</f>
        <v>"Saudamini", Plot No.-2</v>
      </c>
    </row>
    <row r="11" spans="1:15" ht="18" customHeight="1">
      <c r="A11" s="408"/>
      <c r="B11" s="579" t="str">
        <f>IF('Names of Bidder'!D11=0, "", 'Names of Bidder'!D11)</f>
        <v/>
      </c>
      <c r="C11" s="112"/>
      <c r="D11" s="95" t="str">
        <f>'Sch-1'!K11</f>
        <v xml:space="preserve">Sector-29, </v>
      </c>
    </row>
    <row r="12" spans="1:15" ht="18" customHeight="1">
      <c r="A12" s="408"/>
      <c r="B12" s="579" t="str">
        <f>IF('Names of Bidder'!D12=0, "", 'Names of Bidder'!D12)</f>
        <v/>
      </c>
      <c r="C12" s="112"/>
      <c r="D12" s="95" t="str">
        <f>'Sch-1'!K12</f>
        <v>Gurgaon (Haryana) - 122001</v>
      </c>
    </row>
    <row r="13" spans="1:15" ht="8.1" customHeight="1" thickBot="1"/>
    <row r="14" spans="1:15" ht="21.95" customHeight="1">
      <c r="A14" s="634" t="s">
        <v>130</v>
      </c>
      <c r="B14" s="861" t="s">
        <v>131</v>
      </c>
      <c r="C14" s="861"/>
      <c r="D14" s="862" t="s">
        <v>132</v>
      </c>
      <c r="E14" s="863"/>
      <c r="I14" s="870"/>
      <c r="J14" s="870"/>
      <c r="K14" s="870"/>
      <c r="M14" s="867"/>
      <c r="N14" s="867"/>
      <c r="O14" s="867"/>
    </row>
    <row r="15" spans="1:15" ht="24.75" customHeight="1">
      <c r="A15" s="635" t="s">
        <v>135</v>
      </c>
      <c r="B15" s="864" t="s">
        <v>326</v>
      </c>
      <c r="C15" s="864"/>
      <c r="D15" s="874">
        <f>'Sch-1'!S32</f>
        <v>0</v>
      </c>
      <c r="E15" s="875"/>
      <c r="I15" s="387"/>
      <c r="K15" s="387"/>
      <c r="M15" s="387"/>
      <c r="O15" s="97"/>
    </row>
    <row r="16" spans="1:15" ht="81" customHeight="1">
      <c r="A16" s="636"/>
      <c r="B16" s="856" t="s">
        <v>327</v>
      </c>
      <c r="C16" s="856"/>
      <c r="D16" s="876"/>
      <c r="E16" s="877"/>
      <c r="G16" s="98"/>
    </row>
    <row r="17" spans="1:15" ht="24.75" customHeight="1">
      <c r="A17" s="635" t="s">
        <v>137</v>
      </c>
      <c r="B17" s="864" t="s">
        <v>328</v>
      </c>
      <c r="C17" s="864"/>
      <c r="D17" s="865">
        <f>'Sch-3'!U33</f>
        <v>0</v>
      </c>
      <c r="E17" s="866"/>
      <c r="I17" s="387"/>
      <c r="K17" s="388"/>
      <c r="M17" s="387"/>
      <c r="O17" s="100"/>
    </row>
    <row r="18" spans="1:15" ht="81.75" customHeight="1">
      <c r="A18" s="636"/>
      <c r="B18" s="856" t="s">
        <v>329</v>
      </c>
      <c r="C18" s="856"/>
      <c r="D18" s="872"/>
      <c r="E18" s="873"/>
      <c r="G18" s="101"/>
      <c r="I18" s="389"/>
      <c r="M18" s="389"/>
    </row>
    <row r="19" spans="1:15" ht="33" customHeight="1" thickBot="1">
      <c r="A19" s="637"/>
      <c r="B19" s="638" t="s">
        <v>332</v>
      </c>
      <c r="C19" s="639"/>
      <c r="D19" s="854">
        <f>D15+D17</f>
        <v>0</v>
      </c>
      <c r="E19" s="855"/>
    </row>
    <row r="20" spans="1:15" ht="30" customHeight="1">
      <c r="A20" s="102"/>
      <c r="B20" s="102"/>
      <c r="C20" s="103"/>
      <c r="D20" s="102"/>
      <c r="E20" s="102"/>
    </row>
    <row r="21" spans="1:15" ht="30" customHeight="1">
      <c r="A21" s="104" t="s">
        <v>143</v>
      </c>
      <c r="B21" s="642" t="str">
        <f>'Sch-5'!B21</f>
        <v xml:space="preserve">  </v>
      </c>
      <c r="C21" s="103" t="s">
        <v>144</v>
      </c>
      <c r="D21" s="871" t="str">
        <f>'Sch-5'!D21</f>
        <v/>
      </c>
      <c r="E21" s="871"/>
      <c r="F21" s="105"/>
    </row>
    <row r="22" spans="1:15" ht="30" customHeight="1">
      <c r="A22" s="104" t="s">
        <v>145</v>
      </c>
      <c r="B22" s="643" t="str">
        <f>'Sch-5'!B22</f>
        <v/>
      </c>
      <c r="C22" s="103" t="s">
        <v>146</v>
      </c>
      <c r="D22" s="871" t="str">
        <f>'Sch-5'!D22</f>
        <v/>
      </c>
      <c r="E22" s="871"/>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formatColumns="0" formatRows="0" selectLockedCells="1"/>
  <dataConsolidate/>
  <customSheetViews>
    <customSheetView guid="{84F40905-A9D3-43A5-987A-8A757D486A94}" scale="80" showPageBreaks="1" printArea="1" state="hidden" view="pageBreakPreview">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BDFA0401-0547-4E51-8BD2-84F711B066CA}" scale="80" showPageBreaks="1" printArea="1" state="hidden" view="pageBreakPreview">
      <selection activeCell="D18" sqref="D18:E18"/>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112647D2-7580-431B-99B5-DD512E2AD50E}" showPageBreaks="1" printArea="1"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F8A50AE1-259E-429D-A506-38EB64D134EF}"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DEF6DCE2-4A74-4BE5-B5D5-8143DC3F770A}" showPageBreaks="1" printArea="1" view="pageBreakPreview">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F658ED72-5E54-4C5B-BB2C-7A2962080984}" showPageBreaks="1" printArea="1" view="pageBreakPreview">
      <selection activeCell="D18" sqref="D18:E18"/>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BE68641D-0C1E-4F8D-890A-A660C199187C}" showPageBreaks="1" printArea="1" view="pageBreakPreview" topLeftCell="A10">
      <selection activeCell="D18" sqref="D18:E18"/>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AD0333DF-5B33-49B5-B063-72505D20EFE4}" showPageBreaks="1" printArea="1" view="pageBreakPreview" topLeftCell="A7">
      <selection activeCell="D18" sqref="D18:E18"/>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 guid="{C44C314C-9BEB-403F-A933-6B948E5C1171}" showPageBreaks="1" printArea="1" view="pageBreakPreview">
      <selection activeCell="D18" sqref="D18:E18"/>
      <pageMargins left="0.31" right="0.25" top="0.52" bottom="0.67" header="0.23" footer="0.24"/>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I14:K14"/>
    <mergeCell ref="M14:O14"/>
    <mergeCell ref="B15:C15"/>
    <mergeCell ref="D15:E15"/>
    <mergeCell ref="D19:E19"/>
    <mergeCell ref="B16:C16"/>
    <mergeCell ref="D16:E16"/>
    <mergeCell ref="B17:C17"/>
    <mergeCell ref="D17:E17"/>
    <mergeCell ref="B18:C18"/>
    <mergeCell ref="A3:E3"/>
    <mergeCell ref="A4:E4"/>
    <mergeCell ref="B14:C14"/>
    <mergeCell ref="D14:E14"/>
    <mergeCell ref="D18:E18"/>
    <mergeCell ref="D22:E22"/>
    <mergeCell ref="D21:E21"/>
    <mergeCell ref="A6:B6"/>
    <mergeCell ref="A7:C7"/>
    <mergeCell ref="A8:C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4" zoomScale="80" zoomScaleNormal="100" zoomScaleSheetLayoutView="80" workbookViewId="0">
      <selection activeCell="A3" sqref="A3:D3"/>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CC/NT/W-RT/DOM/A06/23/04299</v>
      </c>
      <c r="B1" s="114"/>
      <c r="C1" s="115"/>
      <c r="D1" s="116" t="s">
        <v>147</v>
      </c>
    </row>
    <row r="2" spans="1:6" ht="18" customHeight="1">
      <c r="A2" s="117"/>
      <c r="B2" s="118"/>
      <c r="C2" s="119"/>
      <c r="D2" s="119"/>
    </row>
    <row r="3" spans="1:6" ht="90.75" customHeight="1">
      <c r="A3" s="859" t="str">
        <f>Cover!$B$2</f>
        <v>Reactor Package RT03 under Bulk Procurement of 765kV and 400kV Class Transformers and Reactors of various capacities- LOT-3 and SIS/Addl. Cap. -Re-Tender</v>
      </c>
      <c r="B3" s="859"/>
      <c r="C3" s="859"/>
      <c r="D3" s="859"/>
      <c r="E3" s="120"/>
      <c r="F3" s="120"/>
    </row>
    <row r="4" spans="1:6" ht="21.95" customHeight="1">
      <c r="A4" s="860" t="s">
        <v>148</v>
      </c>
      <c r="B4" s="860"/>
      <c r="C4" s="860"/>
      <c r="D4" s="860"/>
    </row>
    <row r="5" spans="1:6" ht="18" customHeight="1">
      <c r="A5" s="121"/>
    </row>
    <row r="6" spans="1:6" ht="18" customHeight="1">
      <c r="A6" s="816" t="s">
        <v>349</v>
      </c>
      <c r="B6" s="816"/>
      <c r="C6" s="4"/>
    </row>
    <row r="7" spans="1:6" ht="18" customHeight="1">
      <c r="A7" s="821" t="str">
        <f>'Sch-1'!A7</f>
        <v/>
      </c>
      <c r="B7" s="821"/>
      <c r="C7" s="821"/>
      <c r="D7" s="94" t="s">
        <v>1</v>
      </c>
    </row>
    <row r="8" spans="1:6" ht="21.75" customHeight="1">
      <c r="A8" s="817" t="str">
        <f>"Bidder’s Name and Address  (" &amp; MID('Names of Bidder'!B9,9, 20) &amp; ") :"</f>
        <v>Bidder’s Name and Address  (Sole Bidder) :</v>
      </c>
      <c r="B8" s="817"/>
      <c r="C8" s="817"/>
      <c r="D8" s="95" t="str">
        <f>'Sch-1'!K8</f>
        <v>Contract Services</v>
      </c>
    </row>
    <row r="9" spans="1:6" ht="18" customHeight="1">
      <c r="A9" s="459" t="s">
        <v>12</v>
      </c>
      <c r="B9" s="459" t="str">
        <f>IF('Names of Bidder'!D9=0, "", 'Names of Bidder'!D9)</f>
        <v/>
      </c>
      <c r="C9" s="112"/>
      <c r="D9" s="95" t="str">
        <f>'Sch-1'!K9</f>
        <v>Power Grid Corporation of India Ltd.,</v>
      </c>
    </row>
    <row r="10" spans="1:6" ht="18" customHeight="1">
      <c r="A10" s="459" t="s">
        <v>11</v>
      </c>
      <c r="B10" s="579" t="str">
        <f>IF('Names of Bidder'!D10=0, "", 'Names of Bidder'!D10)</f>
        <v/>
      </c>
      <c r="C10" s="112"/>
      <c r="D10" s="95" t="str">
        <f>'Sch-1'!K10</f>
        <v>"Saudamini", Plot No.-2</v>
      </c>
    </row>
    <row r="11" spans="1:6" ht="18" customHeight="1">
      <c r="A11" s="408"/>
      <c r="B11" s="579" t="str">
        <f>IF('Names of Bidder'!D11=0, "", 'Names of Bidder'!D11)</f>
        <v/>
      </c>
      <c r="C11" s="112"/>
      <c r="D11" s="95" t="str">
        <f>'Sch-1'!K11</f>
        <v xml:space="preserve">Sector-29, </v>
      </c>
    </row>
    <row r="12" spans="1:6" ht="18" customHeight="1">
      <c r="A12" s="408"/>
      <c r="B12" s="579"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885" t="s">
        <v>15</v>
      </c>
      <c r="C14" s="886"/>
      <c r="D14" s="624" t="s">
        <v>132</v>
      </c>
    </row>
    <row r="15" spans="1:6" ht="21.95" customHeight="1">
      <c r="A15" s="625" t="s">
        <v>135</v>
      </c>
      <c r="B15" s="882" t="s">
        <v>149</v>
      </c>
      <c r="C15" s="882"/>
      <c r="D15" s="626">
        <f>'Sch-1'!N32</f>
        <v>0</v>
      </c>
    </row>
    <row r="16" spans="1:6" ht="35.1" customHeight="1">
      <c r="A16" s="627"/>
      <c r="B16" s="883" t="s">
        <v>150</v>
      </c>
      <c r="C16" s="884"/>
      <c r="D16" s="628"/>
    </row>
    <row r="17" spans="1:6" ht="21.95" customHeight="1">
      <c r="A17" s="625" t="s">
        <v>137</v>
      </c>
      <c r="B17" s="882" t="s">
        <v>151</v>
      </c>
      <c r="C17" s="882"/>
      <c r="D17" s="626">
        <f>'Sch-2'!J32</f>
        <v>0</v>
      </c>
    </row>
    <row r="18" spans="1:6" ht="35.1" customHeight="1">
      <c r="A18" s="627"/>
      <c r="B18" s="883" t="s">
        <v>313</v>
      </c>
      <c r="C18" s="884"/>
      <c r="D18" s="628"/>
    </row>
    <row r="19" spans="1:6" ht="21.95" customHeight="1">
      <c r="A19" s="625" t="s">
        <v>139</v>
      </c>
      <c r="B19" s="882" t="s">
        <v>153</v>
      </c>
      <c r="C19" s="882"/>
      <c r="D19" s="626">
        <f>'Sch-3'!P33</f>
        <v>0</v>
      </c>
    </row>
    <row r="20" spans="1:6" ht="30" customHeight="1">
      <c r="A20" s="627"/>
      <c r="B20" s="883" t="s">
        <v>154</v>
      </c>
      <c r="C20" s="884"/>
      <c r="D20" s="628"/>
    </row>
    <row r="21" spans="1:6" ht="21.95" customHeight="1">
      <c r="A21" s="625" t="s">
        <v>140</v>
      </c>
      <c r="B21" s="882" t="s">
        <v>155</v>
      </c>
      <c r="C21" s="882"/>
      <c r="D21" s="629" t="s">
        <v>339</v>
      </c>
    </row>
    <row r="22" spans="1:6" ht="30" customHeight="1">
      <c r="A22" s="627"/>
      <c r="B22" s="883" t="s">
        <v>156</v>
      </c>
      <c r="C22" s="884"/>
      <c r="D22" s="628"/>
    </row>
    <row r="23" spans="1:6" ht="30" customHeight="1">
      <c r="A23" s="625">
        <v>5</v>
      </c>
      <c r="B23" s="882" t="s">
        <v>157</v>
      </c>
      <c r="C23" s="882"/>
      <c r="D23" s="626">
        <f>'Sch-5'!D19:E19</f>
        <v>0</v>
      </c>
    </row>
    <row r="24" spans="1:6" ht="23.25" customHeight="1">
      <c r="A24" s="627"/>
      <c r="B24" s="883" t="s">
        <v>158</v>
      </c>
      <c r="C24" s="884"/>
      <c r="D24" s="630"/>
    </row>
    <row r="25" spans="1:6" ht="21.95" customHeight="1">
      <c r="A25" s="625" t="s">
        <v>142</v>
      </c>
      <c r="B25" s="882" t="s">
        <v>159</v>
      </c>
      <c r="C25" s="882"/>
      <c r="D25" s="629" t="s">
        <v>339</v>
      </c>
    </row>
    <row r="26" spans="1:6" ht="35.1" customHeight="1">
      <c r="A26" s="627"/>
      <c r="B26" s="883" t="s">
        <v>160</v>
      </c>
      <c r="C26" s="884"/>
      <c r="D26" s="628"/>
    </row>
    <row r="27" spans="1:6" ht="18.75" customHeight="1">
      <c r="A27" s="878"/>
      <c r="B27" s="880" t="s">
        <v>347</v>
      </c>
      <c r="C27" s="880"/>
      <c r="D27" s="631"/>
    </row>
    <row r="28" spans="1:6" ht="18.75" customHeight="1" thickBot="1">
      <c r="A28" s="879"/>
      <c r="B28" s="881"/>
      <c r="C28" s="881"/>
      <c r="D28" s="632">
        <f>D15+D17+D19+D23</f>
        <v>0</v>
      </c>
    </row>
    <row r="29" spans="1:6" ht="18.75" customHeight="1">
      <c r="A29" s="132"/>
      <c r="B29" s="133"/>
      <c r="C29" s="133"/>
      <c r="D29" s="134"/>
    </row>
    <row r="30" spans="1:6" ht="27.95" customHeight="1">
      <c r="A30" s="132"/>
      <c r="B30" s="135"/>
      <c r="C30" s="135"/>
      <c r="D30" s="134"/>
    </row>
    <row r="31" spans="1:6" ht="27.95" customHeight="1">
      <c r="A31" s="136" t="s">
        <v>162</v>
      </c>
      <c r="B31" s="642" t="str">
        <f>'Sch-5 after discount'!B21</f>
        <v xml:space="preserve">  </v>
      </c>
      <c r="C31" s="135" t="s">
        <v>144</v>
      </c>
      <c r="D31" s="702" t="str">
        <f>'Sch-5 after discount'!D21</f>
        <v/>
      </c>
      <c r="F31" s="137"/>
    </row>
    <row r="32" spans="1:6" ht="27.95" customHeight="1">
      <c r="A32" s="136" t="s">
        <v>163</v>
      </c>
      <c r="B32" s="643" t="str">
        <f>'Sch-5 after discount'!B22</f>
        <v/>
      </c>
      <c r="C32" s="135" t="s">
        <v>146</v>
      </c>
      <c r="D32" s="702"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CUdG0vY+XmCLTquUkrwI/oZW8ZUo7DObvUi8OCOaaLs25kx9wxk78QyzWvEqM9Ym92oEdrwLbBlt7dnnrN960g==" saltValue="OF0xnY7V8IrqAFgneatpig==" spinCount="100000" sheet="1" formatColumns="0" formatRows="0" selectLockedCells="1"/>
  <customSheetViews>
    <customSheetView guid="{84F40905-A9D3-43A5-987A-8A757D486A94}" scale="80" showPageBreaks="1" printArea="1" view="pageBreakPreview" topLeftCell="A4">
      <selection activeCell="A3" sqref="A3:D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DFA0401-0547-4E51-8BD2-84F711B066CA}" scale="80" showPageBreaks="1" printArea="1" view="pageBreakPreview" topLeftCell="A16">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12647D2-7580-431B-99B5-DD512E2AD50E}" showPageBreaks="1" printArea="1" view="pageBreakPreview">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view="pageBreakPreview" topLeftCell="A13">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view="pageBreakPreview" topLeftCell="A13">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view="pageBreakPreview" topLeftCell="A16">
      <selection activeCell="A3" sqref="A3:D3"/>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view="pageBreakPreview" topLeftCell="A16">
      <selection activeCell="A3" sqref="A3:D3"/>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view="pageBreakPreview" topLeftCell="A10">
      <selection activeCell="A3" sqref="A3:D3"/>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C44C314C-9BEB-403F-A933-6B948E5C1171}" showPageBreaks="1" printArea="1" view="pageBreakPreview">
      <selection activeCell="A3" sqref="A3:D3"/>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3:D3"/>
    <mergeCell ref="A4:D4"/>
    <mergeCell ref="A7:C7"/>
    <mergeCell ref="A6:B6"/>
    <mergeCell ref="A8:C8"/>
    <mergeCell ref="B14:C14"/>
    <mergeCell ref="B15:C15"/>
    <mergeCell ref="B25:C25"/>
    <mergeCell ref="B23:C23"/>
    <mergeCell ref="B24:C24"/>
    <mergeCell ref="B16:C16"/>
    <mergeCell ref="B17:C17"/>
    <mergeCell ref="B18:C18"/>
    <mergeCell ref="B22:C22"/>
    <mergeCell ref="A27:A28"/>
    <mergeCell ref="B27:C28"/>
    <mergeCell ref="B19:C19"/>
    <mergeCell ref="B20:C20"/>
    <mergeCell ref="B21:C21"/>
    <mergeCell ref="B26:C26"/>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Spec. No. CC/NT/W-RT/DOM/A06/23/04299</v>
      </c>
      <c r="B1" s="114"/>
      <c r="C1" s="115"/>
      <c r="D1" s="116" t="s">
        <v>164</v>
      </c>
    </row>
    <row r="2" spans="1:6" ht="18" customHeight="1">
      <c r="A2" s="117"/>
      <c r="B2" s="118"/>
      <c r="C2" s="119"/>
      <c r="D2" s="119"/>
    </row>
    <row r="3" spans="1:6" ht="73.5" customHeight="1">
      <c r="A3" s="888" t="str">
        <f>Cover!$B$2</f>
        <v>Reactor Package RT03 under Bulk Procurement of 765kV and 400kV Class Transformers and Reactors of various capacities- LOT-3 and SIS/Addl. Cap. -Re-Tender</v>
      </c>
      <c r="B3" s="888"/>
      <c r="C3" s="888"/>
      <c r="D3" s="888"/>
      <c r="E3" s="120"/>
      <c r="F3" s="120"/>
    </row>
    <row r="4" spans="1:6" ht="21.95" customHeight="1">
      <c r="A4" s="860" t="s">
        <v>148</v>
      </c>
      <c r="B4" s="860"/>
      <c r="C4" s="860"/>
      <c r="D4" s="860"/>
    </row>
    <row r="5" spans="1:6" ht="18" customHeight="1">
      <c r="A5" s="121"/>
    </row>
    <row r="6" spans="1:6" ht="18" customHeight="1">
      <c r="A6" s="25" t="e">
        <f>'Sch-1'!#REF!</f>
        <v>#REF!</v>
      </c>
      <c r="D6" s="94" t="s">
        <v>1</v>
      </c>
    </row>
    <row r="7" spans="1:6" ht="36" customHeight="1">
      <c r="A7" s="889" t="str">
        <f>'Sch-1'!A8</f>
        <v>Bidder’s Name and Address  (Sole Bidder) :</v>
      </c>
      <c r="B7" s="889"/>
      <c r="C7" s="889"/>
      <c r="D7" s="95" t="str">
        <f>'Sch-1'!K8</f>
        <v>Contract Services</v>
      </c>
    </row>
    <row r="8" spans="1:6" ht="18" customHeight="1">
      <c r="A8" s="29" t="s">
        <v>31</v>
      </c>
      <c r="B8" s="887" t="str">
        <f>IF('Sch-1'!C9=0, "", 'Sch-1'!C9)</f>
        <v/>
      </c>
      <c r="C8" s="887"/>
      <c r="D8" s="95" t="str">
        <f>'Sch-1'!K9</f>
        <v>Power Grid Corporation of India Ltd.,</v>
      </c>
    </row>
    <row r="9" spans="1:6" ht="18" customHeight="1">
      <c r="A9" s="29" t="s">
        <v>32</v>
      </c>
      <c r="B9" s="887" t="str">
        <f>IF('Sch-1'!C10=0, "", 'Sch-1'!C10)</f>
        <v/>
      </c>
      <c r="C9" s="887"/>
      <c r="D9" s="95" t="str">
        <f>'Sch-1'!K10</f>
        <v>"Saudamini", Plot No.-2</v>
      </c>
    </row>
    <row r="10" spans="1:6" ht="18" customHeight="1">
      <c r="A10" s="30"/>
      <c r="B10" s="887" t="str">
        <f>IF('Sch-1'!C11=0, "", 'Sch-1'!C11)</f>
        <v/>
      </c>
      <c r="C10" s="887"/>
      <c r="D10" s="95" t="str">
        <f>'Sch-1'!K11</f>
        <v xml:space="preserve">Sector-29, </v>
      </c>
    </row>
    <row r="11" spans="1:6" ht="18" customHeight="1">
      <c r="A11" s="30"/>
      <c r="B11" s="887" t="str">
        <f>IF('Sch-1'!C12=0, "", 'Sch-1'!C12)</f>
        <v/>
      </c>
      <c r="C11" s="887"/>
      <c r="D11" s="95" t="str">
        <f>'Sch-1'!K12</f>
        <v>Gurgaon (Haryana) - 122001</v>
      </c>
    </row>
    <row r="12" spans="1:6" ht="18" customHeight="1">
      <c r="A12" s="122"/>
      <c r="B12" s="122"/>
      <c r="C12" s="122"/>
      <c r="D12" s="123"/>
    </row>
    <row r="13" spans="1:6" ht="21.95" customHeight="1">
      <c r="A13" s="124" t="s">
        <v>130</v>
      </c>
      <c r="B13" s="892" t="s">
        <v>15</v>
      </c>
      <c r="C13" s="893"/>
      <c r="D13" s="125" t="s">
        <v>132</v>
      </c>
    </row>
    <row r="14" spans="1:6" ht="21.95" customHeight="1">
      <c r="A14" s="96" t="s">
        <v>135</v>
      </c>
      <c r="B14" s="882" t="s">
        <v>149</v>
      </c>
      <c r="C14" s="882"/>
      <c r="D14" s="126"/>
    </row>
    <row r="15" spans="1:6" ht="35.1" customHeight="1">
      <c r="A15" s="127"/>
      <c r="B15" s="883" t="s">
        <v>150</v>
      </c>
      <c r="C15" s="884"/>
      <c r="D15" s="128"/>
    </row>
    <row r="16" spans="1:6" ht="21.95" customHeight="1">
      <c r="A16" s="96" t="s">
        <v>137</v>
      </c>
      <c r="B16" s="882" t="s">
        <v>151</v>
      </c>
      <c r="C16" s="882"/>
      <c r="D16" s="126"/>
    </row>
    <row r="17" spans="1:6" ht="35.1" customHeight="1">
      <c r="A17" s="127"/>
      <c r="B17" s="883" t="s">
        <v>152</v>
      </c>
      <c r="C17" s="884"/>
      <c r="D17" s="128"/>
    </row>
    <row r="18" spans="1:6" ht="21.95" customHeight="1">
      <c r="A18" s="96" t="s">
        <v>139</v>
      </c>
      <c r="B18" s="882" t="s">
        <v>153</v>
      </c>
      <c r="C18" s="882"/>
      <c r="D18" s="126"/>
    </row>
    <row r="19" spans="1:6" ht="30" customHeight="1">
      <c r="A19" s="127"/>
      <c r="B19" s="883" t="s">
        <v>154</v>
      </c>
      <c r="C19" s="884"/>
      <c r="D19" s="128"/>
    </row>
    <row r="20" spans="1:6" ht="21.95" customHeight="1">
      <c r="A20" s="96" t="s">
        <v>140</v>
      </c>
      <c r="B20" s="882" t="s">
        <v>155</v>
      </c>
      <c r="C20" s="882"/>
      <c r="D20" s="129"/>
    </row>
    <row r="21" spans="1:6" ht="30" customHeight="1">
      <c r="A21" s="127"/>
      <c r="B21" s="883" t="s">
        <v>156</v>
      </c>
      <c r="C21" s="884"/>
      <c r="D21" s="128"/>
    </row>
    <row r="22" spans="1:6" ht="30" customHeight="1">
      <c r="A22" s="96">
        <v>5</v>
      </c>
      <c r="B22" s="882" t="s">
        <v>157</v>
      </c>
      <c r="C22" s="882"/>
      <c r="D22" s="126"/>
    </row>
    <row r="23" spans="1:6" ht="33" customHeight="1">
      <c r="A23" s="127"/>
      <c r="B23" s="883" t="s">
        <v>158</v>
      </c>
      <c r="C23" s="884"/>
      <c r="D23" s="143"/>
    </row>
    <row r="24" spans="1:6" ht="21.95" customHeight="1">
      <c r="A24" s="96" t="s">
        <v>142</v>
      </c>
      <c r="B24" s="882" t="s">
        <v>159</v>
      </c>
      <c r="C24" s="882"/>
      <c r="D24" s="129"/>
    </row>
    <row r="25" spans="1:6" ht="35.1" customHeight="1">
      <c r="A25" s="127"/>
      <c r="B25" s="883" t="s">
        <v>160</v>
      </c>
      <c r="C25" s="884"/>
      <c r="D25" s="128"/>
    </row>
    <row r="26" spans="1:6" ht="24" customHeight="1">
      <c r="A26" s="890"/>
      <c r="B26" s="891" t="s">
        <v>161</v>
      </c>
      <c r="C26" s="891"/>
      <c r="D26" s="130"/>
    </row>
    <row r="27" spans="1:6" ht="25.5" customHeight="1">
      <c r="A27" s="890"/>
      <c r="B27" s="891"/>
      <c r="C27" s="891"/>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84F40905-A9D3-43A5-987A-8A757D486A9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DFA0401-0547-4E51-8BD2-84F711B066C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12647D2-7580-431B-99B5-DD512E2AD50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F8A50AE1-259E-429D-A506-38EB64D134E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DEF6DCE2-4A74-4BE5-B5D5-8143DC3F770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F658ED72-5E54-4C5B-BB2C-7A29620809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BE68641D-0C1E-4F8D-890A-A660C199187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AD0333DF-5B33-49B5-B063-72505D20EFE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 guid="{C44C314C-9BEB-403F-A933-6B948E5C117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3:C13"/>
    <mergeCell ref="B14:C14"/>
    <mergeCell ref="B24:C24"/>
    <mergeCell ref="B25:C25"/>
    <mergeCell ref="B15:C15"/>
    <mergeCell ref="B16:C16"/>
    <mergeCell ref="B17:C17"/>
    <mergeCell ref="A26:A27"/>
    <mergeCell ref="B26:C27"/>
    <mergeCell ref="B18:C18"/>
    <mergeCell ref="B19:C19"/>
    <mergeCell ref="B20:C20"/>
    <mergeCell ref="B21:C21"/>
    <mergeCell ref="B22:C22"/>
    <mergeCell ref="B23:C23"/>
    <mergeCell ref="B11:C11"/>
    <mergeCell ref="A3:D3"/>
    <mergeCell ref="A4:D4"/>
    <mergeCell ref="A7:C7"/>
    <mergeCell ref="B8:C8"/>
    <mergeCell ref="B9:C9"/>
    <mergeCell ref="B10:C10"/>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70" zoomScaleNormal="100" zoomScaleSheetLayoutView="70" workbookViewId="0">
      <selection activeCell="E1" sqref="E1:F6553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Spec. No. CC/NT/W-RT/DOM/A06/23/04299</v>
      </c>
      <c r="B1" s="114"/>
      <c r="C1" s="115"/>
      <c r="D1" s="116" t="s">
        <v>147</v>
      </c>
    </row>
    <row r="2" spans="1:6" ht="18" customHeight="1">
      <c r="A2" s="117"/>
      <c r="B2" s="118"/>
      <c r="C2" s="119"/>
      <c r="D2" s="119"/>
    </row>
    <row r="3" spans="1:6" ht="97.5" customHeight="1">
      <c r="A3" s="859" t="str">
        <f>Cover!$B$2</f>
        <v>Reactor Package RT03 under Bulk Procurement of 765kV and 400kV Class Transformers and Reactors of various capacities- LOT-3 and SIS/Addl. Cap. -Re-Tender</v>
      </c>
      <c r="B3" s="859"/>
      <c r="C3" s="859"/>
      <c r="D3" s="859"/>
      <c r="E3" s="120"/>
      <c r="F3" s="120"/>
    </row>
    <row r="4" spans="1:6" ht="21.95" customHeight="1">
      <c r="A4" s="860" t="s">
        <v>148</v>
      </c>
      <c r="B4" s="860"/>
      <c r="C4" s="860"/>
      <c r="D4" s="860"/>
    </row>
    <row r="5" spans="1:6" ht="18" customHeight="1">
      <c r="A5" s="121"/>
    </row>
    <row r="6" spans="1:6" ht="18" customHeight="1">
      <c r="A6" s="816" t="s">
        <v>349</v>
      </c>
      <c r="B6" s="816"/>
      <c r="C6" s="4"/>
    </row>
    <row r="7" spans="1:6" ht="18" customHeight="1">
      <c r="A7" s="821" t="str">
        <f>'Sch-1'!A7</f>
        <v/>
      </c>
      <c r="B7" s="821"/>
      <c r="C7" s="821"/>
      <c r="D7" s="94" t="s">
        <v>1</v>
      </c>
    </row>
    <row r="8" spans="1:6" ht="22.5" customHeight="1">
      <c r="A8" s="817" t="str">
        <f>"Bidder’s Name and Address  (" &amp; MID('Names of Bidder'!B9,9, 20) &amp; ") :"</f>
        <v>Bidder’s Name and Address  (Sole Bidder) :</v>
      </c>
      <c r="B8" s="817"/>
      <c r="C8" s="817"/>
      <c r="D8" s="95" t="str">
        <f>'Sch-1'!K8</f>
        <v>Contract Services</v>
      </c>
    </row>
    <row r="9" spans="1:6" ht="18" customHeight="1">
      <c r="A9" s="459" t="s">
        <v>12</v>
      </c>
      <c r="B9" s="459" t="str">
        <f>IF('Names of Bidder'!D9=0, "", 'Names of Bidder'!D9)</f>
        <v/>
      </c>
      <c r="C9" s="112"/>
      <c r="D9" s="95" t="str">
        <f>'Sch-1'!K9</f>
        <v>Power Grid Corporation of India Ltd.,</v>
      </c>
    </row>
    <row r="10" spans="1:6" ht="18" customHeight="1">
      <c r="A10" s="459" t="s">
        <v>11</v>
      </c>
      <c r="B10" s="579" t="str">
        <f>IF('Names of Bidder'!D10=0, "", 'Names of Bidder'!D10)</f>
        <v/>
      </c>
      <c r="C10" s="112"/>
      <c r="D10" s="95" t="str">
        <f>'Sch-1'!K10</f>
        <v>"Saudamini", Plot No.-2</v>
      </c>
    </row>
    <row r="11" spans="1:6" ht="18" customHeight="1">
      <c r="A11" s="408"/>
      <c r="B11" s="579" t="str">
        <f>IF('Names of Bidder'!D11=0, "", 'Names of Bidder'!D11)</f>
        <v/>
      </c>
      <c r="C11" s="112"/>
      <c r="D11" s="95" t="str">
        <f>'Sch-1'!K11</f>
        <v xml:space="preserve">Sector-29, </v>
      </c>
    </row>
    <row r="12" spans="1:6" ht="18" customHeight="1">
      <c r="A12" s="408"/>
      <c r="B12" s="579"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885" t="s">
        <v>15</v>
      </c>
      <c r="C14" s="886"/>
      <c r="D14" s="624" t="s">
        <v>132</v>
      </c>
      <c r="E14" s="595" t="s">
        <v>360</v>
      </c>
      <c r="F14" s="596" t="s">
        <v>359</v>
      </c>
    </row>
    <row r="15" spans="1:6" ht="21.95" customHeight="1">
      <c r="A15" s="625" t="s">
        <v>135</v>
      </c>
      <c r="B15" s="882" t="s">
        <v>149</v>
      </c>
      <c r="C15" s="882"/>
      <c r="D15" s="626">
        <f>E15*F15</f>
        <v>0</v>
      </c>
      <c r="E15" s="597">
        <f>'Sch-6'!D15</f>
        <v>0</v>
      </c>
      <c r="F15" s="619">
        <f>IF(Discount!H36&lt;0,0,Discount!H36)</f>
        <v>0</v>
      </c>
    </row>
    <row r="16" spans="1:6" ht="35.1" customHeight="1">
      <c r="A16" s="627"/>
      <c r="B16" s="883" t="s">
        <v>150</v>
      </c>
      <c r="C16" s="884"/>
      <c r="D16" s="628"/>
      <c r="E16" s="599"/>
      <c r="F16" s="619"/>
    </row>
    <row r="17" spans="1:6" ht="21.95" customHeight="1">
      <c r="A17" s="625" t="s">
        <v>137</v>
      </c>
      <c r="B17" s="882" t="s">
        <v>151</v>
      </c>
      <c r="C17" s="882"/>
      <c r="D17" s="626">
        <f>E17*F17</f>
        <v>0</v>
      </c>
      <c r="E17" s="597">
        <f>'Sch-6'!D17</f>
        <v>0</v>
      </c>
      <c r="F17" s="619">
        <f>IF(Discount!I36&lt;0,0,Discount!I36)</f>
        <v>0</v>
      </c>
    </row>
    <row r="18" spans="1:6" ht="35.1" customHeight="1">
      <c r="A18" s="627"/>
      <c r="B18" s="883" t="s">
        <v>313</v>
      </c>
      <c r="C18" s="884"/>
      <c r="D18" s="628"/>
      <c r="E18" s="599"/>
      <c r="F18" s="619"/>
    </row>
    <row r="19" spans="1:6" ht="21.95" customHeight="1">
      <c r="A19" s="625" t="s">
        <v>139</v>
      </c>
      <c r="B19" s="882" t="s">
        <v>153</v>
      </c>
      <c r="C19" s="882"/>
      <c r="D19" s="626">
        <f>E19*F19</f>
        <v>0</v>
      </c>
      <c r="E19" s="597">
        <f>'Sch-6'!D19</f>
        <v>0</v>
      </c>
      <c r="F19" s="619">
        <f>IF(Discount!J36&lt;0,0,Discount!J36)</f>
        <v>0</v>
      </c>
    </row>
    <row r="20" spans="1:6" ht="30" customHeight="1">
      <c r="A20" s="627"/>
      <c r="B20" s="883" t="s">
        <v>154</v>
      </c>
      <c r="C20" s="884"/>
      <c r="D20" s="628"/>
      <c r="E20" s="599"/>
      <c r="F20" s="598"/>
    </row>
    <row r="21" spans="1:6" ht="21.95" customHeight="1">
      <c r="A21" s="625" t="s">
        <v>140</v>
      </c>
      <c r="B21" s="882" t="s">
        <v>155</v>
      </c>
      <c r="C21" s="882"/>
      <c r="D21" s="629" t="s">
        <v>339</v>
      </c>
      <c r="E21" s="599"/>
      <c r="F21" s="598"/>
    </row>
    <row r="22" spans="1:6" ht="30" customHeight="1">
      <c r="A22" s="627"/>
      <c r="B22" s="883" t="s">
        <v>156</v>
      </c>
      <c r="C22" s="884"/>
      <c r="D22" s="628"/>
      <c r="E22" s="599"/>
      <c r="F22" s="598"/>
    </row>
    <row r="23" spans="1:6" ht="30" customHeight="1">
      <c r="A23" s="625">
        <v>5</v>
      </c>
      <c r="B23" s="882" t="s">
        <v>157</v>
      </c>
      <c r="C23" s="882"/>
      <c r="D23" s="626">
        <f>IF('Sch-5 after discount'!D19&lt;0,0,'Sch-5 after discount'!D19)</f>
        <v>0</v>
      </c>
      <c r="E23" s="599"/>
      <c r="F23" s="598"/>
    </row>
    <row r="24" spans="1:6" ht="25.5" customHeight="1">
      <c r="A24" s="627"/>
      <c r="B24" s="883" t="s">
        <v>158</v>
      </c>
      <c r="C24" s="884"/>
      <c r="D24" s="630"/>
      <c r="E24" s="599"/>
      <c r="F24" s="598"/>
    </row>
    <row r="25" spans="1:6" ht="21.95" customHeight="1">
      <c r="A25" s="625" t="s">
        <v>142</v>
      </c>
      <c r="B25" s="882" t="s">
        <v>159</v>
      </c>
      <c r="C25" s="882"/>
      <c r="D25" s="629" t="s">
        <v>339</v>
      </c>
      <c r="E25" s="599"/>
      <c r="F25" s="598"/>
    </row>
    <row r="26" spans="1:6" ht="35.1" customHeight="1">
      <c r="A26" s="627"/>
      <c r="B26" s="883" t="s">
        <v>160</v>
      </c>
      <c r="C26" s="884"/>
      <c r="D26" s="628"/>
      <c r="E26" s="599"/>
      <c r="F26" s="598"/>
    </row>
    <row r="27" spans="1:6" ht="18.75" customHeight="1">
      <c r="A27" s="878"/>
      <c r="B27" s="880" t="s">
        <v>347</v>
      </c>
      <c r="C27" s="880"/>
      <c r="D27" s="633"/>
      <c r="E27" s="599"/>
      <c r="F27" s="598"/>
    </row>
    <row r="28" spans="1:6" ht="18.75" customHeight="1" thickBot="1">
      <c r="A28" s="879"/>
      <c r="B28" s="881"/>
      <c r="C28" s="881"/>
      <c r="D28" s="632">
        <f>SUM(D15:D26)</f>
        <v>0</v>
      </c>
      <c r="E28" s="600"/>
      <c r="F28" s="601"/>
    </row>
    <row r="29" spans="1:6" ht="18.75" customHeight="1">
      <c r="A29" s="132"/>
      <c r="B29" s="133"/>
      <c r="C29" s="133"/>
      <c r="D29" s="134"/>
    </row>
    <row r="30" spans="1:6" ht="27.95" customHeight="1">
      <c r="A30" s="132"/>
      <c r="B30" s="135"/>
      <c r="C30" s="135"/>
      <c r="D30" s="134"/>
    </row>
    <row r="31" spans="1:6" ht="27.95" customHeight="1">
      <c r="A31" s="136" t="s">
        <v>162</v>
      </c>
      <c r="B31" s="642" t="str">
        <f>'Sch-6'!B31</f>
        <v xml:space="preserve">  </v>
      </c>
      <c r="C31" s="135" t="s">
        <v>144</v>
      </c>
      <c r="D31" s="703" t="str">
        <f>'Sch-6'!D31</f>
        <v/>
      </c>
      <c r="F31" s="137"/>
    </row>
    <row r="32" spans="1:6" ht="27.95" customHeight="1">
      <c r="A32" s="136" t="s">
        <v>163</v>
      </c>
      <c r="B32" s="643" t="str">
        <f>'Sch-6'!B32</f>
        <v/>
      </c>
      <c r="C32" s="135" t="s">
        <v>146</v>
      </c>
      <c r="D32" s="703"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xpmC+PgIF5xB/lG2C+L1bsqYu4P562s0P0nlS6qeIOY79xPSLdg5isfTONioqhcRwamWgo1a+rX0Noq4hh6SQg==" saltValue="jIRZPZS8nG2XAl2WqmkwMw==" spinCount="100000" sheet="1" formatColumns="0" formatRows="0" selectLockedCells="1"/>
  <customSheetViews>
    <customSheetView guid="{84F40905-A9D3-43A5-987A-8A757D486A94}" scale="70"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BDFA0401-0547-4E51-8BD2-84F711B066CA}" scale="70" showPageBreaks="1" printArea="1" hiddenColumns="1" view="pageBreakPreview" topLeftCell="A10">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112647D2-7580-431B-99B5-DD512E2AD50E}"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F8A50AE1-259E-429D-A506-38EB64D134EF}"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DEF6DCE2-4A74-4BE5-B5D5-8143DC3F770A}" showPageBreaks="1" printArea="1" hiddenColumns="1" view="pageBreakPreview" topLeftCell="A8">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F658ED72-5E54-4C5B-BB2C-7A2962080984}" showPageBreaks="1" printArea="1" hiddenColumns="1" view="pageBreakPreview" topLeftCell="A23">
      <selection activeCell="E1" sqref="E1:F6553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E68641D-0C1E-4F8D-890A-A660C199187C}" showPageBreaks="1" printArea="1" hiddenColumns="1" view="pageBreakPreview" topLeftCell="A17">
      <selection activeCell="E1" sqref="E1:F6553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AD0333DF-5B33-49B5-B063-72505D20EFE4}" showPageBreaks="1" printArea="1" hiddenColumns="1" view="pageBreakPreview" topLeftCell="A11">
      <selection activeCell="E1" sqref="E1:F6553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 guid="{C44C314C-9BEB-403F-A933-6B948E5C1171}"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25:C25"/>
    <mergeCell ref="B26:C26"/>
    <mergeCell ref="A27:A28"/>
    <mergeCell ref="B27:C28"/>
    <mergeCell ref="B19:C19"/>
    <mergeCell ref="B20:C20"/>
    <mergeCell ref="B21:C21"/>
    <mergeCell ref="B22:C22"/>
    <mergeCell ref="B23:C23"/>
    <mergeCell ref="B24:C24"/>
    <mergeCell ref="B18:C18"/>
    <mergeCell ref="A3:D3"/>
    <mergeCell ref="A4:D4"/>
    <mergeCell ref="A8:C8"/>
    <mergeCell ref="B14:C14"/>
    <mergeCell ref="B15:C15"/>
    <mergeCell ref="B16:C16"/>
    <mergeCell ref="B17:C17"/>
    <mergeCell ref="A6:B6"/>
    <mergeCell ref="A7:C7"/>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zoomScale="70" zoomScaleNormal="100" zoomScaleSheetLayoutView="70" workbookViewId="0">
      <selection activeCell="A16" sqref="A16"/>
    </sheetView>
  </sheetViews>
  <sheetFormatPr defaultColWidth="8.7109375" defaultRowHeight="16.5"/>
  <cols>
    <col min="1" max="1" width="6.5703125" style="298" customWidth="1"/>
    <col min="2" max="2" width="11.42578125" style="298" customWidth="1"/>
    <col min="3" max="3" width="15" style="298" customWidth="1"/>
    <col min="4" max="4" width="10.28515625" style="298" customWidth="1"/>
    <col min="5" max="8" width="15.140625" style="298" customWidth="1"/>
    <col min="9" max="9" width="22.85546875" style="403" customWidth="1"/>
    <col min="10" max="10" width="8.7109375" style="268" customWidth="1"/>
    <col min="11" max="11" width="10.28515625" style="268" customWidth="1"/>
    <col min="12" max="12" width="13.5703125" style="268" customWidth="1"/>
    <col min="13" max="13" width="14.28515625" style="268" customWidth="1"/>
    <col min="14" max="26" width="9.140625" style="303" customWidth="1"/>
    <col min="27" max="27" width="0" style="303" hidden="1" customWidth="1"/>
    <col min="28" max="28" width="15.85546875" style="303" hidden="1" customWidth="1"/>
    <col min="29" max="29" width="15.5703125" style="303" hidden="1" customWidth="1"/>
    <col min="30" max="30" width="24.42578125" style="303" hidden="1" customWidth="1"/>
    <col min="31" max="31" width="13.7109375" style="303" hidden="1" customWidth="1"/>
    <col min="32" max="33" width="0" style="303" hidden="1" customWidth="1"/>
    <col min="34" max="100" width="9.140625" style="303" customWidth="1"/>
    <col min="101" max="253" width="9.140625" style="265" customWidth="1"/>
    <col min="254" max="254" width="13" style="265" customWidth="1"/>
    <col min="255" max="255" width="35.85546875" style="265" customWidth="1"/>
    <col min="256" max="16384" width="8.7109375" style="265"/>
  </cols>
  <sheetData>
    <row r="1" spans="1:100" s="303" customFormat="1" ht="18" customHeight="1">
      <c r="A1" s="299" t="str">
        <f>Cover!B3</f>
        <v>Spec. No. CC/NT/W-RT/DOM/A06/23/04299</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79.5" customHeight="1">
      <c r="A3" s="894" t="str">
        <f>Cover!$B$2</f>
        <v>Reactor Package RT03 under Bulk Procurement of 765kV and 400kV Class Transformers and Reactors of various capacities- LOT-3 and SIS/Addl. Cap. -Re-Tender</v>
      </c>
      <c r="B3" s="894"/>
      <c r="C3" s="894"/>
      <c r="D3" s="894"/>
      <c r="E3" s="894"/>
      <c r="F3" s="894"/>
      <c r="G3" s="894"/>
      <c r="H3" s="894"/>
      <c r="I3" s="894"/>
      <c r="J3" s="894"/>
      <c r="K3" s="894"/>
      <c r="L3" s="894"/>
      <c r="M3" s="894"/>
      <c r="AA3" s="303" t="s">
        <v>18</v>
      </c>
      <c r="AC3" s="303">
        <f>IF(ISERROR(#REF!/('[6]Sch-6'!D14+'[6]Sch-6'!D16+'[6]Sch-6'!D18)),0,#REF!/( '[6]Sch-6'!D14+'[6]Sch-6'!D16+'[6]Sch-6'!D18))</f>
        <v>0</v>
      </c>
    </row>
    <row r="4" spans="1:100" s="303" customFormat="1" ht="21.95" customHeight="1">
      <c r="A4" s="895" t="s">
        <v>19</v>
      </c>
      <c r="B4" s="895"/>
      <c r="C4" s="895"/>
      <c r="D4" s="895"/>
      <c r="E4" s="895"/>
      <c r="F4" s="895"/>
      <c r="G4" s="895"/>
      <c r="H4" s="895"/>
      <c r="I4" s="895"/>
      <c r="J4" s="895"/>
      <c r="K4" s="895"/>
      <c r="L4" s="895"/>
      <c r="M4" s="895"/>
      <c r="AA4" s="303" t="s">
        <v>20</v>
      </c>
      <c r="AC4" s="303" t="e">
        <f>#REF!</f>
        <v>#REF!</v>
      </c>
    </row>
    <row r="5" spans="1:100" s="303" customFormat="1" ht="27.95" customHeight="1">
      <c r="A5" s="308"/>
      <c r="B5" s="308"/>
      <c r="C5" s="308"/>
      <c r="D5" s="308"/>
      <c r="E5" s="463"/>
      <c r="F5" s="463"/>
      <c r="G5" s="463"/>
      <c r="H5" s="463"/>
      <c r="I5" s="396"/>
      <c r="K5" s="307"/>
      <c r="L5" s="306"/>
      <c r="M5" s="463"/>
    </row>
    <row r="6" spans="1:100" s="303" customFormat="1" ht="27.95" customHeight="1">
      <c r="A6" s="582"/>
      <c r="B6" s="816" t="s">
        <v>349</v>
      </c>
      <c r="C6" s="816"/>
      <c r="D6" s="4"/>
      <c r="E6" s="463"/>
      <c r="F6" s="463"/>
      <c r="G6" s="463"/>
      <c r="H6" s="463"/>
      <c r="I6" s="396"/>
      <c r="K6" s="307"/>
      <c r="L6" s="306"/>
      <c r="M6" s="463"/>
    </row>
    <row r="7" spans="1:100" s="303" customFormat="1" ht="27.95" customHeight="1">
      <c r="A7" s="578"/>
      <c r="B7" s="821" t="str">
        <f>'Sch-1'!A7</f>
        <v/>
      </c>
      <c r="C7" s="821"/>
      <c r="D7" s="821"/>
      <c r="E7" s="821"/>
      <c r="F7" s="821"/>
      <c r="G7" s="821"/>
      <c r="H7" s="821"/>
      <c r="I7" s="396"/>
      <c r="K7" s="307"/>
      <c r="L7" s="306"/>
      <c r="M7" s="463"/>
    </row>
    <row r="8" spans="1:100" s="518" customFormat="1" ht="16.5" customHeight="1">
      <c r="A8" s="581"/>
      <c r="B8" s="817" t="str">
        <f>'Sch-1'!A8</f>
        <v>Bidder’s Name and Address  (Sole Bidder) :</v>
      </c>
      <c r="C8" s="817"/>
      <c r="D8" s="817"/>
      <c r="E8" s="817"/>
      <c r="F8" s="817"/>
      <c r="G8" s="817"/>
      <c r="H8" s="817"/>
      <c r="I8" s="26"/>
      <c r="J8" s="26"/>
      <c r="K8" s="94"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18" customFormat="1">
      <c r="A9" s="459"/>
      <c r="B9" s="459" t="s">
        <v>12</v>
      </c>
      <c r="C9" s="820" t="str">
        <f>'Sch-1'!C9</f>
        <v/>
      </c>
      <c r="D9" s="820"/>
      <c r="E9" s="820"/>
      <c r="F9" s="820"/>
      <c r="G9" s="261"/>
      <c r="H9" s="261"/>
      <c r="I9" s="261"/>
      <c r="J9" s="261"/>
      <c r="K9" s="95"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18" customFormat="1">
      <c r="A10" s="459"/>
      <c r="B10" s="459" t="s">
        <v>11</v>
      </c>
      <c r="C10" s="819" t="str">
        <f>'Sch-1'!C10</f>
        <v/>
      </c>
      <c r="D10" s="819"/>
      <c r="E10" s="819"/>
      <c r="F10" s="819"/>
      <c r="G10" s="261"/>
      <c r="H10" s="261"/>
      <c r="I10" s="261"/>
      <c r="J10" s="261"/>
      <c r="K10" s="95"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18" customFormat="1">
      <c r="A11" s="408"/>
      <c r="B11" s="408"/>
      <c r="C11" s="819" t="str">
        <f>'Sch-1'!C11</f>
        <v/>
      </c>
      <c r="D11" s="819"/>
      <c r="E11" s="819"/>
      <c r="F11" s="819"/>
      <c r="G11" s="261"/>
      <c r="H11" s="261"/>
      <c r="I11" s="261"/>
      <c r="J11" s="261"/>
      <c r="K11" s="95"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18" customFormat="1">
      <c r="A12" s="408"/>
      <c r="B12" s="408"/>
      <c r="C12" s="819" t="str">
        <f>'Sch-1'!C12</f>
        <v/>
      </c>
      <c r="D12" s="819"/>
      <c r="E12" s="819"/>
      <c r="F12" s="819"/>
      <c r="G12" s="261"/>
      <c r="H12" s="261"/>
      <c r="I12" s="261"/>
      <c r="J12" s="261"/>
      <c r="K12" s="95"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63"/>
      <c r="K13" s="95" t="s">
        <v>6</v>
      </c>
      <c r="L13" s="302"/>
      <c r="M13" s="302"/>
    </row>
    <row r="14" spans="1:100" s="303" customFormat="1" ht="27.95" customHeight="1">
      <c r="A14" s="901" t="s">
        <v>33</v>
      </c>
      <c r="B14" s="901"/>
      <c r="C14" s="901"/>
      <c r="D14" s="901"/>
      <c r="E14" s="901"/>
      <c r="F14" s="901"/>
      <c r="G14" s="901"/>
      <c r="H14" s="901"/>
      <c r="I14" s="901"/>
      <c r="J14" s="901"/>
      <c r="K14" s="901"/>
      <c r="L14" s="901"/>
      <c r="M14" s="901"/>
    </row>
    <row r="15" spans="1:100" s="303" customFormat="1" ht="115.5" customHeight="1">
      <c r="A15" s="515" t="s">
        <v>34</v>
      </c>
      <c r="B15" s="390" t="s">
        <v>266</v>
      </c>
      <c r="C15" s="390" t="s">
        <v>267</v>
      </c>
      <c r="D15" s="515" t="s">
        <v>40</v>
      </c>
      <c r="E15" s="519" t="s">
        <v>330</v>
      </c>
      <c r="F15" s="520" t="s">
        <v>331</v>
      </c>
      <c r="G15" s="520" t="s">
        <v>309</v>
      </c>
      <c r="H15" s="520" t="s">
        <v>319</v>
      </c>
      <c r="I15" s="516" t="s">
        <v>35</v>
      </c>
      <c r="J15" s="516" t="s">
        <v>9</v>
      </c>
      <c r="K15" s="516" t="s">
        <v>16</v>
      </c>
      <c r="L15" s="516" t="s">
        <v>36</v>
      </c>
      <c r="M15" s="517" t="s">
        <v>37</v>
      </c>
      <c r="AB15" s="303" t="s">
        <v>38</v>
      </c>
      <c r="AD15" s="303" t="s">
        <v>22</v>
      </c>
      <c r="AE15" s="303" t="s">
        <v>39</v>
      </c>
    </row>
    <row r="16" spans="1:100">
      <c r="A16" s="522"/>
      <c r="B16" s="522"/>
      <c r="C16" s="522"/>
      <c r="D16" s="522"/>
      <c r="E16" s="522"/>
      <c r="F16" s="522"/>
      <c r="G16" s="522"/>
      <c r="H16" s="522"/>
      <c r="I16" s="523"/>
      <c r="J16" s="524"/>
      <c r="K16" s="524"/>
      <c r="L16" s="524"/>
      <c r="M16" s="524"/>
    </row>
    <row r="17" spans="1:100" s="416" customFormat="1" ht="23.25" customHeight="1">
      <c r="A17" s="465"/>
      <c r="B17" s="465"/>
      <c r="C17" s="465"/>
      <c r="D17" s="465"/>
      <c r="F17" s="465"/>
      <c r="G17" s="525" t="s">
        <v>338</v>
      </c>
      <c r="H17" s="465"/>
      <c r="I17" s="465"/>
      <c r="J17" s="465"/>
      <c r="K17" s="465"/>
      <c r="L17" s="465"/>
      <c r="M17" s="465"/>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902"/>
      <c r="B18" s="902"/>
      <c r="C18" s="902"/>
      <c r="D18" s="902"/>
      <c r="E18" s="902"/>
      <c r="F18" s="902"/>
      <c r="G18" s="902"/>
      <c r="H18" s="902"/>
      <c r="I18" s="902"/>
      <c r="J18" s="526"/>
      <c r="K18" s="526"/>
      <c r="L18" s="526"/>
      <c r="M18" s="526"/>
    </row>
    <row r="19" spans="1:100" ht="26.25" customHeight="1">
      <c r="B19" s="372"/>
      <c r="C19" s="373"/>
      <c r="D19" s="373"/>
      <c r="E19" s="373"/>
      <c r="F19" s="373"/>
      <c r="G19" s="373"/>
      <c r="H19" s="373"/>
      <c r="I19" s="373"/>
      <c r="J19" s="373"/>
      <c r="K19" s="373"/>
      <c r="L19" s="374"/>
      <c r="M19" s="521"/>
    </row>
    <row r="20" spans="1:100">
      <c r="B20" s="373"/>
      <c r="C20" s="373"/>
      <c r="D20" s="373"/>
      <c r="E20" s="373"/>
      <c r="F20" s="373"/>
      <c r="G20" s="373"/>
      <c r="H20" s="373"/>
      <c r="I20" s="373"/>
      <c r="J20" s="373"/>
      <c r="K20" s="373"/>
      <c r="L20" s="375"/>
      <c r="M20" s="521"/>
    </row>
    <row r="21" spans="1:100" s="472" customFormat="1">
      <c r="B21" s="472" t="s">
        <v>316</v>
      </c>
      <c r="C21" s="903" t="str">
        <f>'Sch-6 (After Discount)'!B31</f>
        <v xml:space="preserve">  </v>
      </c>
      <c r="D21" s="898"/>
      <c r="H21" s="899" t="s">
        <v>318</v>
      </c>
      <c r="I21" s="899"/>
      <c r="J21" s="896" t="str">
        <f>'Sch-6 (After Discount)'!D31</f>
        <v/>
      </c>
      <c r="K21" s="896"/>
      <c r="L21" s="896"/>
      <c r="M21" s="896"/>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72" customFormat="1" ht="16.5" customHeight="1">
      <c r="B22" s="472" t="s">
        <v>317</v>
      </c>
      <c r="C22" s="897" t="str">
        <f>'Sch-6'!B32</f>
        <v/>
      </c>
      <c r="D22" s="898"/>
      <c r="H22" s="899" t="s">
        <v>125</v>
      </c>
      <c r="I22" s="899"/>
      <c r="J22" s="896" t="str">
        <f>'Sch-6 (After Discount)'!D32</f>
        <v/>
      </c>
      <c r="K22" s="896"/>
      <c r="L22" s="896"/>
      <c r="M22" s="896"/>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904"/>
      <c r="C23" s="904"/>
      <c r="D23" s="904"/>
      <c r="E23" s="904"/>
      <c r="F23" s="904"/>
      <c r="G23" s="904"/>
      <c r="H23" s="904"/>
      <c r="I23" s="904"/>
      <c r="J23" s="904"/>
      <c r="K23" s="904"/>
      <c r="L23" s="904"/>
      <c r="M23" s="521"/>
    </row>
    <row r="24" spans="1:100">
      <c r="B24" s="376"/>
      <c r="C24" s="376"/>
      <c r="D24" s="905"/>
      <c r="E24" s="905"/>
      <c r="F24" s="905"/>
      <c r="G24" s="905"/>
      <c r="H24" s="905"/>
      <c r="I24" s="905"/>
      <c r="J24" s="905"/>
      <c r="K24" s="905"/>
      <c r="L24" s="905"/>
      <c r="M24" s="521"/>
    </row>
    <row r="25" spans="1:100">
      <c r="B25" s="377"/>
      <c r="C25" s="378"/>
      <c r="D25" s="905"/>
      <c r="E25" s="905"/>
      <c r="F25" s="905"/>
      <c r="G25" s="905"/>
      <c r="H25" s="905"/>
      <c r="I25" s="905"/>
      <c r="J25" s="905"/>
      <c r="K25" s="905"/>
      <c r="L25" s="905"/>
      <c r="M25" s="521"/>
    </row>
    <row r="26" spans="1:100">
      <c r="B26" s="377"/>
      <c r="C26" s="379"/>
      <c r="D26" s="905"/>
      <c r="E26" s="905"/>
      <c r="F26" s="905"/>
      <c r="G26" s="905"/>
      <c r="H26" s="905"/>
      <c r="I26" s="905"/>
      <c r="J26" s="905"/>
      <c r="K26" s="905"/>
      <c r="L26" s="905"/>
      <c r="M26" s="521"/>
    </row>
    <row r="27" spans="1:100">
      <c r="B27" s="23"/>
      <c r="C27" s="22"/>
      <c r="D27" s="905"/>
      <c r="E27" s="905"/>
      <c r="F27" s="905"/>
      <c r="G27" s="905"/>
      <c r="H27" s="905"/>
      <c r="I27" s="905"/>
      <c r="J27" s="905"/>
      <c r="K27" s="905"/>
      <c r="L27" s="905"/>
      <c r="M27" s="521"/>
    </row>
    <row r="28" spans="1:100">
      <c r="B28" s="23"/>
      <c r="C28" s="22"/>
      <c r="D28" s="380"/>
      <c r="E28" s="380"/>
      <c r="F28" s="380"/>
      <c r="G28" s="380"/>
      <c r="H28" s="380"/>
      <c r="I28" s="380"/>
      <c r="J28" s="380"/>
      <c r="K28" s="380"/>
      <c r="L28" s="380"/>
      <c r="M28" s="521"/>
    </row>
    <row r="29" spans="1:100">
      <c r="B29" s="381"/>
      <c r="C29" s="906"/>
      <c r="D29" s="906"/>
      <c r="E29" s="906"/>
      <c r="F29" s="906"/>
      <c r="G29" s="906"/>
      <c r="H29" s="906"/>
      <c r="I29" s="906"/>
      <c r="J29" s="906"/>
      <c r="K29" s="906"/>
      <c r="L29" s="382"/>
      <c r="M29" s="521"/>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Spec. No. CC/NT/W-RT/DOM/A06/23/04299</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907" t="str">
        <f>A3</f>
        <v>Reactor Package RT03 under Bulk Procurement of 765kV and 400kV Class Transformers and Reactors of various capacities- LOT-3 and SIS/Addl. Cap. -Re-Tender</v>
      </c>
      <c r="B64" s="907"/>
      <c r="C64" s="907"/>
      <c r="D64" s="907"/>
      <c r="E64" s="907"/>
      <c r="F64" s="907"/>
      <c r="G64" s="907"/>
      <c r="H64" s="907"/>
      <c r="I64" s="907">
        <f>I3</f>
        <v>0</v>
      </c>
      <c r="J64" s="907">
        <f>J3</f>
        <v>0</v>
      </c>
      <c r="K64" s="907"/>
      <c r="L64" s="907"/>
      <c r="M64" s="907"/>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900" t="str">
        <f>A4</f>
        <v>(SCHEDULE OF RATES AND PRICES )</v>
      </c>
      <c r="B65" s="900"/>
      <c r="C65" s="900"/>
      <c r="D65" s="900"/>
      <c r="E65" s="900"/>
      <c r="F65" s="900"/>
      <c r="G65" s="900"/>
      <c r="H65" s="900"/>
      <c r="I65" s="900">
        <f>I4</f>
        <v>0</v>
      </c>
      <c r="J65" s="900">
        <f>J4</f>
        <v>0</v>
      </c>
      <c r="K65" s="900"/>
      <c r="L65" s="900"/>
      <c r="M65" s="900"/>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62"/>
      <c r="J66" s="464"/>
      <c r="K66" s="464"/>
      <c r="L66" s="464"/>
      <c r="M66" s="464"/>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909" t="e">
        <f>#REF!</f>
        <v>#REF!</v>
      </c>
      <c r="B68" s="909"/>
      <c r="C68" s="909"/>
      <c r="D68" s="909"/>
      <c r="E68" s="909"/>
      <c r="F68" s="909"/>
      <c r="G68" s="909"/>
      <c r="H68" s="909"/>
      <c r="I68" s="909" t="e">
        <f>#REF!</f>
        <v>#REF!</v>
      </c>
      <c r="J68" s="909" t="e">
        <f>#REF!</f>
        <v>#REF!</v>
      </c>
      <c r="K68" s="460"/>
      <c r="L68" s="460"/>
      <c r="M68" s="460"/>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908" t="e">
        <f>#REF!</f>
        <v>#REF!</v>
      </c>
      <c r="J69" s="908" t="e">
        <f>#REF!</f>
        <v>#REF!</v>
      </c>
      <c r="K69" s="461"/>
      <c r="L69" s="461"/>
      <c r="M69" s="46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908" t="e">
        <f>#REF!</f>
        <v>#REF!</v>
      </c>
      <c r="J70" s="908" t="e">
        <f>#REF!</f>
        <v>#REF!</v>
      </c>
      <c r="K70" s="461"/>
      <c r="L70" s="461"/>
      <c r="M70" s="461"/>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908" t="e">
        <f>#REF!</f>
        <v>#REF!</v>
      </c>
      <c r="J71" s="908" t="e">
        <f>#REF!</f>
        <v>#REF!</v>
      </c>
      <c r="K71" s="461"/>
      <c r="L71" s="461"/>
      <c r="M71" s="461"/>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908">
        <f>C5</f>
        <v>0</v>
      </c>
      <c r="J72" s="908">
        <f>D5</f>
        <v>0</v>
      </c>
      <c r="K72" s="461"/>
      <c r="L72" s="461"/>
      <c r="M72" s="461"/>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911" t="e">
        <f>#REF!</f>
        <v>#REF!</v>
      </c>
      <c r="K74" s="911"/>
      <c r="L74" s="911"/>
      <c r="M74" s="911"/>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64" t="e">
        <f>#REF!</f>
        <v>#REF!</v>
      </c>
      <c r="B75" s="464"/>
      <c r="C75" s="464"/>
      <c r="D75" s="464"/>
      <c r="E75" s="464"/>
      <c r="F75" s="464"/>
      <c r="G75" s="464"/>
      <c r="H75" s="464"/>
      <c r="I75" s="462" t="e">
        <f>#REF!</f>
        <v>#REF!</v>
      </c>
      <c r="J75" s="912" t="e">
        <f>#REF!</f>
        <v>#REF!</v>
      </c>
      <c r="K75" s="912"/>
      <c r="L75" s="912"/>
      <c r="M75" s="912"/>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912"/>
      <c r="K76" s="912"/>
      <c r="L76" s="912"/>
      <c r="M76" s="912"/>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910" t="e">
        <f>#REF!</f>
        <v>#REF!</v>
      </c>
      <c r="K77" s="910"/>
      <c r="L77" s="910"/>
      <c r="M77" s="910"/>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910" t="e">
        <f>#REF!</f>
        <v>#REF!</v>
      </c>
      <c r="K78" s="910"/>
      <c r="L78" s="910"/>
      <c r="M78" s="910"/>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910" t="e">
        <f>#REF!</f>
        <v>#REF!</v>
      </c>
      <c r="K79" s="910"/>
      <c r="L79" s="910"/>
      <c r="M79" s="910"/>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910"/>
      <c r="K80" s="910"/>
      <c r="L80" s="910"/>
      <c r="M80" s="910"/>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910"/>
      <c r="K81" s="910"/>
      <c r="L81" s="910"/>
      <c r="M81" s="910"/>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910"/>
      <c r="K82" s="910"/>
      <c r="L82" s="910"/>
      <c r="M82" s="910"/>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910" t="e">
        <f>#REF!</f>
        <v>#REF!</v>
      </c>
      <c r="K83" s="910"/>
      <c r="L83" s="910"/>
      <c r="M83" s="910"/>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910" t="e">
        <f>#REF!</f>
        <v>#REF!</v>
      </c>
      <c r="K84" s="910"/>
      <c r="L84" s="910"/>
      <c r="M84" s="910"/>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910" t="e">
        <f>#REF!</f>
        <v>#REF!</v>
      </c>
      <c r="K85" s="910"/>
      <c r="L85" s="910"/>
      <c r="M85" s="910"/>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910" t="e">
        <f>#REF!</f>
        <v>#REF!</v>
      </c>
      <c r="K86" s="910"/>
      <c r="L86" s="910"/>
      <c r="M86" s="910"/>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910" t="e">
        <f>#REF!</f>
        <v>#REF!</v>
      </c>
      <c r="K87" s="910"/>
      <c r="L87" s="910"/>
      <c r="M87" s="910"/>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910"/>
      <c r="K88" s="910"/>
      <c r="L88" s="910"/>
      <c r="M88" s="910"/>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910" t="e">
        <f>#REF!</f>
        <v>#REF!</v>
      </c>
      <c r="K89" s="910"/>
      <c r="L89" s="910"/>
      <c r="M89" s="910"/>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910" t="e">
        <f>#REF!</f>
        <v>#REF!</v>
      </c>
      <c r="K90" s="910"/>
      <c r="L90" s="910"/>
      <c r="M90" s="910"/>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910" t="e">
        <f>#REF!</f>
        <v>#REF!</v>
      </c>
      <c r="K91" s="910"/>
      <c r="L91" s="910"/>
      <c r="M91" s="910"/>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910" t="e">
        <f>#REF!</f>
        <v>#REF!</v>
      </c>
      <c r="K92" s="910"/>
      <c r="L92" s="910"/>
      <c r="M92" s="910"/>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910" t="e">
        <f>#REF!</f>
        <v>#REF!</v>
      </c>
      <c r="K93" s="910"/>
      <c r="L93" s="910"/>
      <c r="M93" s="910"/>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910"/>
      <c r="K94" s="910"/>
      <c r="L94" s="910"/>
      <c r="M94" s="910"/>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910" t="e">
        <f>#REF!</f>
        <v>#REF!</v>
      </c>
      <c r="K95" s="910"/>
      <c r="L95" s="910"/>
      <c r="M95" s="910"/>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910" t="e">
        <f>#REF!</f>
        <v>#REF!</v>
      </c>
      <c r="K96" s="910"/>
      <c r="L96" s="910"/>
      <c r="M96" s="910"/>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910" t="e">
        <f>#REF!</f>
        <v>#REF!</v>
      </c>
      <c r="K97" s="910"/>
      <c r="L97" s="910"/>
      <c r="M97" s="910"/>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910" t="e">
        <f>#REF!</f>
        <v>#REF!</v>
      </c>
      <c r="K98" s="910"/>
      <c r="L98" s="910"/>
      <c r="M98" s="910"/>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910"/>
      <c r="K99" s="910"/>
      <c r="L99" s="910"/>
      <c r="M99" s="910"/>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910" t="e">
        <f>#REF!</f>
        <v>#REF!</v>
      </c>
      <c r="K100" s="910"/>
      <c r="L100" s="910"/>
      <c r="M100" s="910"/>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910" t="e">
        <f>#REF!</f>
        <v>#REF!</v>
      </c>
      <c r="K101" s="910"/>
      <c r="L101" s="910"/>
      <c r="M101" s="910"/>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910" t="e">
        <f>#REF!</f>
        <v>#REF!</v>
      </c>
      <c r="K102" s="910"/>
      <c r="L102" s="910"/>
      <c r="M102" s="910"/>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910" t="e">
        <f>#REF!</f>
        <v>#REF!</v>
      </c>
      <c r="K103" s="910"/>
      <c r="L103" s="910"/>
      <c r="M103" s="910"/>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910"/>
      <c r="K104" s="910"/>
      <c r="L104" s="910"/>
      <c r="M104" s="910"/>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910" t="e">
        <f>#REF!</f>
        <v>#REF!</v>
      </c>
      <c r="K105" s="910"/>
      <c r="L105" s="910"/>
      <c r="M105" s="910"/>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910" t="e">
        <f>#REF!</f>
        <v>#REF!</v>
      </c>
      <c r="K106" s="910"/>
      <c r="L106" s="910"/>
      <c r="M106" s="910"/>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910" t="e">
        <f>#REF!</f>
        <v>#REF!</v>
      </c>
      <c r="K107" s="910"/>
      <c r="L107" s="910"/>
      <c r="M107" s="910"/>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910" t="e">
        <f>#REF!</f>
        <v>#REF!</v>
      </c>
      <c r="K108" s="910"/>
      <c r="L108" s="910"/>
      <c r="M108" s="910"/>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910" t="e">
        <f>#REF!</f>
        <v>#REF!</v>
      </c>
      <c r="K109" s="910"/>
      <c r="L109" s="910"/>
      <c r="M109" s="910"/>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910" t="e">
        <f>#REF!</f>
        <v>#REF!</v>
      </c>
      <c r="K110" s="910"/>
      <c r="L110" s="910"/>
      <c r="M110" s="910"/>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910"/>
      <c r="K111" s="910"/>
      <c r="L111" s="910"/>
      <c r="M111" s="910"/>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910"/>
      <c r="K112" s="910"/>
      <c r="L112" s="910"/>
      <c r="M112" s="910"/>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910"/>
      <c r="K113" s="910"/>
      <c r="L113" s="910"/>
      <c r="M113" s="910"/>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910" t="e">
        <f>#REF!</f>
        <v>#REF!</v>
      </c>
      <c r="K114" s="910"/>
      <c r="L114" s="910"/>
      <c r="M114" s="910"/>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910" t="e">
        <f>#REF!</f>
        <v>#REF!</v>
      </c>
      <c r="K115" s="910"/>
      <c r="L115" s="910"/>
      <c r="M115" s="910"/>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910" t="e">
        <f>#REF!</f>
        <v>#REF!</v>
      </c>
      <c r="K116" s="910"/>
      <c r="L116" s="910"/>
      <c r="M116" s="910"/>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910" t="e">
        <f>#REF!</f>
        <v>#REF!</v>
      </c>
      <c r="K117" s="910"/>
      <c r="L117" s="910"/>
      <c r="M117" s="910"/>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910" t="e">
        <f>#REF!</f>
        <v>#REF!</v>
      </c>
      <c r="K118" s="910"/>
      <c r="L118" s="910"/>
      <c r="M118" s="910"/>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910"/>
      <c r="K119" s="910"/>
      <c r="L119" s="910"/>
      <c r="M119" s="910"/>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910"/>
      <c r="K120" s="910"/>
      <c r="L120" s="910"/>
      <c r="M120" s="910"/>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910" t="e">
        <f>#REF!</f>
        <v>#REF!</v>
      </c>
      <c r="K121" s="910"/>
      <c r="L121" s="910"/>
      <c r="M121" s="910"/>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910" t="e">
        <f>#REF!</f>
        <v>#REF!</v>
      </c>
      <c r="K122" s="910"/>
      <c r="L122" s="910"/>
      <c r="M122" s="910"/>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910" t="e">
        <f>#REF!</f>
        <v>#REF!</v>
      </c>
      <c r="K123" s="910"/>
      <c r="L123" s="910"/>
      <c r="M123" s="910"/>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910" t="e">
        <f>#REF!</f>
        <v>#REF!</v>
      </c>
      <c r="K124" s="910"/>
      <c r="L124" s="910"/>
      <c r="M124" s="910"/>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910" t="e">
        <f>#REF!</f>
        <v>#REF!</v>
      </c>
      <c r="K125" s="910"/>
      <c r="L125" s="910"/>
      <c r="M125" s="910"/>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910" t="e">
        <f>#REF!</f>
        <v>#REF!</v>
      </c>
      <c r="K126" s="910"/>
      <c r="L126" s="910"/>
      <c r="M126" s="910"/>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910"/>
      <c r="K127" s="910"/>
      <c r="L127" s="910"/>
      <c r="M127" s="910"/>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910" t="e">
        <f>#REF!</f>
        <v>#REF!</v>
      </c>
      <c r="K128" s="910"/>
      <c r="L128" s="910"/>
      <c r="M128" s="910"/>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910" t="e">
        <f>#REF!</f>
        <v>#REF!</v>
      </c>
      <c r="K129" s="910"/>
      <c r="L129" s="910"/>
      <c r="M129" s="910"/>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910" t="e">
        <f>#REF!</f>
        <v>#REF!</v>
      </c>
      <c r="K130" s="910"/>
      <c r="L130" s="910"/>
      <c r="M130" s="910"/>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910" t="e">
        <f>#REF!</f>
        <v>#REF!</v>
      </c>
      <c r="K131" s="910"/>
      <c r="L131" s="910"/>
      <c r="M131" s="910"/>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910" t="e">
        <f>#REF!</f>
        <v>#REF!</v>
      </c>
      <c r="K132" s="910"/>
      <c r="L132" s="910"/>
      <c r="M132" s="910"/>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910" t="e">
        <f>#REF!</f>
        <v>#REF!</v>
      </c>
      <c r="K133" s="910"/>
      <c r="L133" s="910"/>
      <c r="M133" s="910"/>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910" t="e">
        <f>#REF!</f>
        <v>#REF!</v>
      </c>
      <c r="K134" s="910"/>
      <c r="L134" s="910"/>
      <c r="M134" s="910"/>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910"/>
      <c r="K135" s="910"/>
      <c r="L135" s="910"/>
      <c r="M135" s="910"/>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910" t="e">
        <f>#REF!</f>
        <v>#REF!</v>
      </c>
      <c r="K136" s="910"/>
      <c r="L136" s="910"/>
      <c r="M136" s="910"/>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910" t="e">
        <f>#REF!</f>
        <v>#REF!</v>
      </c>
      <c r="K137" s="910"/>
      <c r="L137" s="910"/>
      <c r="M137" s="910"/>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910" t="e">
        <f>#REF!</f>
        <v>#REF!</v>
      </c>
      <c r="K138" s="910"/>
      <c r="L138" s="910"/>
      <c r="M138" s="910"/>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910" t="e">
        <f>#REF!</f>
        <v>#REF!</v>
      </c>
      <c r="K139" s="910"/>
      <c r="L139" s="910"/>
      <c r="M139" s="910"/>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910" t="e">
        <f>#REF!</f>
        <v>#REF!</v>
      </c>
      <c r="K140" s="910"/>
      <c r="L140" s="910"/>
      <c r="M140" s="910"/>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910" t="e">
        <f>#REF!</f>
        <v>#REF!</v>
      </c>
      <c r="K141" s="910"/>
      <c r="L141" s="910"/>
      <c r="M141" s="910"/>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910" t="e">
        <f>#REF!</f>
        <v>#REF!</v>
      </c>
      <c r="K142" s="910"/>
      <c r="L142" s="910"/>
      <c r="M142" s="910"/>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910" t="e">
        <f>#REF!</f>
        <v>#REF!</v>
      </c>
      <c r="K143" s="910"/>
      <c r="L143" s="910"/>
      <c r="M143" s="910"/>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910" t="e">
        <f>#REF!</f>
        <v>#REF!</v>
      </c>
      <c r="K144" s="910"/>
      <c r="L144" s="910"/>
      <c r="M144" s="910"/>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910" t="e">
        <f>#REF!</f>
        <v>#REF!</v>
      </c>
      <c r="K145" s="910"/>
      <c r="L145" s="910"/>
      <c r="M145" s="910"/>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910"/>
      <c r="K146" s="910"/>
      <c r="L146" s="910"/>
      <c r="M146" s="910"/>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910" t="e">
        <f>#REF!</f>
        <v>#REF!</v>
      </c>
      <c r="K147" s="910"/>
      <c r="L147" s="910"/>
      <c r="M147" s="910"/>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910" t="e">
        <f>#REF!</f>
        <v>#REF!</v>
      </c>
      <c r="K148" s="910"/>
      <c r="L148" s="910"/>
      <c r="M148" s="910"/>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910" t="e">
        <f>#REF!</f>
        <v>#REF!</v>
      </c>
      <c r="K149" s="910"/>
      <c r="L149" s="910"/>
      <c r="M149" s="910"/>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910" t="e">
        <f>#REF!</f>
        <v>#REF!</v>
      </c>
      <c r="K150" s="910"/>
      <c r="L150" s="910"/>
      <c r="M150" s="910"/>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910"/>
      <c r="K151" s="910"/>
      <c r="L151" s="910"/>
      <c r="M151" s="910"/>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910" t="e">
        <f>#REF!</f>
        <v>#REF!</v>
      </c>
      <c r="K152" s="910"/>
      <c r="L152" s="910"/>
      <c r="M152" s="910"/>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910" t="e">
        <f>#REF!</f>
        <v>#REF!</v>
      </c>
      <c r="K153" s="910"/>
      <c r="L153" s="910"/>
      <c r="M153" s="910"/>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910" t="e">
        <f>#REF!</f>
        <v>#REF!</v>
      </c>
      <c r="K154" s="910"/>
      <c r="L154" s="910"/>
      <c r="M154" s="910"/>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910" t="e">
        <f>#REF!</f>
        <v>#REF!</v>
      </c>
      <c r="K155" s="910"/>
      <c r="L155" s="910"/>
      <c r="M155" s="910"/>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910"/>
      <c r="K156" s="910"/>
      <c r="L156" s="910"/>
      <c r="M156" s="910"/>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910" t="e">
        <f>#REF!</f>
        <v>#REF!</v>
      </c>
      <c r="K157" s="910"/>
      <c r="L157" s="910"/>
      <c r="M157" s="910"/>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910" t="e">
        <f>#REF!</f>
        <v>#REF!</v>
      </c>
      <c r="K158" s="910"/>
      <c r="L158" s="910"/>
      <c r="M158" s="910"/>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910" t="e">
        <f>#REF!</f>
        <v>#REF!</v>
      </c>
      <c r="K159" s="910"/>
      <c r="L159" s="910"/>
      <c r="M159" s="910"/>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910"/>
      <c r="K160" s="910"/>
      <c r="L160" s="910"/>
      <c r="M160" s="910"/>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910" t="e">
        <f>#REF!</f>
        <v>#REF!</v>
      </c>
      <c r="K161" s="910"/>
      <c r="L161" s="910"/>
      <c r="M161" s="910"/>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910" t="e">
        <f>#REF!</f>
        <v>#REF!</v>
      </c>
      <c r="K162" s="910"/>
      <c r="L162" s="910"/>
      <c r="M162" s="910"/>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910" t="e">
        <f>#REF!</f>
        <v>#REF!</v>
      </c>
      <c r="K163" s="910"/>
      <c r="L163" s="910"/>
      <c r="M163" s="910"/>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910" t="e">
        <f>#REF!</f>
        <v>#REF!</v>
      </c>
      <c r="K164" s="910"/>
      <c r="L164" s="910"/>
      <c r="M164" s="910"/>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910" t="e">
        <f>#REF!</f>
        <v>#REF!</v>
      </c>
      <c r="K165" s="910"/>
      <c r="L165" s="910"/>
      <c r="M165" s="910"/>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910" t="e">
        <f>#REF!</f>
        <v>#REF!</v>
      </c>
      <c r="K166" s="910"/>
      <c r="L166" s="910"/>
      <c r="M166" s="910"/>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910" t="e">
        <f>#REF!</f>
        <v>#REF!</v>
      </c>
      <c r="K167" s="910"/>
      <c r="L167" s="910"/>
      <c r="M167" s="910"/>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910"/>
      <c r="K168" s="910"/>
      <c r="L168" s="910"/>
      <c r="M168" s="910"/>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910" t="e">
        <f>#REF!</f>
        <v>#REF!</v>
      </c>
      <c r="K169" s="910"/>
      <c r="L169" s="910"/>
      <c r="M169" s="910"/>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910" t="e">
        <f>#REF!</f>
        <v>#REF!</v>
      </c>
      <c r="K170" s="910"/>
      <c r="L170" s="910"/>
      <c r="M170" s="910"/>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910" t="e">
        <f>#REF!</f>
        <v>#REF!</v>
      </c>
      <c r="K171" s="910"/>
      <c r="L171" s="910"/>
      <c r="M171" s="910"/>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910" t="e">
        <f>#REF!</f>
        <v>#REF!</v>
      </c>
      <c r="K172" s="910"/>
      <c r="L172" s="910"/>
      <c r="M172" s="910"/>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910"/>
      <c r="K173" s="910"/>
      <c r="L173" s="910"/>
      <c r="M173" s="910"/>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910" t="e">
        <f>#REF!</f>
        <v>#REF!</v>
      </c>
      <c r="K174" s="910"/>
      <c r="L174" s="910"/>
      <c r="M174" s="910"/>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910" t="e">
        <f>#REF!</f>
        <v>#REF!</v>
      </c>
      <c r="K175" s="910"/>
      <c r="L175" s="910"/>
      <c r="M175" s="910"/>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910" t="e">
        <f>#REF!</f>
        <v>#REF!</v>
      </c>
      <c r="K176" s="910"/>
      <c r="L176" s="910"/>
      <c r="M176" s="910"/>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910" t="e">
        <f>#REF!</f>
        <v>#REF!</v>
      </c>
      <c r="K177" s="910"/>
      <c r="L177" s="910"/>
      <c r="M177" s="910"/>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910" t="e">
        <f>#REF!</f>
        <v>#REF!</v>
      </c>
      <c r="K178" s="910"/>
      <c r="L178" s="910"/>
      <c r="M178" s="910"/>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910" t="e">
        <f>#REF!</f>
        <v>#REF!</v>
      </c>
      <c r="K179" s="910"/>
      <c r="L179" s="910"/>
      <c r="M179" s="910"/>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910" t="e">
        <f>#REF!</f>
        <v>#REF!</v>
      </c>
      <c r="K180" s="910"/>
      <c r="L180" s="910"/>
      <c r="M180" s="910"/>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913"/>
      <c r="K181" s="913"/>
      <c r="L181" s="913"/>
      <c r="M181" s="913"/>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algorithmName="SHA-512" hashValue="tKE9bT3490+gmEvG3los17tIYcWzWt/gNDFVmwXE0nAHDjNTvyl8Vct3M9IKTqlvDSV6L81i4yCO+w6XAkVwKw==" saltValue="6RIJjVz6rOEBkEAc7wLxmg==" spinCount="100000" sheet="1" formatColumns="0" formatRows="0" selectLockedCells="1"/>
  <customSheetViews>
    <customSheetView guid="{84F40905-A9D3-43A5-987A-8A757D486A94}" scale="70" showPageBreaks="1" printArea="1" hiddenRows="1" hiddenColumns="1" view="pageBreakPreview">
      <selection activeCell="A16" sqref="A16"/>
      <pageMargins left="0.7" right="0.7" top="0.75" bottom="0.75" header="0.3" footer="0.3"/>
      <pageSetup paperSize="9" scale="57" orientation="landscape" r:id="rId1"/>
    </customSheetView>
    <customSheetView guid="{BDFA0401-0547-4E51-8BD2-84F711B066CA}" scale="70" showPageBreaks="1" printArea="1" hiddenRows="1" hiddenColumns="1" view="pageBreakPreview" topLeftCell="A4">
      <selection activeCell="A16" sqref="A16"/>
      <pageMargins left="0.7" right="0.7" top="0.75" bottom="0.75" header="0.3" footer="0.3"/>
      <pageSetup paperSize="9" scale="57" orientation="landscape" r:id="rId2"/>
    </customSheetView>
    <customSheetView guid="{112647D2-7580-431B-99B5-DD512E2AD50E}" showPageBreaks="1" printArea="1" hiddenRows="1" hiddenColumns="1" view="pageBreakPreview">
      <selection activeCell="A16" sqref="A16"/>
      <pageMargins left="0.7" right="0.7" top="0.75" bottom="0.75" header="0.3" footer="0.3"/>
      <pageSetup paperSize="9" scale="57" orientation="landscape" r:id="rId3"/>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4"/>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5"/>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8"/>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9"/>
    </customSheetView>
    <customSheetView guid="{F8A50AE1-259E-429D-A506-38EB64D134EF}"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DEF6DCE2-4A74-4BE5-B5D5-8143DC3F770A}" showPageBreaks="1" printArea="1" hiddenRows="1" hiddenColumns="1" view="pageBreakPreview" topLeftCell="A4">
      <selection activeCell="A16" sqref="A16"/>
      <pageMargins left="0.7" right="0.7" top="0.75" bottom="0.75" header="0.3" footer="0.3"/>
      <pageSetup paperSize="9" scale="57" orientation="landscape" r:id="rId11"/>
    </customSheetView>
    <customSheetView guid="{F658ED72-5E54-4C5B-BB2C-7A2962080984}" showPageBreaks="1" printArea="1" hiddenRows="1" hiddenColumns="1" view="pageBreakPreview" topLeftCell="A4">
      <selection activeCell="A16" sqref="A16"/>
      <pageMargins left="0.7" right="0.7" top="0.75" bottom="0.75" header="0.3" footer="0.3"/>
      <pageSetup paperSize="9" scale="57" orientation="landscape" r:id="rId12"/>
    </customSheetView>
    <customSheetView guid="{BE68641D-0C1E-4F8D-890A-A660C199187C}" showPageBreaks="1" printArea="1" hiddenRows="1" hiddenColumns="1" view="pageBreakPreview" topLeftCell="A13">
      <selection activeCell="A16" sqref="A16"/>
      <pageMargins left="0.7" right="0.7" top="0.75" bottom="0.75" header="0.3" footer="0.3"/>
      <pageSetup paperSize="9" scale="57" orientation="landscape" r:id="rId13"/>
    </customSheetView>
    <customSheetView guid="{AD0333DF-5B33-49B5-B063-72505D20EFE4}" showPageBreaks="1" printArea="1" hiddenRows="1" hiddenColumns="1" view="pageBreakPreview" topLeftCell="A10">
      <selection activeCell="A16" sqref="A16"/>
      <pageMargins left="0.7" right="0.7" top="0.75" bottom="0.75" header="0.3" footer="0.3"/>
      <pageSetup paperSize="9" scale="57" orientation="landscape" r:id="rId14"/>
    </customSheetView>
    <customSheetView guid="{C44C314C-9BEB-403F-A933-6B948E5C1171}" showPageBreaks="1" printArea="1" hiddenRows="1" hiddenColumns="1" view="pageBreakPreview">
      <selection activeCell="A16" sqref="A16"/>
      <pageMargins left="0.7" right="0.7" top="0.75" bottom="0.75" header="0.3" footer="0.3"/>
      <pageSetup paperSize="9" scale="57" orientation="landscape" r:id="rId15"/>
    </customSheetView>
  </customSheetViews>
  <mergeCells count="138">
    <mergeCell ref="J152:M152"/>
    <mergeCell ref="J153:M153"/>
    <mergeCell ref="J154:M154"/>
    <mergeCell ref="J155:M155"/>
    <mergeCell ref="J156:M156"/>
    <mergeCell ref="J157:M157"/>
    <mergeCell ref="J146:M146"/>
    <mergeCell ref="J147:M147"/>
    <mergeCell ref="J148:M148"/>
    <mergeCell ref="J149:M149"/>
    <mergeCell ref="J150:M150"/>
    <mergeCell ref="J151:M151"/>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04:M104"/>
    <mergeCell ref="J105:M105"/>
    <mergeCell ref="J106:M106"/>
    <mergeCell ref="J107:M107"/>
    <mergeCell ref="J108:M108"/>
    <mergeCell ref="J109:M109"/>
    <mergeCell ref="J98:M98"/>
    <mergeCell ref="J99:M99"/>
    <mergeCell ref="J100:M100"/>
    <mergeCell ref="J101:M101"/>
    <mergeCell ref="J102:M102"/>
    <mergeCell ref="J103:M103"/>
    <mergeCell ref="J97:M97"/>
    <mergeCell ref="J86:M86"/>
    <mergeCell ref="J87:M87"/>
    <mergeCell ref="J88:M88"/>
    <mergeCell ref="J89:M89"/>
    <mergeCell ref="J90:M90"/>
    <mergeCell ref="J91:M91"/>
    <mergeCell ref="J95:M95"/>
    <mergeCell ref="J93:M93"/>
    <mergeCell ref="J94:M9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A3:M3"/>
    <mergeCell ref="A4:M4"/>
    <mergeCell ref="C10:F10"/>
    <mergeCell ref="C9:F9"/>
    <mergeCell ref="B6:C6"/>
    <mergeCell ref="B7:H7"/>
    <mergeCell ref="B8:H8"/>
    <mergeCell ref="J21:M21"/>
    <mergeCell ref="C22:D22"/>
    <mergeCell ref="H22:I22"/>
    <mergeCell ref="J22:M22"/>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7" zoomScaleNormal="70" zoomScaleSheetLayoutView="100" workbookViewId="0">
      <selection activeCell="G24" sqref="G24"/>
    </sheetView>
  </sheetViews>
  <sheetFormatPr defaultColWidth="9.140625" defaultRowHeight="16.5"/>
  <cols>
    <col min="1" max="2" width="5.7109375" style="164" customWidth="1"/>
    <col min="3" max="3" width="24.7109375" style="164" customWidth="1"/>
    <col min="4" max="4" width="15.28515625" style="164" customWidth="1"/>
    <col min="5" max="5" width="28.7109375"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919" t="s">
        <v>165</v>
      </c>
      <c r="B1" s="919"/>
      <c r="C1" s="919"/>
      <c r="D1" s="919"/>
      <c r="E1" s="919"/>
      <c r="F1" s="919"/>
      <c r="G1" s="919"/>
      <c r="H1" s="144"/>
      <c r="I1" s="145"/>
      <c r="J1" s="146"/>
      <c r="K1" s="146"/>
      <c r="L1" s="146"/>
      <c r="M1" s="146"/>
      <c r="N1" s="146"/>
      <c r="O1" s="146"/>
      <c r="P1" s="146"/>
      <c r="Q1" s="146"/>
      <c r="R1" s="146"/>
      <c r="S1" s="146"/>
      <c r="T1" s="146"/>
      <c r="U1" s="147"/>
      <c r="V1" s="147"/>
      <c r="W1" s="147"/>
      <c r="X1" s="148"/>
      <c r="Y1" s="148"/>
    </row>
    <row r="2" spans="1:25" ht="18" customHeight="1">
      <c r="A2" s="113" t="str">
        <f>Cover!B3</f>
        <v>Spec. No. CC/NT/W-RT/DOM/A06/23/04299</v>
      </c>
      <c r="B2" s="113"/>
      <c r="C2" s="114"/>
      <c r="D2" s="150"/>
      <c r="E2" s="150"/>
      <c r="F2" s="150"/>
      <c r="G2" s="116" t="s">
        <v>166</v>
      </c>
    </row>
    <row r="3" spans="1:25" ht="12.75" customHeight="1">
      <c r="A3" s="117"/>
      <c r="B3" s="117"/>
      <c r="C3" s="118"/>
      <c r="D3" s="139"/>
      <c r="E3" s="139"/>
      <c r="F3" s="139"/>
      <c r="G3" s="119"/>
    </row>
    <row r="4" spans="1:25" ht="18.95" customHeight="1">
      <c r="A4" s="920" t="s">
        <v>167</v>
      </c>
      <c r="B4" s="920"/>
      <c r="C4" s="920"/>
      <c r="D4" s="920"/>
      <c r="E4" s="920"/>
      <c r="F4" s="920"/>
      <c r="G4" s="920"/>
    </row>
    <row r="5" spans="1:25" ht="21" customHeight="1">
      <c r="A5" s="158" t="s">
        <v>1</v>
      </c>
      <c r="B5" s="158"/>
      <c r="C5" s="159"/>
      <c r="D5" s="159"/>
      <c r="E5" s="159"/>
      <c r="F5" s="159"/>
      <c r="G5" s="159"/>
    </row>
    <row r="6" spans="1:25" ht="21" customHeight="1">
      <c r="A6" s="27" t="s">
        <v>2</v>
      </c>
      <c r="B6" s="27"/>
      <c r="C6" s="159"/>
      <c r="D6" s="159"/>
      <c r="E6" s="159"/>
      <c r="F6" s="159"/>
      <c r="G6" s="159"/>
      <c r="I6" s="603" t="s">
        <v>233</v>
      </c>
      <c r="J6" s="708">
        <f>'Sch-1'!N32</f>
        <v>0</v>
      </c>
      <c r="K6" s="602"/>
      <c r="L6" s="446"/>
    </row>
    <row r="7" spans="1:25" ht="21" customHeight="1">
      <c r="A7" s="27" t="s">
        <v>3</v>
      </c>
      <c r="B7" s="27"/>
      <c r="C7" s="159"/>
      <c r="D7" s="159"/>
      <c r="E7" s="159"/>
      <c r="F7" s="159"/>
      <c r="G7" s="159"/>
      <c r="I7" s="603" t="s">
        <v>235</v>
      </c>
      <c r="J7" s="708">
        <f>'Sch-2'!J32</f>
        <v>0</v>
      </c>
      <c r="K7" s="602"/>
    </row>
    <row r="8" spans="1:25" ht="21" customHeight="1">
      <c r="A8" s="27" t="s">
        <v>4</v>
      </c>
      <c r="B8" s="27"/>
      <c r="C8" s="159"/>
      <c r="D8" s="159"/>
      <c r="E8" s="159"/>
      <c r="F8" s="159"/>
      <c r="G8" s="159"/>
      <c r="I8" s="603" t="s">
        <v>236</v>
      </c>
      <c r="J8" s="708">
        <f>'Sch-3'!P33</f>
        <v>0</v>
      </c>
      <c r="K8" s="602"/>
    </row>
    <row r="9" spans="1:25" ht="21" customHeight="1">
      <c r="A9" s="27" t="s">
        <v>168</v>
      </c>
      <c r="B9" s="27"/>
      <c r="C9" s="159"/>
      <c r="D9" s="159"/>
      <c r="E9" s="159"/>
      <c r="F9" s="159"/>
      <c r="G9" s="159"/>
      <c r="I9" s="604" t="s">
        <v>196</v>
      </c>
      <c r="J9" s="709">
        <f>J6+J7+J8</f>
        <v>0</v>
      </c>
      <c r="K9" s="602"/>
    </row>
    <row r="10" spans="1:25" ht="21" customHeight="1">
      <c r="A10" s="27" t="s">
        <v>6</v>
      </c>
      <c r="B10" s="27"/>
      <c r="C10" s="159"/>
      <c r="D10" s="159"/>
      <c r="E10" s="159"/>
      <c r="F10" s="159"/>
      <c r="G10" s="159"/>
      <c r="J10" s="445"/>
    </row>
    <row r="11" spans="1:25" ht="14.25" customHeight="1">
      <c r="A11" s="159"/>
      <c r="B11" s="159"/>
      <c r="C11" s="159"/>
      <c r="D11" s="159"/>
      <c r="E11" s="159"/>
      <c r="F11" s="159"/>
      <c r="G11" s="159"/>
    </row>
    <row r="12" spans="1:25" ht="89.25" customHeight="1">
      <c r="A12" s="160" t="s">
        <v>169</v>
      </c>
      <c r="B12" s="527"/>
      <c r="C12" s="921" t="str">
        <f>Cover!$B$2</f>
        <v>Reactor Package RT03 under Bulk Procurement of 765kV and 400kV Class Transformers and Reactors of various capacities- LOT-3 and SIS/Addl. Cap. -Re-Tender</v>
      </c>
      <c r="D12" s="921"/>
      <c r="E12" s="921"/>
      <c r="F12" s="921"/>
      <c r="G12" s="921"/>
      <c r="J12" s="446"/>
    </row>
    <row r="13" spans="1:25" ht="21" customHeight="1" thickBot="1">
      <c r="A13" s="161" t="s">
        <v>170</v>
      </c>
      <c r="B13" s="161"/>
      <c r="C13" s="162"/>
      <c r="D13" s="161"/>
      <c r="E13" s="161"/>
      <c r="F13" s="161"/>
      <c r="G13" s="161"/>
      <c r="H13" s="440"/>
      <c r="K13" s="170"/>
      <c r="L13" s="170"/>
      <c r="M13" s="170"/>
    </row>
    <row r="14" spans="1:25" ht="41.25" customHeight="1" thickBot="1">
      <c r="A14" s="922" t="s">
        <v>171</v>
      </c>
      <c r="B14" s="922"/>
      <c r="C14" s="922"/>
      <c r="D14" s="922"/>
      <c r="E14" s="922"/>
      <c r="F14" s="922"/>
      <c r="G14" s="922"/>
      <c r="H14" s="617" t="s">
        <v>340</v>
      </c>
      <c r="I14" s="617" t="s">
        <v>341</v>
      </c>
      <c r="J14" s="618" t="s">
        <v>342</v>
      </c>
      <c r="K14" s="170"/>
      <c r="L14" s="170"/>
      <c r="M14" s="170"/>
      <c r="N14" s="163"/>
    </row>
    <row r="15" spans="1:25" ht="56.25" customHeight="1">
      <c r="B15" s="165">
        <v>1</v>
      </c>
      <c r="C15" s="926" t="s">
        <v>333</v>
      </c>
      <c r="D15" s="924"/>
      <c r="E15" s="924"/>
      <c r="F15" s="925"/>
      <c r="G15" s="166"/>
      <c r="H15" s="680">
        <f>IF(J6=0,0,(G15/J9)*J6)</f>
        <v>0</v>
      </c>
      <c r="I15" s="681">
        <f>IF(J7=0,0,(G15/J9)*J7)</f>
        <v>0</v>
      </c>
      <c r="J15" s="680">
        <f>IF(J8,(G15/J9)*J8,0)</f>
        <v>0</v>
      </c>
      <c r="K15" s="170"/>
      <c r="L15" s="170"/>
      <c r="M15" s="170"/>
    </row>
    <row r="16" spans="1:25" ht="55.5" customHeight="1">
      <c r="B16" s="165">
        <v>2</v>
      </c>
      <c r="C16" s="923" t="s">
        <v>478</v>
      </c>
      <c r="D16" s="924"/>
      <c r="E16" s="924"/>
      <c r="F16" s="925"/>
      <c r="G16" s="167"/>
      <c r="H16" s="682">
        <f>G16*J6</f>
        <v>0</v>
      </c>
      <c r="I16" s="683">
        <f>G16*J7</f>
        <v>0</v>
      </c>
      <c r="J16" s="682">
        <f>G16*J8</f>
        <v>0</v>
      </c>
      <c r="K16" s="170"/>
      <c r="L16" s="170"/>
      <c r="M16" s="170"/>
    </row>
    <row r="17" spans="1:25" s="168" customFormat="1" ht="39.75" customHeight="1" thickBot="1">
      <c r="B17" s="169">
        <v>3</v>
      </c>
      <c r="C17" s="914" t="s">
        <v>172</v>
      </c>
      <c r="D17" s="915"/>
      <c r="E17" s="915"/>
      <c r="F17" s="916"/>
      <c r="G17" s="437"/>
      <c r="H17" s="682"/>
      <c r="I17" s="682"/>
      <c r="J17" s="682"/>
      <c r="K17" s="170"/>
      <c r="L17" s="170"/>
      <c r="M17" s="170"/>
      <c r="N17" s="170"/>
      <c r="O17" s="170"/>
      <c r="P17" s="170"/>
      <c r="Q17" s="170"/>
      <c r="R17" s="171"/>
      <c r="S17" s="171"/>
      <c r="T17" s="171"/>
      <c r="U17" s="172"/>
      <c r="V17" s="172"/>
      <c r="W17" s="172"/>
      <c r="X17" s="173"/>
      <c r="Y17" s="173"/>
    </row>
    <row r="18" spans="1:25" s="168" customFormat="1" ht="21" customHeight="1" thickBot="1">
      <c r="B18" s="174"/>
      <c r="C18" s="917" t="s">
        <v>334</v>
      </c>
      <c r="D18" s="918"/>
      <c r="E18" s="918"/>
      <c r="F18" s="175" t="s">
        <v>173</v>
      </c>
      <c r="G18" s="438"/>
      <c r="H18" s="684">
        <f>G18</f>
        <v>0</v>
      </c>
      <c r="I18" s="685"/>
      <c r="J18" s="682"/>
      <c r="K18" s="170"/>
      <c r="L18" s="170"/>
      <c r="M18" s="170"/>
      <c r="N18" s="177"/>
      <c r="O18" s="176"/>
      <c r="P18" s="170"/>
      <c r="Q18" s="170"/>
      <c r="R18" s="171"/>
      <c r="S18" s="171"/>
      <c r="T18" s="171"/>
      <c r="U18" s="172"/>
      <c r="V18" s="172"/>
      <c r="W18" s="172"/>
      <c r="X18" s="173"/>
      <c r="Y18" s="173"/>
    </row>
    <row r="19" spans="1:25" s="168" customFormat="1" ht="33" customHeight="1" thickBot="1">
      <c r="B19" s="174"/>
      <c r="C19" s="933" t="s">
        <v>358</v>
      </c>
      <c r="D19" s="934"/>
      <c r="E19" s="934"/>
      <c r="F19" s="175" t="s">
        <v>173</v>
      </c>
      <c r="G19" s="438"/>
      <c r="H19" s="686"/>
      <c r="I19" s="684">
        <f>G19</f>
        <v>0</v>
      </c>
      <c r="J19" s="687"/>
      <c r="K19" s="170"/>
      <c r="L19" s="170"/>
      <c r="M19" s="170"/>
      <c r="N19" s="177"/>
      <c r="O19" s="176"/>
      <c r="P19" s="170"/>
      <c r="Q19" s="170"/>
      <c r="R19" s="171"/>
      <c r="S19" s="171"/>
      <c r="T19" s="171"/>
      <c r="U19" s="172"/>
      <c r="V19" s="172"/>
      <c r="W19" s="172"/>
      <c r="X19" s="173"/>
      <c r="Y19" s="173"/>
    </row>
    <row r="20" spans="1:25" s="168" customFormat="1" ht="21" customHeight="1" thickBot="1">
      <c r="B20" s="174"/>
      <c r="C20" s="917" t="s">
        <v>335</v>
      </c>
      <c r="D20" s="918"/>
      <c r="E20" s="918"/>
      <c r="F20" s="175" t="s">
        <v>173</v>
      </c>
      <c r="G20" s="438"/>
      <c r="H20" s="682"/>
      <c r="I20" s="681"/>
      <c r="J20" s="684">
        <f>G20</f>
        <v>0</v>
      </c>
      <c r="K20" s="170"/>
      <c r="L20" s="170"/>
      <c r="M20" s="170"/>
      <c r="N20" s="177"/>
      <c r="O20" s="176"/>
      <c r="P20" s="170"/>
      <c r="Q20" s="170"/>
      <c r="R20" s="171"/>
      <c r="S20" s="171"/>
      <c r="T20" s="171"/>
      <c r="U20" s="172"/>
      <c r="V20" s="172"/>
      <c r="W20" s="172"/>
      <c r="X20" s="173"/>
      <c r="Y20" s="173"/>
    </row>
    <row r="21" spans="1:25" s="168" customFormat="1" ht="21" customHeight="1">
      <c r="B21" s="174"/>
      <c r="C21" s="917" t="s">
        <v>336</v>
      </c>
      <c r="D21" s="918"/>
      <c r="E21" s="918"/>
      <c r="F21" s="175" t="s">
        <v>173</v>
      </c>
      <c r="G21" s="447"/>
      <c r="H21" s="682"/>
      <c r="I21" s="683"/>
      <c r="J21" s="680"/>
      <c r="K21" s="170"/>
      <c r="L21" s="170"/>
      <c r="M21" s="170"/>
      <c r="N21" s="177"/>
      <c r="O21" s="176"/>
      <c r="P21" s="170"/>
      <c r="Q21" s="170"/>
      <c r="R21" s="171"/>
      <c r="S21" s="171"/>
      <c r="T21" s="171"/>
      <c r="U21" s="172"/>
      <c r="V21" s="172"/>
      <c r="W21" s="172"/>
      <c r="X21" s="173"/>
      <c r="Y21" s="173"/>
    </row>
    <row r="22" spans="1:25" s="168" customFormat="1" ht="21" customHeight="1">
      <c r="B22" s="178"/>
      <c r="C22" s="917" t="s">
        <v>174</v>
      </c>
      <c r="D22" s="918"/>
      <c r="E22" s="918"/>
      <c r="F22" s="179" t="s">
        <v>173</v>
      </c>
      <c r="G22" s="447"/>
      <c r="H22" s="682"/>
      <c r="I22" s="683"/>
      <c r="J22" s="682"/>
      <c r="K22" s="170"/>
      <c r="L22" s="170"/>
      <c r="M22" s="170"/>
      <c r="N22" s="177"/>
      <c r="O22" s="176"/>
      <c r="P22" s="170"/>
      <c r="Q22" s="170"/>
      <c r="R22" s="171"/>
      <c r="S22" s="171"/>
      <c r="T22" s="171"/>
      <c r="U22" s="172"/>
      <c r="V22" s="172"/>
      <c r="W22" s="172"/>
      <c r="X22" s="173"/>
      <c r="Y22" s="173"/>
    </row>
    <row r="23" spans="1:25" s="168" customFormat="1" ht="54.95" customHeight="1" thickBot="1">
      <c r="B23" s="169">
        <v>4</v>
      </c>
      <c r="C23" s="929" t="s">
        <v>479</v>
      </c>
      <c r="D23" s="930"/>
      <c r="E23" s="930"/>
      <c r="F23" s="931"/>
      <c r="G23" s="437"/>
      <c r="H23" s="688"/>
      <c r="I23" s="683"/>
      <c r="J23" s="682"/>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917" t="s">
        <v>334</v>
      </c>
      <c r="D24" s="918"/>
      <c r="E24" s="918"/>
      <c r="F24" s="175" t="s">
        <v>175</v>
      </c>
      <c r="G24" s="439"/>
      <c r="H24" s="689">
        <f>G24*J6</f>
        <v>0</v>
      </c>
      <c r="I24" s="685"/>
      <c r="J24" s="682"/>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935" t="s">
        <v>358</v>
      </c>
      <c r="D25" s="936"/>
      <c r="E25" s="936"/>
      <c r="F25" s="175" t="s">
        <v>175</v>
      </c>
      <c r="G25" s="439"/>
      <c r="H25" s="690"/>
      <c r="I25" s="684">
        <f>G25*J7</f>
        <v>0</v>
      </c>
      <c r="J25" s="687"/>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917" t="s">
        <v>335</v>
      </c>
      <c r="D26" s="918"/>
      <c r="E26" s="918"/>
      <c r="F26" s="175" t="s">
        <v>175</v>
      </c>
      <c r="G26" s="439"/>
      <c r="H26" s="688"/>
      <c r="I26" s="681"/>
      <c r="J26" s="684">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917" t="s">
        <v>336</v>
      </c>
      <c r="D27" s="918"/>
      <c r="E27" s="918"/>
      <c r="F27" s="175" t="s">
        <v>175</v>
      </c>
      <c r="G27" s="448"/>
      <c r="H27" s="688"/>
      <c r="I27" s="683"/>
      <c r="J27" s="680"/>
      <c r="K27" s="170"/>
      <c r="L27" s="170"/>
      <c r="M27" s="170"/>
      <c r="N27" s="170"/>
      <c r="O27" s="170"/>
      <c r="P27" s="170"/>
      <c r="Q27" s="170"/>
      <c r="R27" s="171"/>
      <c r="S27" s="171"/>
      <c r="T27" s="171"/>
      <c r="U27" s="172"/>
      <c r="V27" s="172"/>
      <c r="W27" s="172"/>
      <c r="X27" s="173"/>
      <c r="Y27" s="173"/>
    </row>
    <row r="28" spans="1:25" s="168" customFormat="1" ht="21" customHeight="1">
      <c r="A28" s="180"/>
      <c r="B28" s="178"/>
      <c r="C28" s="940" t="s">
        <v>174</v>
      </c>
      <c r="D28" s="941"/>
      <c r="E28" s="941"/>
      <c r="F28" s="179" t="s">
        <v>175</v>
      </c>
      <c r="G28" s="448"/>
      <c r="H28" s="688"/>
      <c r="I28" s="683"/>
      <c r="J28" s="682"/>
      <c r="K28" s="170"/>
      <c r="L28" s="170"/>
      <c r="M28" s="170"/>
      <c r="N28" s="170"/>
      <c r="O28" s="170"/>
      <c r="P28" s="170"/>
      <c r="Q28" s="170"/>
      <c r="R28" s="171"/>
      <c r="S28" s="171"/>
      <c r="T28" s="171"/>
      <c r="U28" s="172"/>
      <c r="V28" s="172"/>
      <c r="W28" s="172"/>
      <c r="X28" s="173"/>
      <c r="Y28" s="173"/>
    </row>
    <row r="29" spans="1:25" s="168" customFormat="1" hidden="1">
      <c r="A29" s="180"/>
      <c r="B29" s="181"/>
      <c r="C29" s="927" t="s">
        <v>176</v>
      </c>
      <c r="D29" s="928"/>
      <c r="E29" s="928"/>
      <c r="F29" s="928"/>
      <c r="G29" s="928"/>
      <c r="H29" s="691"/>
      <c r="I29" s="691"/>
      <c r="J29" s="691"/>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937" t="s">
        <v>177</v>
      </c>
      <c r="D30" s="937"/>
      <c r="E30" s="937"/>
      <c r="F30" s="937"/>
      <c r="G30" s="937"/>
      <c r="H30" s="692"/>
      <c r="I30" s="692"/>
      <c r="J30" s="692"/>
      <c r="K30" s="170"/>
      <c r="L30" s="170"/>
      <c r="M30" s="170"/>
      <c r="N30" s="170"/>
      <c r="O30" s="170"/>
      <c r="P30" s="170"/>
      <c r="Q30" s="170"/>
      <c r="R30" s="171"/>
      <c r="S30" s="171"/>
      <c r="T30" s="171"/>
      <c r="U30" s="172"/>
      <c r="V30" s="172"/>
      <c r="W30" s="172"/>
      <c r="X30" s="173"/>
      <c r="Y30" s="173"/>
    </row>
    <row r="31" spans="1:25" s="168" customFormat="1" ht="48.75" hidden="1" customHeight="1">
      <c r="A31" s="180"/>
      <c r="B31" s="938"/>
      <c r="C31" s="938"/>
      <c r="D31" s="938"/>
      <c r="E31" s="938"/>
      <c r="F31" s="938"/>
      <c r="G31" s="938"/>
      <c r="H31" s="693">
        <f>SUM(H15:H28)</f>
        <v>0</v>
      </c>
      <c r="I31" s="693">
        <f>SUM(I15:I28)</f>
        <v>0</v>
      </c>
      <c r="J31" s="693">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937" t="s">
        <v>178</v>
      </c>
      <c r="D32" s="939"/>
      <c r="E32" s="939"/>
      <c r="F32" s="939"/>
      <c r="G32" s="939"/>
      <c r="H32" s="694" t="e">
        <f>(1-(H31/I2))</f>
        <v>#DIV/0!</v>
      </c>
      <c r="I32" s="694" t="e">
        <f>(1-(I31/I3))</f>
        <v>#DIV/0!</v>
      </c>
      <c r="J32" s="695"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932" t="s">
        <v>337</v>
      </c>
      <c r="B33" s="932"/>
      <c r="C33" s="932"/>
      <c r="D33" s="932"/>
      <c r="E33" s="932"/>
      <c r="F33" s="932"/>
      <c r="G33" s="932"/>
      <c r="H33" s="696"/>
      <c r="I33" s="696"/>
      <c r="J33" s="696"/>
      <c r="K33" s="170"/>
      <c r="L33" s="170"/>
      <c r="M33" s="170"/>
      <c r="N33" s="170"/>
      <c r="O33" s="170"/>
      <c r="P33" s="170"/>
      <c r="Q33" s="170"/>
      <c r="R33" s="171"/>
      <c r="S33" s="171"/>
      <c r="T33" s="171"/>
      <c r="U33" s="172"/>
      <c r="V33" s="172"/>
      <c r="W33" s="172"/>
      <c r="X33" s="173"/>
      <c r="Y33" s="173"/>
    </row>
    <row r="34" spans="1:25" s="168" customFormat="1" ht="18.75" customHeight="1" thickBot="1">
      <c r="A34" s="161" t="s">
        <v>179</v>
      </c>
      <c r="B34" s="183"/>
      <c r="C34" s="184"/>
      <c r="E34" s="185"/>
      <c r="F34" s="185"/>
      <c r="G34" s="186"/>
      <c r="H34" s="696"/>
      <c r="I34" s="696"/>
      <c r="J34" s="696"/>
      <c r="K34" s="170"/>
      <c r="L34" s="170"/>
      <c r="M34" s="170"/>
      <c r="N34" s="170"/>
      <c r="O34" s="170"/>
      <c r="P34" s="170"/>
      <c r="Q34" s="170"/>
      <c r="R34" s="171"/>
      <c r="S34" s="171"/>
      <c r="T34" s="171"/>
      <c r="U34" s="172"/>
      <c r="V34" s="172"/>
      <c r="W34" s="172"/>
      <c r="X34" s="173"/>
      <c r="Y34" s="173"/>
    </row>
    <row r="35" spans="1:25" s="168" customFormat="1" ht="21" customHeight="1" thickBot="1">
      <c r="A35" s="187" t="s">
        <v>180</v>
      </c>
      <c r="B35" s="183"/>
      <c r="C35" s="184"/>
      <c r="E35" s="185"/>
      <c r="F35" s="185"/>
      <c r="G35" s="186"/>
      <c r="H35" s="697">
        <f>SUM(H15:H26)</f>
        <v>0</v>
      </c>
      <c r="I35" s="698">
        <f>SUM(I15:I26)</f>
        <v>0</v>
      </c>
      <c r="J35" s="699">
        <f>SUM(J15:J26)</f>
        <v>0</v>
      </c>
      <c r="K35" s="453"/>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87"/>
      <c r="G36" s="192" t="s">
        <v>181</v>
      </c>
      <c r="H36" s="620">
        <f>IF(J6=0,0,1-(H35/J6))</f>
        <v>0</v>
      </c>
      <c r="I36" s="620">
        <f>IF(J7=0,0,1-(I35/J7))</f>
        <v>0</v>
      </c>
      <c r="J36" s="621">
        <f>IF(J8=0,0,1-(J35/J8))</f>
        <v>0</v>
      </c>
      <c r="K36" s="594" t="s">
        <v>359</v>
      </c>
    </row>
    <row r="37" spans="1:25" ht="19.5" customHeight="1">
      <c r="A37" s="190"/>
      <c r="B37" s="190"/>
      <c r="C37" s="191"/>
      <c r="D37" s="189"/>
      <c r="E37" s="187"/>
      <c r="F37" s="187"/>
      <c r="G37" s="593"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182</v>
      </c>
      <c r="B39" s="197"/>
      <c r="C39" s="640" t="str">
        <f>'Sch-7'!C21:D21</f>
        <v xml:space="preserve">  </v>
      </c>
      <c r="D39" s="194"/>
      <c r="E39" s="195" t="s">
        <v>183</v>
      </c>
      <c r="F39" s="704">
        <f>'Names of Bidder'!D24</f>
        <v>0</v>
      </c>
      <c r="G39" s="705"/>
      <c r="H39" s="446"/>
    </row>
    <row r="40" spans="1:25" ht="23.25" customHeight="1">
      <c r="A40" s="197" t="s">
        <v>184</v>
      </c>
      <c r="B40" s="197"/>
      <c r="C40" s="641" t="str">
        <f>'Sch-7'!C22:D22</f>
        <v/>
      </c>
      <c r="D40" s="198"/>
      <c r="E40" s="195" t="s">
        <v>185</v>
      </c>
      <c r="F40" s="704">
        <f>'Names of Bidder'!D25</f>
        <v>0</v>
      </c>
      <c r="G40" s="705"/>
      <c r="H40" s="153"/>
    </row>
  </sheetData>
  <sheetProtection algorithmName="SHA-512" hashValue="pZeP2Jv69qAImjf+RALcGtBkiS0gWL3WoR/X6IDKAtG+sLOuvMYLwP9D4fiqQa5r90Jy111FiidGr9xChJoKDg==" saltValue="omqSzvI/zSDCflMPcvSCLg==" spinCount="100000" sheet="1" formatColumns="0" formatRows="0" selectLockedCells="1"/>
  <customSheetViews>
    <customSheetView guid="{84F40905-A9D3-43A5-987A-8A757D486A94}" showPageBreaks="1" zeroValues="0" printArea="1" hiddenRows="1" hiddenColumns="1" view="pageBreakPreview" topLeftCell="A7">
      <selection activeCell="G24" sqref="G24"/>
      <pageMargins left="0.72" right="0.49" top="0.62" bottom="0.52" header="0.32" footer="0.27"/>
      <pageSetup scale="77" orientation="portrait" r:id="rId1"/>
      <headerFooter alignWithMargins="0">
        <oddFooter>&amp;R&amp;"Book Antiqua,Bold"&amp;10Letter of Discount  / Page &amp;P of &amp;N</oddFooter>
      </headerFooter>
    </customSheetView>
    <customSheetView guid="{BDFA0401-0547-4E51-8BD2-84F711B066CA}" showPageBreaks="1" zeroValues="0" printArea="1" hiddenRows="1" hiddenColumns="1" view="pageBreakPreview">
      <selection activeCell="G24" sqref="G24"/>
      <pageMargins left="0.72" right="0.49" top="0.62" bottom="0.52" header="0.32" footer="0.27"/>
      <pageSetup scale="77" orientation="portrait" r:id="rId2"/>
      <headerFooter alignWithMargins="0">
        <oddFooter>&amp;R&amp;"Book Antiqua,Bold"&amp;10Letter of Discount  / Page &amp;P of &amp;N</oddFooter>
      </headerFooter>
    </customSheetView>
    <customSheetView guid="{112647D2-7580-431B-99B5-DD512E2AD50E}" showPageBreaks="1" zeroValues="0" printArea="1" hiddenRows="1" hiddenColumns="1" view="pageBreakPreview">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5"/>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8"/>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9"/>
      <headerFooter alignWithMargins="0">
        <oddFooter>&amp;R&amp;"Book Antiqua,Bold"&amp;10Letter of Discount  / Page &amp;P of &amp;N</oddFooter>
      </headerFooter>
    </customSheetView>
    <customSheetView guid="{F8A50AE1-259E-429D-A506-38EB64D134EF}" showPageBreaks="1" zeroValues="0" printArea="1" hiddenRows="1" hiddenColumns="1" view="pageBreakPreview">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DEF6DCE2-4A74-4BE5-B5D5-8143DC3F770A}"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F658ED72-5E54-4C5B-BB2C-7A2962080984}"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BE68641D-0C1E-4F8D-890A-A660C199187C}" showPageBreaks="1" zeroValues="0" printArea="1" hiddenRows="1" hiddenColumns="1" view="pageBreakPreview" topLeftCell="A13">
      <selection activeCell="G24" sqref="G24"/>
      <pageMargins left="0.72" right="0.49" top="0.62" bottom="0.52" header="0.32" footer="0.27"/>
      <pageSetup scale="77" orientation="portrait" r:id="rId13"/>
      <headerFooter alignWithMargins="0">
        <oddFooter>&amp;R&amp;"Book Antiqua,Bold"&amp;10Letter of Discount  / Page &amp;P of &amp;N</oddFooter>
      </headerFooter>
    </customSheetView>
    <customSheetView guid="{AD0333DF-5B33-49B5-B063-72505D20EFE4}" showPageBreaks="1" zeroValues="0" printArea="1" hiddenRows="1" hiddenColumns="1" view="pageBreakPreview" topLeftCell="A19">
      <selection activeCell="G24" sqref="G24"/>
      <pageMargins left="0.72" right="0.49" top="0.62" bottom="0.52" header="0.32" footer="0.27"/>
      <pageSetup scale="77" orientation="portrait" r:id="rId14"/>
      <headerFooter alignWithMargins="0">
        <oddFooter>&amp;R&amp;"Book Antiqua,Bold"&amp;10Letter of Discount  / Page &amp;P of &amp;N</oddFooter>
      </headerFooter>
    </customSheetView>
    <customSheetView guid="{C44C314C-9BEB-403F-A933-6B948E5C1171}" showPageBreaks="1" zeroValues="0" printArea="1" hiddenRows="1" hiddenColumns="1" view="pageBreakPreview">
      <selection activeCell="G24" sqref="G24"/>
      <pageMargins left="0.72" right="0.49" top="0.62" bottom="0.52" header="0.32" footer="0.27"/>
      <pageSetup scale="77" orientation="portrait" r:id="rId15"/>
      <headerFooter alignWithMargins="0">
        <oddFooter>&amp;R&amp;"Book Antiqua,Bold"&amp;10Letter of Discount  / Page &amp;P of &amp;N</oddFooter>
      </headerFooter>
    </customSheetView>
  </customSheetViews>
  <mergeCells count="23">
    <mergeCell ref="C29:G29"/>
    <mergeCell ref="C23:F23"/>
    <mergeCell ref="A33:G33"/>
    <mergeCell ref="C19:E19"/>
    <mergeCell ref="C25:E25"/>
    <mergeCell ref="C30:G30"/>
    <mergeCell ref="B31:G31"/>
    <mergeCell ref="C32:G32"/>
    <mergeCell ref="C22:E22"/>
    <mergeCell ref="C21:E21"/>
    <mergeCell ref="C20:E20"/>
    <mergeCell ref="C28:E28"/>
    <mergeCell ref="C27:E27"/>
    <mergeCell ref="C17:F17"/>
    <mergeCell ref="C18:E18"/>
    <mergeCell ref="C26:E26"/>
    <mergeCell ref="C24:E24"/>
    <mergeCell ref="A1:G1"/>
    <mergeCell ref="A4:G4"/>
    <mergeCell ref="C12:G12"/>
    <mergeCell ref="A14:G14"/>
    <mergeCell ref="C16:F16"/>
    <mergeCell ref="C15:F15"/>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2" t="s">
        <v>186</v>
      </c>
      <c r="B2" s="942"/>
      <c r="C2" s="942"/>
      <c r="D2" s="942"/>
      <c r="E2" s="188"/>
    </row>
    <row r="3" spans="1:6">
      <c r="A3" s="199"/>
      <c r="B3" s="200"/>
      <c r="C3" s="200"/>
      <c r="D3" s="200"/>
      <c r="E3" s="200"/>
    </row>
    <row r="4" spans="1:6" ht="30">
      <c r="A4" s="201" t="s">
        <v>187</v>
      </c>
      <c r="B4" s="202" t="s">
        <v>188</v>
      </c>
      <c r="C4" s="201" t="s">
        <v>141</v>
      </c>
      <c r="D4" s="201" t="s">
        <v>189</v>
      </c>
      <c r="E4" s="201" t="s">
        <v>190</v>
      </c>
    </row>
    <row r="5" spans="1:6" ht="18" customHeight="1">
      <c r="A5" s="203" t="s">
        <v>191</v>
      </c>
      <c r="B5" s="203" t="s">
        <v>192</v>
      </c>
      <c r="C5" s="203" t="s">
        <v>193</v>
      </c>
      <c r="D5" s="203" t="s">
        <v>194</v>
      </c>
      <c r="E5" s="203" t="s">
        <v>195</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6ezwvhcE4G9Fhnl/ZUd9FXh5qc9pcd+RkhN/V5YeLMYsei2ZR18aH5M694mcGv+z3dK9zVPFLc2JgmvEy7RL4Q==" saltValue="/W9ZUsmVx6i5V/Zsol9hwA==" spinCount="100000" sheet="1" formatColumns="0" formatRows="0" selectLockedCells="1"/>
  <customSheetViews>
    <customSheetView guid="{84F40905-A9D3-43A5-987A-8A757D486A94}" state="hidden" topLeftCell="A4">
      <selection activeCell="D6" sqref="D6"/>
      <pageMargins left="0.75" right="0.75" top="0.65" bottom="1" header="0.5" footer="0.5"/>
      <pageSetup orientation="portrait" r:id="rId1"/>
      <headerFooter alignWithMargins="0"/>
    </customSheetView>
    <customSheetView guid="{BDFA0401-0547-4E51-8BD2-84F711B066CA}" state="hidden" topLeftCell="A4">
      <selection activeCell="D6" sqref="D6"/>
      <pageMargins left="0.75" right="0.75" top="0.65" bottom="1" header="0.5" footer="0.5"/>
      <pageSetup orientation="portrait" r:id="rId2"/>
      <headerFooter alignWithMargins="0"/>
    </customSheetView>
    <customSheetView guid="{112647D2-7580-431B-99B5-DD512E2AD50E}" state="hidden" topLeftCell="A4">
      <selection activeCell="D6" sqref="D6"/>
      <pageMargins left="0.75" right="0.75" top="0.65" bottom="1" header="0.5" footer="0.5"/>
      <pageSetup orientation="portrait" r:id="rId3"/>
      <headerFooter alignWithMargins="0"/>
    </customSheetView>
    <customSheetView guid="{63D51328-7CBC-4A1E-B96D-BAE91416501B}" state="hidden" topLeftCell="A4">
      <selection activeCell="D6" sqref="D6"/>
      <pageMargins left="0.75" right="0.75" top="0.65" bottom="1" header="0.5" footer="0.5"/>
      <pageSetup orientation="portrait" r:id="rId4"/>
      <headerFooter alignWithMargins="0"/>
    </customSheetView>
    <customSheetView guid="{99CA2F10-F926-46DC-8609-4EAE5B9F3585}" state="hidden" topLeftCell="A4">
      <selection activeCell="D6" sqref="D6"/>
      <pageMargins left="0.75" right="0.75" top="0.65" bottom="1" header="0.5" footer="0.5"/>
      <pageSetup orientation="portrait" r:id="rId5"/>
      <headerFooter alignWithMargins="0"/>
    </customSheetView>
    <customSheetView guid="{3C00DDA0-7DDE-4169-A739-550DAF5DCF8D}"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B96E710B-6DD7-4DE1-95AB-C9EE060CD030}" state="hidden" topLeftCell="A4">
      <selection activeCell="D6" sqref="D6"/>
      <pageMargins left="0.75" right="0.75" top="0.65" bottom="1" header="0.5" footer="0.5"/>
      <pageSetup orientation="portrait" r:id="rId8"/>
      <headerFooter alignWithMargins="0"/>
    </customSheetView>
    <customSheetView guid="{CCA37BAE-906F-43D5-9FD9-B13563E4B9D7}" state="hidden" topLeftCell="A4">
      <selection activeCell="D6" sqref="D6"/>
      <pageMargins left="0.75" right="0.75" top="0.65" bottom="1" header="0.5" footer="0.5"/>
      <pageSetup orientation="portrait" r:id="rId9"/>
      <headerFooter alignWithMargins="0"/>
    </customSheetView>
    <customSheetView guid="{F8A50AE1-259E-429D-A506-38EB64D134EF}" state="hidden" topLeftCell="A4">
      <selection activeCell="D6" sqref="D6"/>
      <pageMargins left="0.75" right="0.75" top="0.65" bottom="1" header="0.5" footer="0.5"/>
      <pageSetup orientation="portrait" r:id="rId10"/>
      <headerFooter alignWithMargins="0"/>
    </customSheetView>
    <customSheetView guid="{DEF6DCE2-4A74-4BE5-B5D5-8143DC3F770A}" state="hidden" topLeftCell="A4">
      <selection activeCell="D6" sqref="D6"/>
      <pageMargins left="0.75" right="0.75" top="0.65" bottom="1" header="0.5" footer="0.5"/>
      <pageSetup orientation="portrait" r:id="rId11"/>
      <headerFooter alignWithMargins="0"/>
    </customSheetView>
    <customSheetView guid="{F658ED72-5E54-4C5B-BB2C-7A2962080984}" state="hidden" topLeftCell="A4">
      <selection activeCell="D6" sqref="D6"/>
      <pageMargins left="0.75" right="0.75" top="0.65" bottom="1" header="0.5" footer="0.5"/>
      <pageSetup orientation="portrait" r:id="rId12"/>
      <headerFooter alignWithMargins="0"/>
    </customSheetView>
    <customSheetView guid="{BE68641D-0C1E-4F8D-890A-A660C199187C}" state="hidden" topLeftCell="A4">
      <selection activeCell="D6" sqref="D6"/>
      <pageMargins left="0.75" right="0.75" top="0.65" bottom="1" header="0.5" footer="0.5"/>
      <pageSetup orientation="portrait" r:id="rId13"/>
      <headerFooter alignWithMargins="0"/>
    </customSheetView>
    <customSheetView guid="{AD0333DF-5B33-49B5-B063-72505D20EFE4}" state="hidden" topLeftCell="A4">
      <selection activeCell="D6" sqref="D6"/>
      <pageMargins left="0.75" right="0.75" top="0.65" bottom="1" header="0.5" footer="0.5"/>
      <pageSetup orientation="portrait" r:id="rId14"/>
      <headerFooter alignWithMargins="0"/>
    </customSheetView>
    <customSheetView guid="{C44C314C-9BEB-403F-A933-6B948E5C1171}" state="hidden" topLeftCell="A4">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942" t="s">
        <v>197</v>
      </c>
      <c r="B2" s="942"/>
      <c r="C2" s="942"/>
      <c r="D2" s="943"/>
      <c r="E2" s="34"/>
    </row>
    <row r="3" spans="1:6">
      <c r="A3" s="199"/>
      <c r="B3" s="200"/>
      <c r="C3" s="200"/>
      <c r="D3" s="200"/>
      <c r="E3" s="200"/>
    </row>
    <row r="4" spans="1:6" ht="30">
      <c r="A4" s="201" t="s">
        <v>187</v>
      </c>
      <c r="B4" s="202" t="s">
        <v>188</v>
      </c>
      <c r="C4" s="201" t="s">
        <v>198</v>
      </c>
      <c r="D4" s="201" t="s">
        <v>199</v>
      </c>
      <c r="E4" s="201" t="s">
        <v>200</v>
      </c>
    </row>
    <row r="5" spans="1:6" ht="18" customHeight="1">
      <c r="A5" s="203" t="s">
        <v>191</v>
      </c>
      <c r="B5" s="203" t="s">
        <v>192</v>
      </c>
      <c r="C5" s="203" t="s">
        <v>193</v>
      </c>
      <c r="D5" s="203" t="s">
        <v>194</v>
      </c>
      <c r="E5" s="203" t="s">
        <v>195</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196</v>
      </c>
      <c r="C16" s="210"/>
      <c r="D16" s="210"/>
      <c r="E16" s="210">
        <f>SUM(E6:E15)</f>
        <v>0</v>
      </c>
      <c r="F16" s="211"/>
    </row>
    <row r="17" ht="30" customHeight="1"/>
    <row r="18" ht="30" customHeight="1"/>
    <row r="19" ht="30" customHeight="1"/>
    <row r="20" ht="30" customHeight="1"/>
    <row r="21" ht="30" customHeight="1"/>
  </sheetData>
  <sheetProtection algorithmName="SHA-512" hashValue="fq656Z6tWWU6ZDFR4IErsDQaE9pVSZWys8wI/NN6qRodYrboQPcUl3mmu+h3z57UxCDXvKhtyLy/UZ86MxMwsw==" saltValue="i1F76M+49gJVmjt0Mgw42A==" spinCount="100000" sheet="1" formatColumns="0" formatRows="0" selectLockedCells="1"/>
  <customSheetViews>
    <customSheetView guid="{84F40905-A9D3-43A5-987A-8A757D486A94}" state="hidden" topLeftCell="A13">
      <selection activeCell="D6" sqref="D6"/>
      <pageMargins left="0.75" right="0.75" top="0.65" bottom="1" header="0.5" footer="0.5"/>
      <pageSetup orientation="portrait" r:id="rId1"/>
      <headerFooter alignWithMargins="0"/>
    </customSheetView>
    <customSheetView guid="{BDFA0401-0547-4E51-8BD2-84F711B066CA}" state="hidden" topLeftCell="A13">
      <selection activeCell="D6" sqref="D6"/>
      <pageMargins left="0.75" right="0.75" top="0.65" bottom="1" header="0.5" footer="0.5"/>
      <pageSetup orientation="portrait" r:id="rId2"/>
      <headerFooter alignWithMargins="0"/>
    </customSheetView>
    <customSheetView guid="{112647D2-7580-431B-99B5-DD512E2AD50E}" state="hidden" topLeftCell="A13">
      <selection activeCell="D6" sqref="D6"/>
      <pageMargins left="0.75" right="0.75" top="0.65" bottom="1" header="0.5" footer="0.5"/>
      <pageSetup orientation="portrait" r:id="rId3"/>
      <headerFooter alignWithMargins="0"/>
    </customSheetView>
    <customSheetView guid="{63D51328-7CBC-4A1E-B96D-BAE91416501B}" state="hidden" topLeftCell="A13">
      <selection activeCell="D6" sqref="D6"/>
      <pageMargins left="0.75" right="0.75" top="0.65" bottom="1" header="0.5" footer="0.5"/>
      <pageSetup orientation="portrait" r:id="rId4"/>
      <headerFooter alignWithMargins="0"/>
    </customSheetView>
    <customSheetView guid="{99CA2F10-F926-46DC-8609-4EAE5B9F3585}" state="hidden" topLeftCell="A13">
      <selection activeCell="D6" sqref="D6"/>
      <pageMargins left="0.75" right="0.75" top="0.65" bottom="1" header="0.5" footer="0.5"/>
      <pageSetup orientation="portrait" r:id="rId5"/>
      <headerFooter alignWithMargins="0"/>
    </customSheetView>
    <customSheetView guid="{3C00DDA0-7DDE-4169-A739-550DAF5DCF8D}"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B96E710B-6DD7-4DE1-95AB-C9EE060CD030}" state="hidden" topLeftCell="A13">
      <selection activeCell="D6" sqref="D6"/>
      <pageMargins left="0.75" right="0.75" top="0.65" bottom="1" header="0.5" footer="0.5"/>
      <pageSetup orientation="portrait" r:id="rId8"/>
      <headerFooter alignWithMargins="0"/>
    </customSheetView>
    <customSheetView guid="{CCA37BAE-906F-43D5-9FD9-B13563E4B9D7}" state="hidden" topLeftCell="A13">
      <selection activeCell="D6" sqref="D6"/>
      <pageMargins left="0.75" right="0.75" top="0.65" bottom="1" header="0.5" footer="0.5"/>
      <pageSetup orientation="portrait" r:id="rId9"/>
      <headerFooter alignWithMargins="0"/>
    </customSheetView>
    <customSheetView guid="{F8A50AE1-259E-429D-A506-38EB64D134EF}" state="hidden" topLeftCell="A13">
      <selection activeCell="D6" sqref="D6"/>
      <pageMargins left="0.75" right="0.75" top="0.65" bottom="1" header="0.5" footer="0.5"/>
      <pageSetup orientation="portrait" r:id="rId10"/>
      <headerFooter alignWithMargins="0"/>
    </customSheetView>
    <customSheetView guid="{DEF6DCE2-4A74-4BE5-B5D5-8143DC3F770A}" state="hidden" topLeftCell="A13">
      <selection activeCell="D6" sqref="D6"/>
      <pageMargins left="0.75" right="0.75" top="0.65" bottom="1" header="0.5" footer="0.5"/>
      <pageSetup orientation="portrait" r:id="rId11"/>
      <headerFooter alignWithMargins="0"/>
    </customSheetView>
    <customSheetView guid="{F658ED72-5E54-4C5B-BB2C-7A2962080984}" state="hidden" topLeftCell="A13">
      <selection activeCell="D6" sqref="D6"/>
      <pageMargins left="0.75" right="0.75" top="0.65" bottom="1" header="0.5" footer="0.5"/>
      <pageSetup orientation="portrait" r:id="rId12"/>
      <headerFooter alignWithMargins="0"/>
    </customSheetView>
    <customSheetView guid="{BE68641D-0C1E-4F8D-890A-A660C199187C}" state="hidden" topLeftCell="A13">
      <selection activeCell="D6" sqref="D6"/>
      <pageMargins left="0.75" right="0.75" top="0.65" bottom="1" header="0.5" footer="0.5"/>
      <pageSetup orientation="portrait" r:id="rId13"/>
      <headerFooter alignWithMargins="0"/>
    </customSheetView>
    <customSheetView guid="{AD0333DF-5B33-49B5-B063-72505D20EFE4}" state="hidden" topLeftCell="A13">
      <selection activeCell="D6" sqref="D6"/>
      <pageMargins left="0.75" right="0.75" top="0.65" bottom="1" header="0.5" footer="0.5"/>
      <pageSetup orientation="portrait" r:id="rId14"/>
      <headerFooter alignWithMargins="0"/>
    </customSheetView>
    <customSheetView guid="{C44C314C-9BEB-403F-A933-6B948E5C1171}" state="hidden" topLeftCell="A13">
      <selection activeCell="D6" sqref="D6"/>
      <pageMargins left="0.75" right="0.75" top="0.65" bottom="1" header="0.5" footer="0.5"/>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942" t="s">
        <v>201</v>
      </c>
      <c r="B2" s="942"/>
      <c r="C2" s="942"/>
      <c r="D2" s="942"/>
      <c r="E2" s="943"/>
      <c r="F2" s="188"/>
    </row>
    <row r="3" spans="1:7">
      <c r="A3" s="199"/>
      <c r="B3" s="200"/>
      <c r="C3" s="200"/>
      <c r="D3" s="200"/>
      <c r="E3" s="200"/>
      <c r="F3" s="200"/>
    </row>
    <row r="4" spans="1:7" ht="45">
      <c r="A4" s="201" t="s">
        <v>187</v>
      </c>
      <c r="B4" s="202" t="s">
        <v>188</v>
      </c>
      <c r="C4" s="201" t="s">
        <v>202</v>
      </c>
      <c r="D4" s="201" t="s">
        <v>203</v>
      </c>
      <c r="E4" s="201" t="s">
        <v>204</v>
      </c>
      <c r="F4" s="201" t="s">
        <v>205</v>
      </c>
    </row>
    <row r="5" spans="1:7" ht="18" customHeight="1">
      <c r="A5" s="203" t="s">
        <v>191</v>
      </c>
      <c r="B5" s="203" t="s">
        <v>192</v>
      </c>
      <c r="C5" s="203" t="s">
        <v>193</v>
      </c>
      <c r="D5" s="203" t="s">
        <v>194</v>
      </c>
      <c r="E5" s="214" t="s">
        <v>206</v>
      </c>
      <c r="F5" s="203" t="s">
        <v>207</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196</v>
      </c>
      <c r="C16" s="210"/>
      <c r="D16" s="210"/>
      <c r="E16" s="210"/>
      <c r="F16" s="210">
        <f>SUM(F6:F15)</f>
        <v>0</v>
      </c>
      <c r="G16" s="211"/>
    </row>
    <row r="17" ht="30" customHeight="1"/>
    <row r="18" ht="30" customHeight="1"/>
    <row r="19" ht="30" customHeight="1"/>
    <row r="20" ht="30" customHeight="1"/>
    <row r="21" ht="30" customHeight="1"/>
  </sheetData>
  <sheetProtection algorithmName="SHA-512" hashValue="gFO5gPTaDwgh6r25LhLMTOxUPHt+00RJeccEqb44jksIp8udzhDU6P2cds8+lm6fgghS4N9LSL4QNdjU8L6FxA==" saltValue="cT40xRWFP/3bt7cbTslmfw==" spinCount="100000" sheet="1" formatColumns="0" formatRows="0" selectLockedCells="1"/>
  <customSheetViews>
    <customSheetView guid="{84F40905-A9D3-43A5-987A-8A757D486A94}" state="hidden" topLeftCell="A5">
      <selection activeCell="D11" sqref="D11"/>
      <pageMargins left="0.75" right="0.62" top="0.65" bottom="1" header="0.5" footer="0.5"/>
      <pageSetup orientation="portrait" r:id="rId1"/>
      <headerFooter alignWithMargins="0"/>
    </customSheetView>
    <customSheetView guid="{BDFA0401-0547-4E51-8BD2-84F711B066CA}" state="hidden" topLeftCell="A5">
      <selection activeCell="D11" sqref="D11"/>
      <pageMargins left="0.75" right="0.62" top="0.65" bottom="1" header="0.5" footer="0.5"/>
      <pageSetup orientation="portrait" r:id="rId2"/>
      <headerFooter alignWithMargins="0"/>
    </customSheetView>
    <customSheetView guid="{112647D2-7580-431B-99B5-DD512E2AD50E}" state="hidden" topLeftCell="A5">
      <selection activeCell="D11" sqref="D11"/>
      <pageMargins left="0.75" right="0.62" top="0.65" bottom="1" header="0.5" footer="0.5"/>
      <pageSetup orientation="portrait" r:id="rId3"/>
      <headerFooter alignWithMargins="0"/>
    </customSheetView>
    <customSheetView guid="{63D51328-7CBC-4A1E-B96D-BAE91416501B}" state="hidden" topLeftCell="A5">
      <selection activeCell="D11" sqref="D11"/>
      <pageMargins left="0.75" right="0.62" top="0.65" bottom="1" header="0.5" footer="0.5"/>
      <pageSetup orientation="portrait" r:id="rId4"/>
      <headerFooter alignWithMargins="0"/>
    </customSheetView>
    <customSheetView guid="{99CA2F10-F926-46DC-8609-4EAE5B9F3585}" state="hidden" topLeftCell="A5">
      <selection activeCell="D11" sqref="D11"/>
      <pageMargins left="0.75" right="0.62" top="0.65" bottom="1" header="0.5" footer="0.5"/>
      <pageSetup orientation="portrait" r:id="rId5"/>
      <headerFooter alignWithMargins="0"/>
    </customSheetView>
    <customSheetView guid="{3C00DDA0-7DDE-4169-A739-550DAF5DCF8D}"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B96E710B-6DD7-4DE1-95AB-C9EE060CD030}" state="hidden" topLeftCell="A5">
      <selection activeCell="D11" sqref="D11"/>
      <pageMargins left="0.75" right="0.62" top="0.65" bottom="1" header="0.5" footer="0.5"/>
      <pageSetup orientation="portrait" r:id="rId8"/>
      <headerFooter alignWithMargins="0"/>
    </customSheetView>
    <customSheetView guid="{CCA37BAE-906F-43D5-9FD9-B13563E4B9D7}" state="hidden" topLeftCell="A5">
      <selection activeCell="D11" sqref="D11"/>
      <pageMargins left="0.75" right="0.62" top="0.65" bottom="1" header="0.5" footer="0.5"/>
      <pageSetup orientation="portrait" r:id="rId9"/>
      <headerFooter alignWithMargins="0"/>
    </customSheetView>
    <customSheetView guid="{F8A50AE1-259E-429D-A506-38EB64D134EF}" state="hidden" topLeftCell="A5">
      <selection activeCell="D11" sqref="D11"/>
      <pageMargins left="0.75" right="0.62" top="0.65" bottom="1" header="0.5" footer="0.5"/>
      <pageSetup orientation="portrait" r:id="rId10"/>
      <headerFooter alignWithMargins="0"/>
    </customSheetView>
    <customSheetView guid="{DEF6DCE2-4A74-4BE5-B5D5-8143DC3F770A}" state="hidden" topLeftCell="A5">
      <selection activeCell="D11" sqref="D11"/>
      <pageMargins left="0.75" right="0.62" top="0.65" bottom="1" header="0.5" footer="0.5"/>
      <pageSetup orientation="portrait" r:id="rId11"/>
      <headerFooter alignWithMargins="0"/>
    </customSheetView>
    <customSheetView guid="{F658ED72-5E54-4C5B-BB2C-7A2962080984}" state="hidden" topLeftCell="A5">
      <selection activeCell="D11" sqref="D11"/>
      <pageMargins left="0.75" right="0.62" top="0.65" bottom="1" header="0.5" footer="0.5"/>
      <pageSetup orientation="portrait" r:id="rId12"/>
      <headerFooter alignWithMargins="0"/>
    </customSheetView>
    <customSheetView guid="{BE68641D-0C1E-4F8D-890A-A660C199187C}" state="hidden" topLeftCell="A5">
      <selection activeCell="D11" sqref="D11"/>
      <pageMargins left="0.75" right="0.62" top="0.65" bottom="1" header="0.5" footer="0.5"/>
      <pageSetup orientation="portrait" r:id="rId13"/>
      <headerFooter alignWithMargins="0"/>
    </customSheetView>
    <customSheetView guid="{AD0333DF-5B33-49B5-B063-72505D20EFE4}" state="hidden" topLeftCell="A5">
      <selection activeCell="D11" sqref="D11"/>
      <pageMargins left="0.75" right="0.62" top="0.65" bottom="1" header="0.5" footer="0.5"/>
      <pageSetup orientation="portrait" r:id="rId14"/>
      <headerFooter alignWithMargins="0"/>
    </customSheetView>
    <customSheetView guid="{C44C314C-9BEB-403F-A933-6B948E5C1171}" state="hidden" topLeftCell="A5">
      <selection activeCell="D11" sqref="D11"/>
      <pageMargins left="0.75" right="0.62" top="0.65" bottom="1" header="0.5" footer="0.5"/>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8"/>
  <sheetViews>
    <sheetView showGridLines="0" showZeros="0" view="pageBreakPreview" topLeftCell="A55" zoomScaleNormal="100" zoomScaleSheetLayoutView="100" workbookViewId="0">
      <selection activeCell="F51" sqref="F51"/>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7109375" style="218" customWidth="1"/>
    <col min="6" max="6" width="34.140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Spec. No. CC/NT/W-RT/DOM/A06/23/04299</v>
      </c>
      <c r="B1" s="215"/>
      <c r="C1" s="216"/>
      <c r="D1" s="216"/>
      <c r="E1" s="216"/>
      <c r="F1" s="217" t="s">
        <v>208</v>
      </c>
      <c r="Z1" s="220" t="str">
        <f>'[6]Names of Bidder'!D6</f>
        <v>Sole Bidder</v>
      </c>
      <c r="AE1" s="222">
        <v>1</v>
      </c>
      <c r="AF1" s="222" t="s">
        <v>209</v>
      </c>
      <c r="AI1" s="222">
        <v>1</v>
      </c>
      <c r="AJ1" s="221" t="s">
        <v>210</v>
      </c>
    </row>
    <row r="2" spans="1:36">
      <c r="B2" s="218"/>
      <c r="Z2" s="220">
        <f>'[6]Names of Bidder'!AA6</f>
        <v>0</v>
      </c>
      <c r="AE2" s="222">
        <v>2</v>
      </c>
      <c r="AF2" s="222" t="s">
        <v>211</v>
      </c>
      <c r="AI2" s="222">
        <v>2</v>
      </c>
      <c r="AJ2" s="221" t="s">
        <v>212</v>
      </c>
    </row>
    <row r="3" spans="1:36" ht="17.25">
      <c r="A3" s="946" t="s">
        <v>213</v>
      </c>
      <c r="B3" s="946"/>
      <c r="C3" s="946"/>
      <c r="D3" s="946"/>
      <c r="E3" s="946"/>
      <c r="F3" s="946"/>
      <c r="AE3" s="222">
        <v>3</v>
      </c>
      <c r="AF3" s="222" t="s">
        <v>214</v>
      </c>
      <c r="AI3" s="222">
        <v>3</v>
      </c>
      <c r="AJ3" s="221" t="s">
        <v>215</v>
      </c>
    </row>
    <row r="4" spans="1:36">
      <c r="A4" s="223"/>
      <c r="B4" s="223"/>
      <c r="C4" s="223"/>
      <c r="D4" s="223"/>
      <c r="E4" s="223"/>
      <c r="F4" s="223"/>
      <c r="AE4" s="222">
        <v>4</v>
      </c>
      <c r="AF4" s="222" t="s">
        <v>216</v>
      </c>
      <c r="AI4" s="222">
        <v>4</v>
      </c>
      <c r="AJ4" s="221" t="s">
        <v>217</v>
      </c>
    </row>
    <row r="5" spans="1:36">
      <c r="A5" s="224" t="s">
        <v>218</v>
      </c>
      <c r="C5" s="947"/>
      <c r="D5" s="947"/>
      <c r="E5" s="947"/>
      <c r="F5" s="947"/>
      <c r="AE5" s="222">
        <v>5</v>
      </c>
      <c r="AF5" s="222" t="s">
        <v>216</v>
      </c>
      <c r="AI5" s="222">
        <v>5</v>
      </c>
      <c r="AJ5" s="221" t="s">
        <v>219</v>
      </c>
    </row>
    <row r="6" spans="1:36">
      <c r="A6" s="224" t="s">
        <v>220</v>
      </c>
      <c r="B6" s="948" t="str">
        <f>'Names of Bidder'!D27&amp;'Names of Bidder'!E27&amp;'Names of Bidder'!F27</f>
        <v/>
      </c>
      <c r="C6" s="948"/>
      <c r="AE6" s="222">
        <v>6</v>
      </c>
      <c r="AF6" s="222" t="s">
        <v>216</v>
      </c>
      <c r="AG6" s="225" t="e">
        <f>DAY(B6)</f>
        <v>#VALUE!</v>
      </c>
      <c r="AI6" s="222">
        <v>6</v>
      </c>
      <c r="AJ6" s="221" t="s">
        <v>221</v>
      </c>
    </row>
    <row r="7" spans="1:36">
      <c r="A7" s="224"/>
      <c r="B7" s="226"/>
      <c r="C7" s="226"/>
      <c r="AE7" s="222">
        <v>7</v>
      </c>
      <c r="AF7" s="222" t="s">
        <v>216</v>
      </c>
      <c r="AG7" s="225" t="e">
        <f>MONTH(B6)</f>
        <v>#VALUE!</v>
      </c>
      <c r="AI7" s="222">
        <v>7</v>
      </c>
      <c r="AJ7" s="221" t="s">
        <v>222</v>
      </c>
    </row>
    <row r="8" spans="1:36">
      <c r="A8" s="227" t="s">
        <v>1</v>
      </c>
      <c r="B8" s="228"/>
      <c r="F8" s="229"/>
      <c r="AE8" s="222">
        <v>8</v>
      </c>
      <c r="AF8" s="222" t="s">
        <v>216</v>
      </c>
      <c r="AG8" s="225" t="e">
        <f>LOOKUP(AG7,AI1:AI12,AJ1:AJ12)</f>
        <v>#VALUE!</v>
      </c>
      <c r="AI8" s="222">
        <v>8</v>
      </c>
      <c r="AJ8" s="221" t="s">
        <v>223</v>
      </c>
    </row>
    <row r="9" spans="1:36">
      <c r="A9" s="230">
        <f>'Sch-1'!L8</f>
        <v>0</v>
      </c>
      <c r="B9" s="230"/>
      <c r="F9" s="229"/>
      <c r="AE9" s="222">
        <v>9</v>
      </c>
      <c r="AF9" s="222" t="s">
        <v>216</v>
      </c>
      <c r="AG9" s="225" t="e">
        <f>YEAR(B6)</f>
        <v>#VALUE!</v>
      </c>
      <c r="AI9" s="222">
        <v>9</v>
      </c>
      <c r="AJ9" s="221" t="s">
        <v>224</v>
      </c>
    </row>
    <row r="10" spans="1:36">
      <c r="A10" s="230" t="str">
        <f>'Sch-1'!K9</f>
        <v>Power Grid Corporation of India Ltd.,</v>
      </c>
      <c r="B10" s="230"/>
      <c r="F10" s="229"/>
      <c r="AE10" s="222">
        <v>10</v>
      </c>
      <c r="AF10" s="222" t="s">
        <v>216</v>
      </c>
      <c r="AI10" s="222">
        <v>10</v>
      </c>
      <c r="AJ10" s="221" t="s">
        <v>225</v>
      </c>
    </row>
    <row r="11" spans="1:36">
      <c r="A11" s="230" t="str">
        <f>'Sch-1'!K10</f>
        <v>"Saudamini", Plot No.-2</v>
      </c>
      <c r="B11" s="230"/>
      <c r="F11" s="229"/>
      <c r="AE11" s="222">
        <v>11</v>
      </c>
      <c r="AF11" s="222" t="s">
        <v>216</v>
      </c>
      <c r="AI11" s="222">
        <v>11</v>
      </c>
      <c r="AJ11" s="221" t="s">
        <v>226</v>
      </c>
    </row>
    <row r="12" spans="1:36">
      <c r="A12" s="230" t="str">
        <f>'Sch-1'!K11</f>
        <v xml:space="preserve">Sector-29, </v>
      </c>
      <c r="B12" s="230"/>
      <c r="F12" s="229"/>
      <c r="AE12" s="222">
        <v>12</v>
      </c>
      <c r="AF12" s="222" t="s">
        <v>216</v>
      </c>
      <c r="AI12" s="222">
        <v>12</v>
      </c>
      <c r="AJ12" s="221" t="s">
        <v>227</v>
      </c>
    </row>
    <row r="13" spans="1:36">
      <c r="A13" s="230" t="str">
        <f>'Sch-1'!K12</f>
        <v>Gurgaon (Haryana) - 122001</v>
      </c>
      <c r="B13" s="230"/>
      <c r="F13" s="229"/>
      <c r="AE13" s="222">
        <v>13</v>
      </c>
      <c r="AF13" s="222" t="s">
        <v>216</v>
      </c>
    </row>
    <row r="14" spans="1:36" ht="22.5" customHeight="1">
      <c r="A14" s="224"/>
      <c r="F14" s="229"/>
      <c r="AE14" s="222">
        <v>14</v>
      </c>
      <c r="AF14" s="222" t="s">
        <v>216</v>
      </c>
    </row>
    <row r="15" spans="1:36" ht="67.5" customHeight="1">
      <c r="A15" s="583" t="s">
        <v>228</v>
      </c>
      <c r="B15" s="584"/>
      <c r="C15" s="949" t="str">
        <f>Cover!B2</f>
        <v>Reactor Package RT03 under Bulk Procurement of 765kV and 400kV Class Transformers and Reactors of various capacities- LOT-3 and SIS/Addl. Cap. -Re-Tender</v>
      </c>
      <c r="D15" s="949"/>
      <c r="E15" s="949"/>
      <c r="F15" s="949"/>
      <c r="AE15" s="222">
        <v>15</v>
      </c>
      <c r="AF15" s="222" t="s">
        <v>216</v>
      </c>
    </row>
    <row r="16" spans="1:36" ht="27.75" customHeight="1">
      <c r="A16" s="218" t="s">
        <v>229</v>
      </c>
      <c r="B16" s="218"/>
      <c r="C16" s="229"/>
      <c r="D16" s="229"/>
      <c r="E16" s="229"/>
      <c r="F16" s="229"/>
      <c r="AE16" s="222">
        <v>16</v>
      </c>
      <c r="AF16" s="222" t="s">
        <v>216</v>
      </c>
    </row>
    <row r="17" spans="1:41" ht="99.75" customHeight="1">
      <c r="A17" s="232">
        <v>1</v>
      </c>
      <c r="B17" s="944"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944"/>
      <c r="D17" s="944"/>
      <c r="E17" s="944"/>
      <c r="F17" s="944"/>
      <c r="H17" s="677" t="s">
        <v>302</v>
      </c>
      <c r="Z17" s="233"/>
      <c r="AA17" s="234"/>
      <c r="AB17" s="235"/>
      <c r="AC17" s="236"/>
      <c r="AE17" s="222">
        <v>17</v>
      </c>
      <c r="AF17" s="222" t="s">
        <v>216</v>
      </c>
    </row>
    <row r="18" spans="1:41" ht="24.75" customHeight="1">
      <c r="A18" s="232"/>
      <c r="B18" s="944"/>
      <c r="C18" s="944"/>
      <c r="D18" s="944"/>
      <c r="E18" s="944"/>
      <c r="F18" s="944"/>
      <c r="H18" s="678">
        <f>ROUND('Sch-6 (After Discount)'!D28,2)</f>
        <v>0</v>
      </c>
      <c r="I18" s="219" t="s">
        <v>471</v>
      </c>
      <c r="Z18" s="233"/>
      <c r="AA18" s="234"/>
      <c r="AB18" s="235"/>
      <c r="AC18" s="236"/>
    </row>
    <row r="19" spans="1:41" ht="13.5" customHeight="1">
      <c r="A19" s="232"/>
      <c r="B19" s="944"/>
      <c r="C19" s="944"/>
      <c r="D19" s="944"/>
      <c r="E19" s="944"/>
      <c r="F19" s="944"/>
      <c r="H19" s="679" t="str">
        <f>'N-W (Cr.)'!P4</f>
        <v/>
      </c>
      <c r="N19" s="219" t="s">
        <v>470</v>
      </c>
      <c r="Z19" s="233"/>
      <c r="AA19" s="234"/>
      <c r="AB19" s="235"/>
      <c r="AC19" s="236"/>
    </row>
    <row r="20" spans="1:41" ht="39" customHeight="1">
      <c r="B20" s="945" t="s">
        <v>230</v>
      </c>
      <c r="C20" s="945"/>
      <c r="D20" s="945"/>
      <c r="E20" s="945"/>
      <c r="F20" s="945"/>
      <c r="H20" s="218" t="s">
        <v>301</v>
      </c>
      <c r="AE20" s="222">
        <v>18</v>
      </c>
      <c r="AF20" s="222" t="s">
        <v>216</v>
      </c>
    </row>
    <row r="21" spans="1:41" s="218" customFormat="1" ht="27.75" customHeight="1">
      <c r="A21" s="237">
        <v>2</v>
      </c>
      <c r="B21" s="952" t="s">
        <v>231</v>
      </c>
      <c r="C21" s="952"/>
      <c r="D21" s="952"/>
      <c r="E21" s="952"/>
      <c r="F21" s="952"/>
      <c r="Z21" s="238"/>
      <c r="AA21" s="238"/>
      <c r="AB21" s="238"/>
      <c r="AC21" s="238"/>
      <c r="AD21" s="239"/>
      <c r="AE21" s="222">
        <v>19</v>
      </c>
      <c r="AF21" s="222" t="s">
        <v>216</v>
      </c>
      <c r="AG21" s="239"/>
      <c r="AH21" s="239"/>
      <c r="AI21" s="239"/>
      <c r="AJ21" s="239"/>
      <c r="AK21" s="239"/>
      <c r="AL21" s="239"/>
      <c r="AM21" s="239"/>
      <c r="AN21" s="239"/>
      <c r="AO21" s="239"/>
    </row>
    <row r="22" spans="1:41" ht="39.75" customHeight="1">
      <c r="A22" s="232">
        <v>2.1</v>
      </c>
      <c r="B22" s="951" t="s">
        <v>232</v>
      </c>
      <c r="C22" s="951"/>
      <c r="D22" s="951"/>
      <c r="E22" s="951"/>
      <c r="F22" s="951"/>
      <c r="AE22" s="222">
        <v>20</v>
      </c>
      <c r="AF22" s="222" t="s">
        <v>216</v>
      </c>
    </row>
    <row r="23" spans="1:41" ht="36.75" customHeight="1">
      <c r="B23" s="950" t="s">
        <v>233</v>
      </c>
      <c r="C23" s="950"/>
      <c r="D23" s="951" t="s">
        <v>234</v>
      </c>
      <c r="E23" s="951"/>
      <c r="F23" s="951"/>
      <c r="AE23" s="222">
        <v>21</v>
      </c>
      <c r="AF23" s="222" t="s">
        <v>209</v>
      </c>
    </row>
    <row r="24" spans="1:41" ht="33" customHeight="1">
      <c r="B24" s="950" t="s">
        <v>235</v>
      </c>
      <c r="C24" s="950"/>
      <c r="D24" s="231" t="s">
        <v>303</v>
      </c>
      <c r="E24" s="231"/>
      <c r="F24" s="231"/>
      <c r="AE24" s="222">
        <v>22</v>
      </c>
      <c r="AF24" s="222" t="s">
        <v>216</v>
      </c>
    </row>
    <row r="25" spans="1:41" ht="27.95" customHeight="1">
      <c r="B25" s="950" t="s">
        <v>236</v>
      </c>
      <c r="C25" s="950"/>
      <c r="D25" s="231" t="s">
        <v>237</v>
      </c>
      <c r="E25" s="231"/>
      <c r="F25" s="231"/>
      <c r="H25" s="240" t="str">
        <f>'[6]Names of Bidder'!D6</f>
        <v>Sole Bidder</v>
      </c>
      <c r="AE25" s="222">
        <v>23</v>
      </c>
      <c r="AF25" s="222" t="s">
        <v>216</v>
      </c>
    </row>
    <row r="26" spans="1:41" ht="27.95" customHeight="1">
      <c r="B26" s="950" t="s">
        <v>238</v>
      </c>
      <c r="C26" s="950"/>
      <c r="D26" s="231" t="s">
        <v>239</v>
      </c>
      <c r="E26" s="231"/>
      <c r="F26" s="231"/>
      <c r="AE26" s="222">
        <v>24</v>
      </c>
      <c r="AF26" s="222" t="s">
        <v>216</v>
      </c>
    </row>
    <row r="27" spans="1:41" ht="27.95" customHeight="1">
      <c r="B27" s="950" t="s">
        <v>240</v>
      </c>
      <c r="C27" s="950"/>
      <c r="D27" s="231" t="s">
        <v>241</v>
      </c>
      <c r="E27" s="231"/>
      <c r="F27" s="231"/>
      <c r="AE27" s="222">
        <v>25</v>
      </c>
      <c r="AF27" s="222" t="s">
        <v>216</v>
      </c>
    </row>
    <row r="28" spans="1:41" ht="27.95" customHeight="1">
      <c r="B28" s="950" t="s">
        <v>242</v>
      </c>
      <c r="C28" s="950"/>
      <c r="D28" s="231" t="s">
        <v>243</v>
      </c>
      <c r="E28" s="231"/>
      <c r="F28" s="231"/>
      <c r="AE28" s="222">
        <v>26</v>
      </c>
      <c r="AF28" s="222" t="s">
        <v>216</v>
      </c>
    </row>
    <row r="29" spans="1:41" ht="27.95" customHeight="1">
      <c r="B29" s="950" t="s">
        <v>30</v>
      </c>
      <c r="C29" s="950"/>
      <c r="D29" s="231" t="s">
        <v>244</v>
      </c>
      <c r="E29" s="231"/>
      <c r="F29" s="231"/>
      <c r="AE29" s="222">
        <v>27</v>
      </c>
      <c r="AF29" s="222" t="s">
        <v>216</v>
      </c>
    </row>
    <row r="30" spans="1:41" ht="98.25" customHeight="1">
      <c r="A30" s="241">
        <v>2.2000000000000002</v>
      </c>
      <c r="B30" s="951" t="s">
        <v>245</v>
      </c>
      <c r="C30" s="951"/>
      <c r="D30" s="951"/>
      <c r="E30" s="951"/>
      <c r="F30" s="951"/>
      <c r="AE30" s="222">
        <v>28</v>
      </c>
      <c r="AF30" s="222" t="s">
        <v>216</v>
      </c>
    </row>
    <row r="31" spans="1:41" ht="68.25" customHeight="1">
      <c r="A31" s="241">
        <v>2.2999999999999998</v>
      </c>
      <c r="B31" s="951" t="s">
        <v>246</v>
      </c>
      <c r="C31" s="951"/>
      <c r="D31" s="951"/>
      <c r="E31" s="951"/>
      <c r="F31" s="951"/>
      <c r="AE31" s="222">
        <v>29</v>
      </c>
      <c r="AF31" s="222" t="s">
        <v>216</v>
      </c>
    </row>
    <row r="32" spans="1:41" ht="129.75" customHeight="1">
      <c r="A32" s="241">
        <v>2.4</v>
      </c>
      <c r="B32" s="951" t="s">
        <v>247</v>
      </c>
      <c r="C32" s="951"/>
      <c r="D32" s="951"/>
      <c r="E32" s="951"/>
      <c r="F32" s="951"/>
      <c r="AE32" s="222">
        <v>30</v>
      </c>
      <c r="AF32" s="222" t="s">
        <v>216</v>
      </c>
    </row>
    <row r="33" spans="1:32" ht="79.5" customHeight="1">
      <c r="A33" s="241">
        <v>2.5</v>
      </c>
      <c r="B33" s="951" t="s">
        <v>248</v>
      </c>
      <c r="C33" s="951"/>
      <c r="D33" s="951"/>
      <c r="E33" s="951"/>
      <c r="F33" s="951"/>
      <c r="AE33" s="222">
        <v>31</v>
      </c>
      <c r="AF33" s="222" t="s">
        <v>209</v>
      </c>
    </row>
    <row r="34" spans="1:32" ht="81" customHeight="1">
      <c r="A34" s="232">
        <v>3</v>
      </c>
      <c r="B34" s="951" t="s">
        <v>249</v>
      </c>
      <c r="C34" s="951"/>
      <c r="D34" s="951"/>
      <c r="E34" s="951"/>
      <c r="F34" s="951"/>
    </row>
    <row r="35" spans="1:32" ht="63" customHeight="1">
      <c r="A35" s="232">
        <v>3.1</v>
      </c>
      <c r="B35" s="953" t="s">
        <v>304</v>
      </c>
      <c r="C35" s="953"/>
      <c r="D35" s="953"/>
      <c r="E35" s="953"/>
      <c r="F35" s="953"/>
    </row>
    <row r="36" spans="1:32" ht="114" customHeight="1">
      <c r="A36" s="241">
        <v>3.2</v>
      </c>
      <c r="B36" s="951" t="s">
        <v>305</v>
      </c>
      <c r="C36" s="951"/>
      <c r="D36" s="951"/>
      <c r="E36" s="951"/>
      <c r="F36" s="951"/>
    </row>
    <row r="37" spans="1:32" ht="65.25" customHeight="1">
      <c r="A37" s="241">
        <v>3.3</v>
      </c>
      <c r="B37" s="951" t="s">
        <v>306</v>
      </c>
      <c r="C37" s="951"/>
      <c r="D37" s="951"/>
      <c r="E37" s="951"/>
      <c r="F37" s="951"/>
    </row>
    <row r="38" spans="1:32" ht="66" customHeight="1">
      <c r="A38" s="232">
        <v>4</v>
      </c>
      <c r="B38" s="951" t="s">
        <v>250</v>
      </c>
      <c r="C38" s="951"/>
      <c r="D38" s="951"/>
      <c r="E38" s="951"/>
      <c r="F38" s="951"/>
    </row>
    <row r="39" spans="1:32" ht="93" customHeight="1">
      <c r="A39" s="232">
        <v>5</v>
      </c>
      <c r="B39" s="951" t="s">
        <v>251</v>
      </c>
      <c r="C39" s="951"/>
      <c r="D39" s="951"/>
      <c r="E39" s="951"/>
      <c r="F39" s="951"/>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180</v>
      </c>
      <c r="C41" s="244"/>
      <c r="D41" s="245"/>
      <c r="E41" s="245"/>
      <c r="F41" s="245"/>
    </row>
    <row r="42" spans="1:32" ht="20.25" customHeight="1">
      <c r="B42" s="246"/>
      <c r="C42" s="245"/>
      <c r="D42" s="245"/>
      <c r="E42" s="242"/>
      <c r="F42" s="247" t="s">
        <v>181</v>
      </c>
    </row>
    <row r="43" spans="1:32" ht="18" customHeight="1">
      <c r="B43" s="246"/>
      <c r="C43" s="245"/>
      <c r="D43" s="242"/>
      <c r="E43" s="242"/>
      <c r="F43" s="247" t="str">
        <f>"For and on behalf of  " &amp; 'Sch-1'!A7</f>
        <v xml:space="preserve">For and on behalf of  </v>
      </c>
    </row>
    <row r="44" spans="1:32" ht="30" customHeight="1">
      <c r="A44" s="219"/>
      <c r="B44" s="219"/>
      <c r="C44" s="248"/>
      <c r="D44" s="219"/>
      <c r="E44" s="249" t="s">
        <v>252</v>
      </c>
      <c r="F44" s="224"/>
    </row>
    <row r="45" spans="1:32" ht="30" customHeight="1">
      <c r="A45" s="250" t="s">
        <v>182</v>
      </c>
      <c r="B45" s="957" t="str">
        <f>Discount!C39</f>
        <v xml:space="preserve">  </v>
      </c>
      <c r="C45" s="948"/>
      <c r="D45" s="219"/>
      <c r="E45" s="249" t="s">
        <v>183</v>
      </c>
      <c r="F45" s="456">
        <f>Discount!F39</f>
        <v>0</v>
      </c>
    </row>
    <row r="46" spans="1:32" ht="30" customHeight="1">
      <c r="A46" s="250" t="s">
        <v>184</v>
      </c>
      <c r="B46" s="960" t="str">
        <f>Discount!C40</f>
        <v/>
      </c>
      <c r="C46" s="948"/>
      <c r="D46" s="219"/>
      <c r="E46" s="249" t="s">
        <v>185</v>
      </c>
      <c r="F46" s="456">
        <f>Discount!F40</f>
        <v>0</v>
      </c>
    </row>
    <row r="47" spans="1:32" ht="30" customHeight="1">
      <c r="B47" s="218"/>
      <c r="D47" s="219"/>
      <c r="E47" s="249" t="s">
        <v>253</v>
      </c>
    </row>
    <row r="48" spans="1:32" ht="30" customHeight="1">
      <c r="A48" s="954" t="str">
        <f>IF(H25="Sole Bidder", "", "In case of bid from a Joint Venture, name &amp; designation of representative of JV partner is to be provided and Bid Form is also to be signed by him.")</f>
        <v/>
      </c>
      <c r="B48" s="954"/>
      <c r="C48" s="954"/>
      <c r="D48" s="954"/>
      <c r="E48" s="954"/>
      <c r="F48" s="954"/>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254</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959" t="s">
        <v>255</v>
      </c>
      <c r="B55" s="959"/>
      <c r="C55" s="959"/>
      <c r="D55" s="729"/>
      <c r="E55" s="729"/>
      <c r="F55" s="729"/>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955"/>
      <c r="B56" s="955"/>
      <c r="C56" s="955"/>
      <c r="D56" s="729"/>
      <c r="E56" s="729"/>
      <c r="F56" s="729"/>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956"/>
      <c r="B57" s="956"/>
      <c r="C57" s="956"/>
      <c r="D57" s="729"/>
      <c r="E57" s="729"/>
      <c r="F57" s="729"/>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958" t="s">
        <v>256</v>
      </c>
      <c r="B58" s="958"/>
      <c r="C58" s="958"/>
      <c r="D58" s="729"/>
      <c r="E58" s="729"/>
      <c r="F58" s="729"/>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958" t="s">
        <v>257</v>
      </c>
      <c r="B59" s="958"/>
      <c r="C59" s="958"/>
      <c r="D59" s="729"/>
      <c r="E59" s="729"/>
      <c r="F59" s="729"/>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958" t="s">
        <v>258</v>
      </c>
      <c r="B60" s="958"/>
      <c r="C60" s="958"/>
      <c r="D60" s="729"/>
      <c r="E60" s="729"/>
      <c r="F60" s="729"/>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959" t="s">
        <v>259</v>
      </c>
      <c r="B61" s="959"/>
      <c r="C61" s="959"/>
      <c r="D61" s="729"/>
      <c r="E61" s="729"/>
      <c r="F61" s="729"/>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955"/>
      <c r="B62" s="955"/>
      <c r="C62" s="955"/>
      <c r="D62" s="729"/>
      <c r="E62" s="729"/>
      <c r="F62" s="729"/>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956"/>
      <c r="B63" s="956"/>
      <c r="C63" s="956"/>
      <c r="D63" s="729"/>
      <c r="E63" s="729"/>
      <c r="F63" s="729"/>
      <c r="H63" s="224"/>
      <c r="Z63" s="238"/>
      <c r="AA63" s="238"/>
      <c r="AB63" s="238"/>
      <c r="AC63" s="238"/>
      <c r="AD63" s="239"/>
      <c r="AE63" s="222"/>
      <c r="AF63" s="222"/>
      <c r="AG63" s="239"/>
      <c r="AH63" s="239"/>
      <c r="AI63" s="239"/>
      <c r="AJ63" s="239"/>
      <c r="AK63" s="239"/>
      <c r="AL63" s="239"/>
      <c r="AM63" s="239"/>
      <c r="AN63" s="239"/>
      <c r="AO63" s="239"/>
    </row>
    <row r="64" spans="1:41" s="218" customFormat="1" ht="33" customHeight="1">
      <c r="A64" s="961" t="s">
        <v>115</v>
      </c>
      <c r="B64" s="961"/>
      <c r="C64" s="961"/>
      <c r="D64" s="961"/>
      <c r="E64" s="961"/>
      <c r="F64" s="961"/>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224"/>
      <c r="B65" s="224"/>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c r="A67" s="224"/>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sheetData>
  <sheetProtection algorithmName="SHA-512" hashValue="6qgdorb9DsLLrUdrjKYiopdAy93HWEOJnOSgCwYDlSZcHXfs3PH3QAiBaCSxJE/kdYzEGomLN9LVoE+a8KQPOQ==" saltValue="jqRFDyAI5xFcKrnIP2W/kQ==" spinCount="100000" sheet="1" formatColumns="0" formatRows="0" selectLockedCells="1"/>
  <customSheetViews>
    <customSheetView guid="{84F40905-A9D3-43A5-987A-8A757D486A94}" showPageBreaks="1" showGridLines="0" zeroValues="0" fitToPage="1" printArea="1" hiddenColumns="1" view="pageBreakPreview" topLeftCell="A55">
      <selection activeCell="F51" sqref="F51"/>
      <rowBreaks count="1" manualBreakCount="1">
        <brk id="53" max="5" man="1"/>
      </rowBreaks>
      <pageMargins left="0.75" right="0.77" top="0.62" bottom="0.61" header="0.39" footer="0.32"/>
      <pageSetup scale="80" fitToHeight="3" orientation="portrait" r:id="rId1"/>
      <headerFooter alignWithMargins="0">
        <oddFooter>&amp;R&amp;"Book Antiqua,Bold"&amp;8Bid Form (1st Envelope)  / Page &amp;P of &amp;N</oddFooter>
      </headerFooter>
    </customSheetView>
    <customSheetView guid="{BDFA0401-0547-4E51-8BD2-84F711B066C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2"/>
      <headerFooter alignWithMargins="0">
        <oddFooter>&amp;R&amp;"Book Antiqua,Bold"&amp;8Bid Form (1st Envelope)  / Page &amp;P of &amp;N</oddFooter>
      </headerFooter>
    </customSheetView>
    <customSheetView guid="{112647D2-7580-431B-99B5-DD512E2AD50E}" showGridLines="0" zeroValues="0" fitToPage="1" hiddenColumns="1">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4"/>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8"/>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F8A50AE1-259E-429D-A506-38EB64D134EF}"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79" fitToHeight="3" orientation="portrait" r:id="rId10"/>
      <headerFooter alignWithMargins="0">
        <oddFooter>&amp;R&amp;"Book Antiqua,Bold"&amp;8Bid Form (1st Envelope)  / Page &amp;P of &amp;N</oddFooter>
      </headerFooter>
    </customSheetView>
    <customSheetView guid="{DEF6DCE2-4A74-4BE5-B5D5-8143DC3F770A}" showPageBreaks="1" showGridLines="0" zeroValues="0" fitToPage="1" printArea="1" hiddenColumns="1" view="pageBreakPreview" topLeftCell="A55">
      <selection activeCell="D55" sqref="D55:F63"/>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F658ED72-5E54-4C5B-BB2C-7A2962080984}" showPageBreaks="1" showGridLines="0" zeroValues="0" fitToPage="1" printArea="1" hiddenColumns="1" topLeftCell="A7">
      <selection activeCell="D55" sqref="D55:F63"/>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 guid="{BE68641D-0C1E-4F8D-890A-A660C199187C}" showGridLines="0" zeroValues="0" fitToPage="1" hiddenColumns="1">
      <selection activeCell="D55" sqref="D55:D63"/>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 guid="{AD0333DF-5B33-49B5-B063-72505D20EFE4}" showGridLines="0" zeroValues="0" fitToPage="1" hiddenColumns="1" topLeftCell="A22">
      <selection activeCell="D55" sqref="D55:D63"/>
      <rowBreaks count="1" manualBreakCount="1">
        <brk id="53" max="5" man="1"/>
      </rowBreaks>
      <pageMargins left="0.75" right="0.77" top="0.62" bottom="0.61" header="0.39" footer="0.32"/>
      <pageSetup scale="79" fitToHeight="3" orientation="portrait" r:id="rId14"/>
      <headerFooter alignWithMargins="0">
        <oddFooter>&amp;R&amp;"Book Antiqua,Bold"&amp;8Bid Form (1st Envelope)  / Page &amp;P of &amp;N</oddFooter>
      </headerFooter>
    </customSheetView>
    <customSheetView guid="{C44C314C-9BEB-403F-A933-6B948E5C1171}" showGridLines="0" zeroValues="0" fitToPage="1" hiddenColumns="1">
      <selection activeCell="C5" sqref="C5:F5"/>
      <rowBreaks count="1" manualBreakCount="1">
        <brk id="53" max="5" man="1"/>
      </rowBreaks>
      <pageMargins left="0.75" right="0.77" top="0.62" bottom="0.61" header="0.39" footer="0.32"/>
      <pageSetup scale="79" fitToHeight="3" orientation="portrait" r:id="rId15"/>
      <headerFooter alignWithMargins="0">
        <oddFooter>&amp;R&amp;"Book Antiqua,Bold"&amp;8Bid Form (1st Envelope)  / Page &amp;P of &amp;N</oddFooter>
      </headerFooter>
    </customSheetView>
  </customSheetViews>
  <mergeCells count="39">
    <mergeCell ref="A59:C59"/>
    <mergeCell ref="A64:F64"/>
    <mergeCell ref="A60:C60"/>
    <mergeCell ref="A61:C61"/>
    <mergeCell ref="A63:C63"/>
    <mergeCell ref="A62:C62"/>
    <mergeCell ref="A48:F48"/>
    <mergeCell ref="A56:C56"/>
    <mergeCell ref="A57:C57"/>
    <mergeCell ref="B45:C45"/>
    <mergeCell ref="A58:C58"/>
    <mergeCell ref="A55:C55"/>
    <mergeCell ref="B46:C46"/>
    <mergeCell ref="B31:F31"/>
    <mergeCell ref="B38:F38"/>
    <mergeCell ref="B39:F39"/>
    <mergeCell ref="B35:F35"/>
    <mergeCell ref="B32:F32"/>
    <mergeCell ref="B33:F33"/>
    <mergeCell ref="B34:F34"/>
    <mergeCell ref="B36:F36"/>
    <mergeCell ref="B37:F37"/>
    <mergeCell ref="B26:C26"/>
    <mergeCell ref="B29:C29"/>
    <mergeCell ref="B30:F30"/>
    <mergeCell ref="B21:F21"/>
    <mergeCell ref="B22:F22"/>
    <mergeCell ref="B25:C25"/>
    <mergeCell ref="D23:F23"/>
    <mergeCell ref="B27:C27"/>
    <mergeCell ref="B28:C28"/>
    <mergeCell ref="B23:C23"/>
    <mergeCell ref="B24:C24"/>
    <mergeCell ref="B17:F19"/>
    <mergeCell ref="B20:F20"/>
    <mergeCell ref="A3:F3"/>
    <mergeCell ref="C5:F5"/>
    <mergeCell ref="B6:C6"/>
    <mergeCell ref="C15:F15"/>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0" fitToHeight="3" orientation="portrait" r:id="rId16"/>
  <headerFooter alignWithMargins="0">
    <oddFooter>&amp;R&amp;"Book Antiqua,Bold"&amp;8Bid Form (1st Envelope)  / Page &amp;P of &amp;N</oddFooter>
  </headerFooter>
  <rowBreaks count="1" manualBreakCount="1">
    <brk id="53"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281</v>
      </c>
    </row>
    <row r="2" spans="1:9" ht="15.75">
      <c r="A2" s="336"/>
      <c r="B2" s="337"/>
      <c r="C2" s="338"/>
      <c r="D2" s="339"/>
      <c r="E2" s="340"/>
      <c r="F2" s="384"/>
      <c r="G2" s="384"/>
      <c r="H2" s="320"/>
      <c r="I2" s="341"/>
    </row>
    <row r="3" spans="1:9" ht="16.5">
      <c r="A3" s="309"/>
      <c r="B3" s="310" t="s">
        <v>268</v>
      </c>
      <c r="C3" s="311"/>
      <c r="D3" s="312"/>
      <c r="E3" s="342"/>
      <c r="F3" s="384"/>
      <c r="G3" s="384"/>
      <c r="H3" s="343">
        <f>SUMIF(I1:I2,"Direct",H1:H2)</f>
        <v>0</v>
      </c>
      <c r="I3" s="313"/>
    </row>
    <row r="4" spans="1:9" ht="33">
      <c r="A4" s="309"/>
      <c r="B4" s="310" t="s">
        <v>269</v>
      </c>
      <c r="C4" s="311"/>
      <c r="D4" s="312"/>
      <c r="E4" s="342"/>
      <c r="F4" s="384"/>
      <c r="G4" s="384"/>
      <c r="H4" s="343">
        <f>SUMIF(J1:J2,"Bought-Out",H1:H2)</f>
        <v>0</v>
      </c>
      <c r="I4" s="313"/>
    </row>
    <row r="5" spans="1:9" ht="16.5">
      <c r="A5" s="314"/>
      <c r="B5" s="310" t="s">
        <v>270</v>
      </c>
      <c r="C5" s="315"/>
      <c r="D5" s="316"/>
      <c r="E5" s="317"/>
      <c r="F5" s="317"/>
      <c r="G5" s="317"/>
      <c r="H5" s="344">
        <f>H3+H4</f>
        <v>0</v>
      </c>
      <c r="I5" s="318"/>
    </row>
    <row r="6" spans="1:9" ht="16.5">
      <c r="A6" s="319"/>
      <c r="B6" s="968" t="s">
        <v>271</v>
      </c>
      <c r="C6" s="968"/>
      <c r="D6" s="968"/>
      <c r="E6" s="320"/>
      <c r="F6" s="384"/>
      <c r="G6" s="384"/>
      <c r="H6" s="343" t="e">
        <f>'Sch-7'!#REF!</f>
        <v>#REF!</v>
      </c>
      <c r="I6" s="321"/>
    </row>
    <row r="7" spans="1:9" ht="17.25" thickBot="1">
      <c r="A7" s="322"/>
      <c r="B7" s="969" t="s">
        <v>272</v>
      </c>
      <c r="C7" s="969"/>
      <c r="D7" s="969"/>
      <c r="E7" s="323"/>
      <c r="F7" s="323"/>
      <c r="G7" s="323"/>
      <c r="H7" s="345" t="e">
        <f>H5+H6</f>
        <v>#REF!</v>
      </c>
      <c r="I7" s="324"/>
    </row>
    <row r="8" spans="1:9" ht="16.5">
      <c r="A8" s="970"/>
      <c r="B8" s="970"/>
      <c r="C8" s="970"/>
      <c r="D8" s="970"/>
      <c r="E8" s="970"/>
      <c r="F8" s="970"/>
      <c r="G8" s="970"/>
    </row>
    <row r="9" spans="1:9" ht="15.75">
      <c r="A9" s="4"/>
      <c r="B9" s="967"/>
      <c r="C9" s="967"/>
      <c r="D9" s="967"/>
      <c r="E9" s="967"/>
      <c r="F9" s="967"/>
      <c r="G9" s="967"/>
    </row>
    <row r="10" spans="1:9" ht="16.5">
      <c r="A10" s="325"/>
      <c r="B10" s="325"/>
      <c r="C10" s="325"/>
      <c r="D10" s="325"/>
      <c r="E10" s="325"/>
      <c r="F10" s="325"/>
      <c r="G10" s="325"/>
    </row>
    <row r="11" spans="1:9" ht="90" customHeight="1">
      <c r="A11" s="326" t="s">
        <v>273</v>
      </c>
      <c r="B11" s="971" t="s">
        <v>274</v>
      </c>
      <c r="C11" s="971"/>
      <c r="D11" s="971"/>
      <c r="E11" s="971"/>
      <c r="F11" s="971"/>
      <c r="G11" s="971"/>
      <c r="H11" s="971"/>
      <c r="I11" s="971"/>
    </row>
    <row r="12" spans="1:9" ht="116.25" customHeight="1">
      <c r="A12" s="327" t="s">
        <v>275</v>
      </c>
      <c r="B12" s="963" t="s">
        <v>276</v>
      </c>
      <c r="C12" s="963"/>
      <c r="D12" s="963"/>
      <c r="E12" s="963"/>
      <c r="F12" s="963"/>
      <c r="G12" s="963"/>
      <c r="H12" s="963"/>
      <c r="I12" s="963"/>
    </row>
    <row r="13" spans="1:9" ht="15.75">
      <c r="A13" s="327"/>
      <c r="B13" s="963"/>
      <c r="C13" s="963"/>
      <c r="D13" s="963"/>
      <c r="E13" s="963"/>
      <c r="F13" s="963"/>
      <c r="G13" s="963"/>
    </row>
    <row r="14" spans="1:9" ht="16.5">
      <c r="A14" s="328" t="s">
        <v>162</v>
      </c>
      <c r="B14" s="329" t="str">
        <f>'Names of Bidder'!D$27&amp;"-"&amp; 'Names of Bidder'!E$27&amp;"-" &amp;'Names of Bidder'!F$27</f>
        <v>--</v>
      </c>
      <c r="C14" s="330"/>
      <c r="D14" s="331"/>
      <c r="E14" s="3"/>
      <c r="F14" s="3"/>
      <c r="G14" s="332"/>
    </row>
    <row r="15" spans="1:9" ht="16.5">
      <c r="A15" s="328" t="s">
        <v>163</v>
      </c>
      <c r="B15" s="329" t="str">
        <f>IF('Names of Bidder'!D$28=0, "", 'Names of Bidder'!D$28)</f>
        <v/>
      </c>
      <c r="C15" s="3"/>
      <c r="D15" s="331" t="s">
        <v>144</v>
      </c>
      <c r="E15" s="332" t="str">
        <f>IF('Names of Bidder'!D$24=0, "", 'Names of Bidder'!D$24)</f>
        <v/>
      </c>
      <c r="F15" s="3"/>
      <c r="G15" s="329" t="str">
        <f>'[6]Names of Bidder'!I14&amp;"-"&amp; '[6]Names of Bidder'!J14&amp;"-" &amp;'[6]Names of Bidder'!K14</f>
        <v>--</v>
      </c>
    </row>
    <row r="16" spans="1:9" ht="16.5">
      <c r="A16" s="333"/>
      <c r="B16" s="334"/>
      <c r="C16" s="335"/>
      <c r="D16" s="331" t="s">
        <v>146</v>
      </c>
      <c r="E16" s="332" t="str">
        <f>IF('Names of Bidder'!D$25=0, "", 'Names of Bidder'!D$25)</f>
        <v/>
      </c>
      <c r="F16" s="335"/>
      <c r="G16" s="335"/>
    </row>
    <row r="18" spans="1:11">
      <c r="A18" t="s">
        <v>282</v>
      </c>
    </row>
    <row r="20" spans="1:11" ht="17.25" thickBot="1">
      <c r="A20" s="346"/>
      <c r="B20" s="347" t="s">
        <v>283</v>
      </c>
      <c r="C20" s="348"/>
      <c r="D20" s="347"/>
      <c r="E20" s="323"/>
      <c r="F20" s="323"/>
      <c r="G20" s="323"/>
      <c r="H20" s="349" t="s">
        <v>297</v>
      </c>
    </row>
    <row r="21" spans="1:11" ht="16.5" thickBot="1">
      <c r="A21" s="350"/>
      <c r="B21" s="964"/>
      <c r="C21" s="964"/>
      <c r="D21" s="964"/>
      <c r="E21" s="964"/>
      <c r="F21" s="964"/>
    </row>
    <row r="22" spans="1:11" ht="15.75">
      <c r="A22" s="351"/>
      <c r="B22" s="965"/>
      <c r="C22" s="965"/>
      <c r="D22" s="965"/>
      <c r="E22" s="965"/>
      <c r="F22" s="965"/>
    </row>
    <row r="23" spans="1:11" ht="16.5">
      <c r="A23" s="328" t="s">
        <v>162</v>
      </c>
      <c r="B23" s="329" t="s">
        <v>262</v>
      </c>
      <c r="C23" s="352"/>
      <c r="D23" s="331"/>
      <c r="E23" s="3"/>
      <c r="F23" s="3"/>
    </row>
    <row r="24" spans="1:11" ht="16.5">
      <c r="A24" s="328" t="s">
        <v>163</v>
      </c>
      <c r="B24" s="329" t="s">
        <v>263</v>
      </c>
      <c r="C24" s="4"/>
      <c r="D24" s="331" t="s">
        <v>144</v>
      </c>
      <c r="E24" s="332" t="s">
        <v>284</v>
      </c>
      <c r="F24" s="3"/>
    </row>
    <row r="25" spans="1:11" ht="16.5">
      <c r="A25" s="333"/>
      <c r="B25" s="334"/>
      <c r="C25" s="333"/>
      <c r="D25" s="331" t="s">
        <v>146</v>
      </c>
      <c r="E25" s="332" t="s">
        <v>285</v>
      </c>
      <c r="F25" s="335"/>
    </row>
    <row r="27" spans="1:11">
      <c r="A27" t="s">
        <v>286</v>
      </c>
    </row>
    <row r="29" spans="1:11" ht="16.5">
      <c r="A29" s="353"/>
      <c r="B29" s="354" t="s">
        <v>287</v>
      </c>
      <c r="C29" s="354"/>
      <c r="D29" s="354"/>
      <c r="E29" s="355"/>
      <c r="F29" s="355"/>
      <c r="G29" s="355"/>
      <c r="H29" s="355"/>
      <c r="I29" s="355"/>
      <c r="J29" s="355"/>
      <c r="K29" s="356" t="e">
        <f>SUM(#REF!)</f>
        <v>#REF!</v>
      </c>
    </row>
    <row r="30" spans="1:11" ht="15.75">
      <c r="A30" s="351"/>
      <c r="B30" s="966"/>
      <c r="C30" s="967"/>
      <c r="D30" s="967"/>
      <c r="E30" s="967"/>
      <c r="F30" s="967"/>
      <c r="G30" s="967"/>
    </row>
    <row r="31" spans="1:11" ht="16.5">
      <c r="A31" s="357" t="s">
        <v>162</v>
      </c>
      <c r="B31" s="358" t="s">
        <v>262</v>
      </c>
      <c r="C31" s="359"/>
      <c r="D31" s="360"/>
      <c r="E31" s="361"/>
      <c r="F31" s="361"/>
      <c r="G31" s="7"/>
    </row>
    <row r="32" spans="1:11" ht="16.5">
      <c r="A32" s="357" t="s">
        <v>163</v>
      </c>
      <c r="B32" s="358" t="s">
        <v>263</v>
      </c>
      <c r="C32" s="361"/>
      <c r="D32" s="360" t="s">
        <v>144</v>
      </c>
      <c r="E32" s="362" t="s">
        <v>284</v>
      </c>
      <c r="F32" s="361"/>
      <c r="G32" s="7"/>
    </row>
    <row r="33" spans="1:8" ht="16.5">
      <c r="A33" s="363"/>
      <c r="B33" s="364"/>
      <c r="C33" s="365"/>
      <c r="D33" s="360" t="s">
        <v>146</v>
      </c>
      <c r="E33" s="362" t="s">
        <v>285</v>
      </c>
      <c r="F33" s="365"/>
      <c r="G33" s="7"/>
    </row>
    <row r="35" spans="1:8">
      <c r="A35" t="s">
        <v>290</v>
      </c>
    </row>
    <row r="37" spans="1:8" ht="30">
      <c r="A37" s="366" t="s">
        <v>162</v>
      </c>
      <c r="B37" s="367" t="s">
        <v>260</v>
      </c>
      <c r="C37" s="368"/>
      <c r="D37" s="905" t="s">
        <v>288</v>
      </c>
      <c r="E37" s="905"/>
      <c r="F37" s="962"/>
    </row>
    <row r="38" spans="1:8" ht="30">
      <c r="A38" s="366" t="s">
        <v>163</v>
      </c>
      <c r="B38" s="367" t="s">
        <v>261</v>
      </c>
      <c r="C38" s="24"/>
      <c r="D38" s="905" t="s">
        <v>289</v>
      </c>
      <c r="E38" s="905"/>
      <c r="F38" s="962"/>
    </row>
    <row r="40" spans="1:8">
      <c r="A40" t="s">
        <v>291</v>
      </c>
    </row>
    <row r="42" spans="1:8" ht="30">
      <c r="A42" s="369"/>
      <c r="B42" s="370" t="s">
        <v>292</v>
      </c>
      <c r="C42" s="370"/>
      <c r="D42" s="370"/>
      <c r="E42" s="370"/>
      <c r="F42" s="370"/>
      <c r="G42" s="370"/>
      <c r="H42" s="371" t="s">
        <v>298</v>
      </c>
    </row>
    <row r="43" spans="1:8" ht="16.5">
      <c r="A43" s="372"/>
      <c r="B43" s="373"/>
      <c r="C43" s="373"/>
      <c r="D43" s="373"/>
      <c r="E43" s="373"/>
      <c r="F43" s="373"/>
      <c r="G43" s="374"/>
    </row>
    <row r="44" spans="1:8">
      <c r="A44" s="373"/>
      <c r="B44" s="373"/>
      <c r="C44" s="373"/>
      <c r="D44" s="373"/>
      <c r="E44" s="373"/>
      <c r="F44" s="373"/>
      <c r="G44" s="375"/>
    </row>
    <row r="45" spans="1:8">
      <c r="A45" s="904"/>
      <c r="B45" s="904"/>
      <c r="C45" s="904"/>
      <c r="D45" s="904"/>
      <c r="E45" s="904"/>
      <c r="F45" s="904"/>
      <c r="G45" s="904"/>
    </row>
    <row r="46" spans="1:8">
      <c r="A46" s="376"/>
      <c r="B46" s="376"/>
      <c r="C46" s="905"/>
      <c r="D46" s="905"/>
      <c r="E46" s="905"/>
      <c r="F46" s="905"/>
      <c r="G46" s="905"/>
    </row>
    <row r="47" spans="1:8">
      <c r="A47" s="377" t="s">
        <v>162</v>
      </c>
      <c r="B47" s="378" t="s">
        <v>262</v>
      </c>
      <c r="C47" s="905" t="s">
        <v>293</v>
      </c>
      <c r="D47" s="905"/>
      <c r="E47" s="905"/>
      <c r="F47" s="905"/>
      <c r="G47" s="905"/>
    </row>
    <row r="48" spans="1:8">
      <c r="A48" s="377" t="s">
        <v>163</v>
      </c>
      <c r="B48" s="379" t="s">
        <v>263</v>
      </c>
      <c r="C48" s="905" t="s">
        <v>294</v>
      </c>
      <c r="D48" s="905"/>
      <c r="E48" s="905"/>
      <c r="F48" s="905"/>
      <c r="G48" s="905"/>
    </row>
    <row r="49" spans="1:7" ht="16.5">
      <c r="A49" s="23"/>
      <c r="B49" s="22"/>
      <c r="C49" s="905"/>
      <c r="D49" s="905"/>
      <c r="E49" s="905"/>
      <c r="F49" s="905"/>
      <c r="G49" s="905"/>
    </row>
    <row r="50" spans="1:7" ht="16.5">
      <c r="A50" s="23"/>
      <c r="B50" s="22"/>
      <c r="C50" s="380"/>
      <c r="D50" s="380"/>
      <c r="E50" s="380"/>
      <c r="F50" s="380"/>
      <c r="G50" s="380"/>
    </row>
    <row r="51" spans="1:7" ht="16.5">
      <c r="A51" s="381" t="s">
        <v>295</v>
      </c>
      <c r="B51" s="906" t="s">
        <v>296</v>
      </c>
      <c r="C51" s="906"/>
      <c r="D51" s="906"/>
      <c r="E51" s="906"/>
      <c r="F51" s="906"/>
      <c r="G51" s="382"/>
    </row>
    <row r="52" spans="1:7" ht="16.5">
      <c r="A52" s="383"/>
      <c r="B52" s="26"/>
      <c r="C52" s="26"/>
      <c r="D52" s="26"/>
      <c r="E52" s="26"/>
      <c r="F52" s="26"/>
      <c r="G52" s="26"/>
    </row>
    <row r="60" spans="1:7">
      <c r="B60" t="s">
        <v>264</v>
      </c>
    </row>
    <row r="61" spans="1:7">
      <c r="B61" t="s">
        <v>265</v>
      </c>
    </row>
  </sheetData>
  <customSheetViews>
    <customSheetView guid="{84F40905-A9D3-43A5-987A-8A757D486A94}" state="hidden">
      <selection activeCell="H42" sqref="H42"/>
      <pageMargins left="0.7" right="0.7" top="0.75" bottom="0.75" header="0.3" footer="0.3"/>
      <pageSetup orientation="portrait" r:id="rId1"/>
    </customSheetView>
    <customSheetView guid="{BDFA0401-0547-4E51-8BD2-84F711B066CA}" state="hidden">
      <selection activeCell="H42" sqref="H42"/>
      <pageMargins left="0.7" right="0.7" top="0.75" bottom="0.75" header="0.3" footer="0.3"/>
      <pageSetup orientation="portrait" r:id="rId2"/>
    </customSheetView>
    <customSheetView guid="{112647D2-7580-431B-99B5-DD512E2AD50E}" state="hidden">
      <selection activeCell="H42" sqref="H42"/>
      <pageMargins left="0.7" right="0.7" top="0.75" bottom="0.75" header="0.3" footer="0.3"/>
      <pageSetup orientation="portrait" r:id="rId3"/>
    </customSheetView>
    <customSheetView guid="{63D51328-7CBC-4A1E-B96D-BAE91416501B}" state="hidden">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CCA37BAE-906F-43D5-9FD9-B13563E4B9D7}" state="hidden">
      <selection activeCell="H42" sqref="H42"/>
      <pageMargins left="0.7" right="0.7" top="0.75" bottom="0.75" header="0.3" footer="0.3"/>
    </customSheetView>
    <customSheetView guid="{F8A50AE1-259E-429D-A506-38EB64D134EF}" state="hidden">
      <selection activeCell="H42" sqref="H42"/>
      <pageMargins left="0.7" right="0.7" top="0.75" bottom="0.75" header="0.3" footer="0.3"/>
    </customSheetView>
    <customSheetView guid="{DEF6DCE2-4A74-4BE5-B5D5-8143DC3F770A}" state="hidden">
      <selection activeCell="H42" sqref="H42"/>
      <pageMargins left="0.7" right="0.7" top="0.75" bottom="0.75" header="0.3" footer="0.3"/>
      <pageSetup orientation="portrait" r:id="rId4"/>
    </customSheetView>
    <customSheetView guid="{F658ED72-5E54-4C5B-BB2C-7A2962080984}" state="hidden">
      <selection activeCell="H42" sqref="H42"/>
      <pageMargins left="0.7" right="0.7" top="0.75" bottom="0.75" header="0.3" footer="0.3"/>
      <pageSetup orientation="portrait" r:id="rId5"/>
    </customSheetView>
    <customSheetView guid="{BE68641D-0C1E-4F8D-890A-A660C199187C}" state="hidden">
      <selection activeCell="H42" sqref="H42"/>
      <pageMargins left="0.7" right="0.7" top="0.75" bottom="0.75" header="0.3" footer="0.3"/>
      <pageSetup orientation="portrait" r:id="rId6"/>
    </customSheetView>
    <customSheetView guid="{AD0333DF-5B33-49B5-B063-72505D20EFE4}" state="hidden">
      <selection activeCell="H42" sqref="H42"/>
      <pageMargins left="0.7" right="0.7" top="0.75" bottom="0.75" header="0.3" footer="0.3"/>
      <pageSetup orientation="portrait" r:id="rId7"/>
    </customSheetView>
    <customSheetView guid="{C44C314C-9BEB-403F-A933-6B948E5C1171}" state="hidden">
      <selection activeCell="H42" sqref="H42"/>
      <pageMargins left="0.7" right="0.7" top="0.75" bottom="0.75" header="0.3" footer="0.3"/>
      <pageSetup orientation="portrait" r:id="rId8"/>
    </customSheetView>
  </customSheetViews>
  <mergeCells count="18">
    <mergeCell ref="B6:D6"/>
    <mergeCell ref="B7:D7"/>
    <mergeCell ref="A8:G8"/>
    <mergeCell ref="B9:G9"/>
    <mergeCell ref="B11:I11"/>
    <mergeCell ref="B13:G13"/>
    <mergeCell ref="B21:F21"/>
    <mergeCell ref="B22:F22"/>
    <mergeCell ref="B30:G30"/>
    <mergeCell ref="B12:I12"/>
    <mergeCell ref="C48:G48"/>
    <mergeCell ref="C49:G49"/>
    <mergeCell ref="B51:F51"/>
    <mergeCell ref="D37:F37"/>
    <mergeCell ref="D38:F38"/>
    <mergeCell ref="A45:G45"/>
    <mergeCell ref="C46:G46"/>
    <mergeCell ref="C47:G47"/>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84F40905-A9D3-43A5-987A-8A757D486A94}" state="hidden">
      <pageMargins left="0.7" right="0.7" top="0.75" bottom="0.75" header="0.3" footer="0.3"/>
      <pageSetup orientation="portrait" r:id="rId1"/>
    </customSheetView>
    <customSheetView guid="{BDFA0401-0547-4E51-8BD2-84F711B066CA}" state="hidden">
      <pageMargins left="0.7" right="0.7" top="0.75" bottom="0.75" header="0.3" footer="0.3"/>
      <pageSetup orientation="portrait" r:id="rId2"/>
    </customSheetView>
    <customSheetView guid="{112647D2-7580-431B-99B5-DD512E2AD50E}" state="hidden">
      <pageMargins left="0.7" right="0.7" top="0.75" bottom="0.75" header="0.3" footer="0.3"/>
      <pageSetup orientation="portrait" r:id="rId3"/>
    </customSheetView>
    <customSheetView guid="{63D51328-7CBC-4A1E-B96D-BAE91416501B}" state="hidden">
      <pageMargins left="0.7" right="0.7" top="0.75" bottom="0.75" header="0.3" footer="0.3"/>
    </customSheetView>
    <customSheetView guid="{99CA2F10-F926-46DC-8609-4EAE5B9F3585}" state="hidden">
      <pageMargins left="0.7" right="0.7" top="0.75" bottom="0.75" header="0.3" footer="0.3"/>
    </customSheetView>
    <customSheetView guid="{3C00DDA0-7DDE-4169-A739-550DAF5DCF8D}" state="hidden">
      <pageMargins left="0.7" right="0.7" top="0.75" bottom="0.75" header="0.3" footer="0.3"/>
    </customSheetView>
    <customSheetView guid="{357C9841-BEC3-434B-AC63-C04FB4321BA3}" state="hidden">
      <pageMargins left="0.7" right="0.7" top="0.75" bottom="0.75" header="0.3" footer="0.3"/>
    </customSheetView>
    <customSheetView guid="{B96E710B-6DD7-4DE1-95AB-C9EE060CD030}" state="hidden">
      <pageMargins left="0.7" right="0.7" top="0.75" bottom="0.75" header="0.3" footer="0.3"/>
    </customSheetView>
    <customSheetView guid="{CCA37BAE-906F-43D5-9FD9-B13563E4B9D7}" state="hidden">
      <pageMargins left="0.7" right="0.7" top="0.75" bottom="0.75" header="0.3" footer="0.3"/>
    </customSheetView>
    <customSheetView guid="{F8A50AE1-259E-429D-A506-38EB64D134EF}" state="hidden">
      <pageMargins left="0.7" right="0.7" top="0.75" bottom="0.75" header="0.3" footer="0.3"/>
    </customSheetView>
    <customSheetView guid="{DEF6DCE2-4A74-4BE5-B5D5-8143DC3F770A}" state="hidden">
      <pageMargins left="0.7" right="0.7" top="0.75" bottom="0.75" header="0.3" footer="0.3"/>
      <pageSetup orientation="portrait" r:id="rId4"/>
    </customSheetView>
    <customSheetView guid="{F658ED72-5E54-4C5B-BB2C-7A2962080984}" state="hidden">
      <pageMargins left="0.7" right="0.7" top="0.75" bottom="0.75" header="0.3" footer="0.3"/>
      <pageSetup orientation="portrait" r:id="rId5"/>
    </customSheetView>
    <customSheetView guid="{BE68641D-0C1E-4F8D-890A-A660C199187C}" state="hidden">
      <pageMargins left="0.7" right="0.7" top="0.75" bottom="0.75" header="0.3" footer="0.3"/>
      <pageSetup orientation="portrait" r:id="rId6"/>
    </customSheetView>
    <customSheetView guid="{AD0333DF-5B33-49B5-B063-72505D20EFE4}" state="hidden">
      <pageMargins left="0.7" right="0.7" top="0.75" bottom="0.75" header="0.3" footer="0.3"/>
      <pageSetup orientation="portrait" r:id="rId7"/>
    </customSheetView>
    <customSheetView guid="{C44C314C-9BEB-403F-A933-6B948E5C1171}"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64" hidden="1" customWidth="1"/>
    <col min="2" max="2" width="13.28515625" style="664" hidden="1" customWidth="1"/>
    <col min="3" max="3" width="0" style="664" hidden="1" customWidth="1"/>
    <col min="4" max="4" width="10.28515625" style="664" hidden="1" customWidth="1"/>
    <col min="5" max="5" width="3.42578125" style="664" hidden="1" customWidth="1"/>
    <col min="6" max="6" width="5.5703125" style="664" hidden="1" customWidth="1"/>
    <col min="7" max="7" width="11.42578125" style="664" hidden="1" customWidth="1"/>
    <col min="8" max="8" width="0" style="664" hidden="1" customWidth="1"/>
    <col min="9" max="9" width="10" style="664" hidden="1" customWidth="1"/>
    <col min="10" max="10" width="3.28515625" style="664" hidden="1" customWidth="1"/>
    <col min="11" max="11" width="5" style="664" hidden="1" customWidth="1"/>
    <col min="12" max="12" width="11.28515625" style="664" hidden="1" customWidth="1"/>
    <col min="13" max="13" width="0" style="664" hidden="1" customWidth="1"/>
    <col min="14" max="14" width="10.28515625" style="664" hidden="1" customWidth="1"/>
    <col min="15" max="15" width="3.7109375" style="664" hidden="1" customWidth="1"/>
    <col min="16" max="16" width="6.42578125" style="664" customWidth="1"/>
    <col min="17" max="17" width="14.85546875" style="664" customWidth="1"/>
    <col min="18" max="18" width="9.140625" style="664" customWidth="1"/>
    <col min="19" max="19" width="12" style="664" customWidth="1"/>
    <col min="20" max="20" width="3.28515625" style="664" hidden="1" customWidth="1"/>
    <col min="21" max="21" width="6.140625" style="664" hidden="1" customWidth="1"/>
    <col min="22" max="22" width="8.5703125" style="664" hidden="1" customWidth="1"/>
    <col min="23" max="23" width="8.42578125" style="664" hidden="1" customWidth="1"/>
    <col min="24" max="24" width="8.85546875" style="664" hidden="1" customWidth="1"/>
    <col min="25" max="116" width="0" style="664" hidden="1" customWidth="1"/>
    <col min="117" max="16384" width="9.140625" style="664"/>
  </cols>
  <sheetData>
    <row r="1" spans="1:27" ht="13.5" thickBot="1">
      <c r="A1" s="972" t="e">
        <v>#REF!</v>
      </c>
      <c r="B1" s="973"/>
      <c r="C1" s="644"/>
      <c r="D1" s="645"/>
      <c r="E1" s="669"/>
      <c r="F1" s="972">
        <v>0</v>
      </c>
      <c r="G1" s="973"/>
      <c r="H1" s="644"/>
      <c r="I1" s="645"/>
      <c r="K1" s="972" t="e">
        <v>#REF!</v>
      </c>
      <c r="L1" s="973"/>
      <c r="M1" s="644"/>
      <c r="N1" s="645"/>
      <c r="P1" s="972">
        <f>'Sch-6 (After Discount)'!D28</f>
        <v>0</v>
      </c>
      <c r="Q1" s="973"/>
      <c r="R1" s="644"/>
      <c r="S1" s="645"/>
      <c r="U1" s="668" t="e">
        <v>#REF!</v>
      </c>
    </row>
    <row r="2" spans="1:27">
      <c r="A2" s="974"/>
      <c r="B2" s="975"/>
      <c r="C2" s="644"/>
      <c r="D2" s="645"/>
      <c r="E2" s="669"/>
      <c r="F2" s="646"/>
      <c r="G2" s="644"/>
      <c r="H2" s="644"/>
      <c r="I2" s="645"/>
      <c r="K2" s="646"/>
      <c r="L2" s="644"/>
      <c r="M2" s="644"/>
      <c r="N2" s="645"/>
      <c r="P2" s="646"/>
      <c r="Q2" s="644"/>
      <c r="R2" s="644"/>
      <c r="S2" s="645"/>
      <c r="U2" s="668" t="e">
        <v>#REF!</v>
      </c>
    </row>
    <row r="3" spans="1:27">
      <c r="A3" s="646"/>
      <c r="B3" s="647"/>
      <c r="C3" s="647"/>
      <c r="D3" s="648"/>
      <c r="E3" s="670"/>
      <c r="F3" s="646"/>
      <c r="G3" s="647"/>
      <c r="H3" s="647"/>
      <c r="I3" s="648"/>
      <c r="K3" s="646"/>
      <c r="L3" s="647"/>
      <c r="M3" s="647"/>
      <c r="N3" s="648"/>
      <c r="P3" s="646"/>
      <c r="Q3" s="647"/>
      <c r="R3" s="647"/>
      <c r="S3" s="648"/>
      <c r="U3" s="668" t="s">
        <v>464</v>
      </c>
    </row>
    <row r="4" spans="1:27" ht="66.75" customHeight="1" thickBot="1">
      <c r="A4" s="982" t="e">
        <f>IF(OR((A1&gt;9999999999),(A1&lt;0)),"Invalid Entry - More than 1000 crore OR -ve value",IF(A1=0, "",+CONCATENATE(#REF!,B11,D11,B10,D10,B9,D9,B8,D8,B7,D7,B6," Only")))</f>
        <v>#REF!</v>
      </c>
      <c r="B4" s="983"/>
      <c r="C4" s="983"/>
      <c r="D4" s="984"/>
      <c r="E4" s="671"/>
      <c r="F4" s="982" t="str">
        <f>IF(OR((F1&gt;9999999999),(F1&lt;0)),"Invalid Entry - More than 1000 crore OR -ve value",IF(F1=0, "",+CONCATENATE(U1, G11,I11,G10,I10,G9,I9,G8,I8,G7,I7,G6," Only")))</f>
        <v/>
      </c>
      <c r="G4" s="983"/>
      <c r="H4" s="983"/>
      <c r="I4" s="984"/>
      <c r="J4" s="671"/>
      <c r="K4" s="982" t="e">
        <f>IF(OR((K1&gt;9999999999),(K1&lt;0)),"Invalid Entry - More than 1000 crore OR -ve value",IF(K1=0, "",+CONCATENATE(U2, L11,N11,L10,N10,L9,N9,L8,N8,L7,N7,L6," Only")))</f>
        <v>#REF!</v>
      </c>
      <c r="L4" s="983"/>
      <c r="M4" s="983"/>
      <c r="N4" s="984"/>
      <c r="P4" s="982" t="str">
        <f>IF(OR((P1&gt;9999999999),(P1&lt;0)),"Invalid Entry - More than 1000 crore OR -ve value",IF(P1=0, "",+CONCATENATE(U3, Q11,S11,Q10,S10,Q9,S9,Q8,S8,Q7,S7,Q6," Only")))</f>
        <v/>
      </c>
      <c r="Q4" s="983"/>
      <c r="R4" s="983"/>
      <c r="S4" s="984"/>
      <c r="U4" s="976" t="e">
        <f>VLOOKUP(1,T28:Y43,6,FALSE)</f>
        <v>#N/A</v>
      </c>
      <c r="V4" s="976"/>
      <c r="W4" s="976"/>
      <c r="X4" s="976"/>
      <c r="Y4" s="976"/>
      <c r="Z4" s="976"/>
      <c r="AA4" s="976"/>
    </row>
    <row r="5" spans="1:27" ht="18.75" customHeight="1" thickBot="1">
      <c r="A5" s="646"/>
      <c r="B5" s="647"/>
      <c r="C5" s="647"/>
      <c r="D5" s="648"/>
      <c r="E5" s="670"/>
      <c r="F5" s="646"/>
      <c r="G5" s="647"/>
      <c r="H5" s="647"/>
      <c r="I5" s="648"/>
      <c r="K5" s="646"/>
      <c r="L5" s="647"/>
      <c r="M5" s="647"/>
      <c r="N5" s="648"/>
      <c r="P5" s="646"/>
      <c r="Q5" s="647"/>
      <c r="R5" s="647"/>
      <c r="S5" s="648"/>
      <c r="U5" s="977" t="e">
        <f>VLOOKUP(1,T8:Y23,6,FALSE)</f>
        <v>#N/A</v>
      </c>
      <c r="V5" s="978"/>
      <c r="W5" s="978"/>
      <c r="X5" s="978"/>
      <c r="Y5" s="978"/>
      <c r="Z5" s="978"/>
      <c r="AA5" s="979"/>
    </row>
    <row r="6" spans="1:27">
      <c r="A6" s="649" t="e">
        <f>-INT(A1/100)*100+ROUND(A1,0)</f>
        <v>#REF!</v>
      </c>
      <c r="B6" s="647" t="e">
        <f t="shared" ref="B6:B11" si="0">IF(A6=0,"",LOOKUP(A6,$A$13:$A$112,$B$13:$B$112))</f>
        <v>#REF!</v>
      </c>
      <c r="C6" s="647"/>
      <c r="D6" s="650"/>
      <c r="E6" s="670"/>
      <c r="F6" s="649">
        <f>-INT(F1/100)*100+ROUND(F1,0)</f>
        <v>0</v>
      </c>
      <c r="G6" s="647" t="str">
        <f t="shared" ref="G6:G11" si="1">IF(F6=0,"",LOOKUP(F6,$A$13:$A$112,$B$13:$B$112))</f>
        <v/>
      </c>
      <c r="H6" s="647"/>
      <c r="I6" s="650"/>
      <c r="K6" s="649" t="e">
        <f>-INT(K1/100)*100+ROUND(K1,0)</f>
        <v>#REF!</v>
      </c>
      <c r="L6" s="647" t="e">
        <f t="shared" ref="L6:L11" si="2">IF(K6=0,"",LOOKUP(K6,$A$13:$A$112,$B$13:$B$112))</f>
        <v>#REF!</v>
      </c>
      <c r="M6" s="647"/>
      <c r="N6" s="650"/>
      <c r="P6" s="649">
        <f>-INT(P1/100)*100+ROUND(P1,0)</f>
        <v>0</v>
      </c>
      <c r="Q6" s="647" t="str">
        <f t="shared" ref="Q6:Q11" si="3">IF(P6=0,"",LOOKUP(P6,$A$13:$A$112,$B$13:$B$112))</f>
        <v/>
      </c>
      <c r="R6" s="647"/>
      <c r="S6" s="650"/>
    </row>
    <row r="7" spans="1:27">
      <c r="A7" s="649" t="e">
        <f>-INT(A1/1000)*10+INT(A1/100)</f>
        <v>#REF!</v>
      </c>
      <c r="B7" s="647" t="e">
        <f t="shared" si="0"/>
        <v>#REF!</v>
      </c>
      <c r="C7" s="647"/>
      <c r="D7" s="650" t="e">
        <f>+IF(B7="",""," Hundred ")</f>
        <v>#REF!</v>
      </c>
      <c r="E7" s="670"/>
      <c r="F7" s="649">
        <f>-INT(F1/1000)*10+INT(F1/100)</f>
        <v>0</v>
      </c>
      <c r="G7" s="647" t="str">
        <f t="shared" si="1"/>
        <v/>
      </c>
      <c r="H7" s="647"/>
      <c r="I7" s="650" t="str">
        <f>+IF(G7="",""," Hundred ")</f>
        <v/>
      </c>
      <c r="K7" s="649" t="e">
        <f>-INT(K1/1000)*10+INT(K1/100)</f>
        <v>#REF!</v>
      </c>
      <c r="L7" s="647" t="e">
        <f t="shared" si="2"/>
        <v>#REF!</v>
      </c>
      <c r="M7" s="647"/>
      <c r="N7" s="650" t="e">
        <f>+IF(L7="",""," Hundred ")</f>
        <v>#REF!</v>
      </c>
      <c r="P7" s="649">
        <f>-INT(P1/1000)*10+INT(P1/100)</f>
        <v>0</v>
      </c>
      <c r="Q7" s="647" t="str">
        <f t="shared" si="3"/>
        <v/>
      </c>
      <c r="R7" s="647"/>
      <c r="S7" s="650" t="str">
        <f>+IF(Q7="",""," Hundred ")</f>
        <v/>
      </c>
    </row>
    <row r="8" spans="1:27">
      <c r="A8" s="649" t="e">
        <f>-INT(A1/100000)*100+INT(A1/1000)</f>
        <v>#REF!</v>
      </c>
      <c r="B8" s="647" t="e">
        <f t="shared" si="0"/>
        <v>#REF!</v>
      </c>
      <c r="C8" s="647"/>
      <c r="D8" s="650" t="e">
        <f>IF((B8=""),IF(C8="",""," Thousand ")," Thousand ")</f>
        <v>#REF!</v>
      </c>
      <c r="E8" s="670"/>
      <c r="F8" s="649">
        <f>-INT(F1/100000)*100+INT(F1/1000)</f>
        <v>0</v>
      </c>
      <c r="G8" s="647" t="str">
        <f t="shared" si="1"/>
        <v/>
      </c>
      <c r="H8" s="647"/>
      <c r="I8" s="650" t="str">
        <f>IF((G8=""),IF(H8="",""," Thousand ")," Thousand ")</f>
        <v/>
      </c>
      <c r="K8" s="649" t="e">
        <f>-INT(K1/100000)*100+INT(K1/1000)</f>
        <v>#REF!</v>
      </c>
      <c r="L8" s="647" t="e">
        <f t="shared" si="2"/>
        <v>#REF!</v>
      </c>
      <c r="M8" s="647"/>
      <c r="N8" s="650" t="e">
        <f>IF((L8=""),IF(M8="",""," Thousand ")," Thousand ")</f>
        <v>#REF!</v>
      </c>
      <c r="P8" s="649">
        <f>-INT(P1/100000)*100+INT(P1/1000)</f>
        <v>0</v>
      </c>
      <c r="Q8" s="647" t="str">
        <f t="shared" si="3"/>
        <v/>
      </c>
      <c r="R8" s="647"/>
      <c r="S8" s="650" t="str">
        <f>IF((Q8=""),IF(R8="",""," Thousand ")," Thousand ")</f>
        <v/>
      </c>
      <c r="T8" s="672" t="e">
        <f>IF(Y8="",0, 1)</f>
        <v>#REF!</v>
      </c>
      <c r="U8" s="664">
        <v>0</v>
      </c>
      <c r="V8" s="664">
        <v>0</v>
      </c>
      <c r="W8" s="664">
        <v>0</v>
      </c>
      <c r="X8" s="664">
        <v>0</v>
      </c>
      <c r="Y8" s="673" t="e">
        <f>IF(AND($A$1=0,$F$1=0,$K$1=0,$P$1=0)," Zero only", "")</f>
        <v>#REF!</v>
      </c>
      <c r="AA8" s="664" t="s">
        <v>465</v>
      </c>
    </row>
    <row r="9" spans="1:27">
      <c r="A9" s="649" t="e">
        <f>-INT(A1/10000000)*100+INT(A1/100000)</f>
        <v>#REF!</v>
      </c>
      <c r="B9" s="647" t="e">
        <f t="shared" si="0"/>
        <v>#REF!</v>
      </c>
      <c r="C9" s="647"/>
      <c r="D9" s="650" t="e">
        <f>IF((B9=""),IF(C9="",""," Lac ")," Lac ")</f>
        <v>#REF!</v>
      </c>
      <c r="E9" s="670"/>
      <c r="F9" s="649">
        <f>-INT(F1/10000000)*100+INT(F1/100000)</f>
        <v>0</v>
      </c>
      <c r="G9" s="647" t="str">
        <f t="shared" si="1"/>
        <v/>
      </c>
      <c r="H9" s="647"/>
      <c r="I9" s="650" t="str">
        <f>IF((G9=""),IF(H9="",""," Lac ")," Lac ")</f>
        <v/>
      </c>
      <c r="K9" s="649" t="e">
        <f>-INT(K1/10000000)*100+INT(K1/100000)</f>
        <v>#REF!</v>
      </c>
      <c r="L9" s="647" t="e">
        <f t="shared" si="2"/>
        <v>#REF!</v>
      </c>
      <c r="M9" s="647"/>
      <c r="N9" s="650" t="e">
        <f>IF((L9=""),IF(M9="",""," Lac ")," Lac ")</f>
        <v>#REF!</v>
      </c>
      <c r="P9" s="649">
        <f>-INT(P1/10000000)*100+INT(P1/100000)</f>
        <v>0</v>
      </c>
      <c r="Q9" s="647" t="str">
        <f t="shared" si="3"/>
        <v/>
      </c>
      <c r="R9" s="647"/>
      <c r="S9" s="650" t="str">
        <f>IF((Q9=""),IF(R9="",""," Lac ")," Lac ")</f>
        <v/>
      </c>
      <c r="T9" s="672" t="e">
        <f t="shared" ref="T9:T23" si="4">IF(Y9="",0, 1)</f>
        <v>#REF!</v>
      </c>
      <c r="U9" s="664">
        <v>0</v>
      </c>
      <c r="V9" s="664">
        <v>0</v>
      </c>
      <c r="W9" s="664">
        <v>0</v>
      </c>
      <c r="X9" s="664">
        <v>1</v>
      </c>
      <c r="Y9" s="674" t="e">
        <f>IF(AND($A$1=0,$F$1=0,$K$1=0,$P$1&gt;0),$P$4, "")</f>
        <v>#REF!</v>
      </c>
    </row>
    <row r="10" spans="1:27">
      <c r="A10" s="649" t="e">
        <f>-INT(A1/1000000000)*100+INT(A1/10000000)</f>
        <v>#REF!</v>
      </c>
      <c r="B10" s="651" t="e">
        <f t="shared" si="0"/>
        <v>#REF!</v>
      </c>
      <c r="C10" s="647"/>
      <c r="D10" s="650" t="e">
        <f>IF((B10=""),IF(C10="",""," Crore ")," Crore ")</f>
        <v>#REF!</v>
      </c>
      <c r="E10" s="670"/>
      <c r="F10" s="649">
        <f>-INT(F1/1000000000)*100+INT(F1/10000000)</f>
        <v>0</v>
      </c>
      <c r="G10" s="651" t="str">
        <f t="shared" si="1"/>
        <v/>
      </c>
      <c r="H10" s="647"/>
      <c r="I10" s="650" t="str">
        <f>IF((G10=""),IF(H10="",""," Crore ")," Crore ")</f>
        <v/>
      </c>
      <c r="K10" s="649" t="e">
        <f>-INT(K1/1000000000)*100+INT(K1/10000000)</f>
        <v>#REF!</v>
      </c>
      <c r="L10" s="651" t="e">
        <f t="shared" si="2"/>
        <v>#REF!</v>
      </c>
      <c r="M10" s="647"/>
      <c r="N10" s="650" t="e">
        <f>IF((L10=""),IF(M10="",""," Crore ")," Crore ")</f>
        <v>#REF!</v>
      </c>
      <c r="P10" s="649">
        <f>-INT(P1/1000000000)*100+INT(P1/10000000)</f>
        <v>0</v>
      </c>
      <c r="Q10" s="651" t="str">
        <f t="shared" si="3"/>
        <v/>
      </c>
      <c r="R10" s="647"/>
      <c r="S10" s="650" t="str">
        <f>IF((Q10=""),IF(R10="",""," Crore ")," Crore ")</f>
        <v/>
      </c>
      <c r="T10" s="672" t="e">
        <f t="shared" si="4"/>
        <v>#REF!</v>
      </c>
      <c r="U10" s="664">
        <v>0</v>
      </c>
      <c r="V10" s="664">
        <v>0</v>
      </c>
      <c r="W10" s="664">
        <v>1</v>
      </c>
      <c r="X10" s="664">
        <v>0</v>
      </c>
      <c r="Y10" s="674" t="e">
        <f>IF(AND($A$1=0,$F$1=0,$K$1&gt;0,$P$1=0),$K$4, "")</f>
        <v>#REF!</v>
      </c>
    </row>
    <row r="11" spans="1:27">
      <c r="A11" s="652" t="e">
        <f>-INT(A1/10000000000)*1000+INT(A1/1000000000)</f>
        <v>#REF!</v>
      </c>
      <c r="B11" s="651" t="e">
        <f t="shared" si="0"/>
        <v>#REF!</v>
      </c>
      <c r="C11" s="647"/>
      <c r="D11" s="650" t="e">
        <f>IF((B11=""),IF(C11="",""," Hundred ")," Hundred ")</f>
        <v>#REF!</v>
      </c>
      <c r="E11" s="670"/>
      <c r="F11" s="652">
        <f>-INT(F1/10000000000)*1000+INT(F1/1000000000)</f>
        <v>0</v>
      </c>
      <c r="G11" s="651" t="str">
        <f t="shared" si="1"/>
        <v/>
      </c>
      <c r="H11" s="647"/>
      <c r="I11" s="650" t="str">
        <f>IF((G11=""),IF(H11="",""," Hundred ")," Hundred ")</f>
        <v/>
      </c>
      <c r="K11" s="652" t="e">
        <f>-INT(K1/10000000000)*1000+INT(K1/1000000000)</f>
        <v>#REF!</v>
      </c>
      <c r="L11" s="651" t="e">
        <f t="shared" si="2"/>
        <v>#REF!</v>
      </c>
      <c r="M11" s="647"/>
      <c r="N11" s="650" t="e">
        <f>IF((L11=""),IF(M11="",""," Hundred ")," Hundred ")</f>
        <v>#REF!</v>
      </c>
      <c r="P11" s="652">
        <f>-INT(P1/10000000000)*1000+INT(P1/1000000000)</f>
        <v>0</v>
      </c>
      <c r="Q11" s="651" t="str">
        <f t="shared" si="3"/>
        <v/>
      </c>
      <c r="R11" s="647"/>
      <c r="S11" s="650" t="str">
        <f>IF((Q11=""),IF(R11="",""," Hundred ")," Hundred ")</f>
        <v/>
      </c>
      <c r="T11" s="672" t="e">
        <f t="shared" si="4"/>
        <v>#REF!</v>
      </c>
      <c r="U11" s="664">
        <v>0</v>
      </c>
      <c r="V11" s="664">
        <v>0</v>
      </c>
      <c r="W11" s="664">
        <v>1</v>
      </c>
      <c r="X11" s="664">
        <v>1</v>
      </c>
      <c r="Y11" s="674" t="e">
        <f>IF(AND($A$1=0,$F$1=0,$K$1&gt;0,$P$1&gt;0),$K$4&amp;$AA$8&amp;$P$4, "")</f>
        <v>#REF!</v>
      </c>
    </row>
    <row r="12" spans="1:27">
      <c r="A12" s="653"/>
      <c r="B12" s="647"/>
      <c r="C12" s="647"/>
      <c r="D12" s="648"/>
      <c r="E12" s="670"/>
      <c r="F12" s="653"/>
      <c r="G12" s="647"/>
      <c r="H12" s="647"/>
      <c r="I12" s="648"/>
      <c r="K12" s="653"/>
      <c r="L12" s="647"/>
      <c r="M12" s="647"/>
      <c r="N12" s="648"/>
      <c r="P12" s="653"/>
      <c r="Q12" s="647"/>
      <c r="R12" s="647"/>
      <c r="S12" s="648"/>
      <c r="T12" s="672" t="e">
        <f t="shared" si="4"/>
        <v>#REF!</v>
      </c>
      <c r="U12" s="664">
        <v>0</v>
      </c>
      <c r="V12" s="664">
        <v>1</v>
      </c>
      <c r="W12" s="664">
        <v>0</v>
      </c>
      <c r="X12" s="664">
        <v>0</v>
      </c>
      <c r="Y12" s="674" t="e">
        <f>IF(AND($A$1=0,$F$1&gt;0,$K$1=0,$P$1=0),$F$4, "")</f>
        <v>#REF!</v>
      </c>
    </row>
    <row r="13" spans="1:27">
      <c r="A13" s="654">
        <v>1</v>
      </c>
      <c r="B13" s="655" t="s">
        <v>364</v>
      </c>
      <c r="C13" s="647"/>
      <c r="D13" s="648"/>
      <c r="E13" s="670"/>
      <c r="F13" s="654">
        <v>1</v>
      </c>
      <c r="G13" s="655" t="s">
        <v>364</v>
      </c>
      <c r="H13" s="647"/>
      <c r="I13" s="648"/>
      <c r="K13" s="654">
        <v>1</v>
      </c>
      <c r="L13" s="655" t="s">
        <v>364</v>
      </c>
      <c r="M13" s="647"/>
      <c r="N13" s="648"/>
      <c r="P13" s="654">
        <v>1</v>
      </c>
      <c r="Q13" s="655" t="s">
        <v>364</v>
      </c>
      <c r="R13" s="647"/>
      <c r="S13" s="648"/>
      <c r="T13" s="672" t="e">
        <f t="shared" si="4"/>
        <v>#REF!</v>
      </c>
      <c r="U13" s="664">
        <v>0</v>
      </c>
      <c r="V13" s="664">
        <v>1</v>
      </c>
      <c r="W13" s="664">
        <v>0</v>
      </c>
      <c r="X13" s="664">
        <v>1</v>
      </c>
      <c r="Y13" s="674" t="e">
        <f>IF(AND($A$1=0,$F$1&gt;0,$K$1=0,$P$1&gt;0),$F$4&amp;$AA$8&amp;$P$4, "")</f>
        <v>#REF!</v>
      </c>
    </row>
    <row r="14" spans="1:27">
      <c r="A14" s="654">
        <v>2</v>
      </c>
      <c r="B14" s="655" t="s">
        <v>365</v>
      </c>
      <c r="C14" s="647"/>
      <c r="D14" s="648"/>
      <c r="E14" s="670"/>
      <c r="F14" s="654">
        <v>2</v>
      </c>
      <c r="G14" s="655" t="s">
        <v>365</v>
      </c>
      <c r="H14" s="647"/>
      <c r="I14" s="648"/>
      <c r="K14" s="654">
        <v>2</v>
      </c>
      <c r="L14" s="655" t="s">
        <v>365</v>
      </c>
      <c r="M14" s="647"/>
      <c r="N14" s="648"/>
      <c r="P14" s="654">
        <v>2</v>
      </c>
      <c r="Q14" s="655" t="s">
        <v>365</v>
      </c>
      <c r="R14" s="647"/>
      <c r="S14" s="648"/>
      <c r="T14" s="672" t="e">
        <f t="shared" si="4"/>
        <v>#REF!</v>
      </c>
      <c r="U14" s="664">
        <v>0</v>
      </c>
      <c r="V14" s="664">
        <v>1</v>
      </c>
      <c r="W14" s="664">
        <v>1</v>
      </c>
      <c r="X14" s="664">
        <v>0</v>
      </c>
      <c r="Y14" s="674" t="e">
        <f>IF(AND($A$1=0,$F$1&gt;0,$K$1&gt;0,$P$1=0),$F$4&amp;$AA$8&amp;$K$4, "")</f>
        <v>#REF!</v>
      </c>
    </row>
    <row r="15" spans="1:27">
      <c r="A15" s="654">
        <v>3</v>
      </c>
      <c r="B15" s="655" t="s">
        <v>366</v>
      </c>
      <c r="C15" s="647"/>
      <c r="D15" s="648"/>
      <c r="E15" s="670"/>
      <c r="F15" s="654">
        <v>3</v>
      </c>
      <c r="G15" s="655" t="s">
        <v>366</v>
      </c>
      <c r="H15" s="647"/>
      <c r="I15" s="648"/>
      <c r="K15" s="654">
        <v>3</v>
      </c>
      <c r="L15" s="655" t="s">
        <v>366</v>
      </c>
      <c r="M15" s="647"/>
      <c r="N15" s="648"/>
      <c r="P15" s="654">
        <v>3</v>
      </c>
      <c r="Q15" s="655" t="s">
        <v>366</v>
      </c>
      <c r="R15" s="647"/>
      <c r="S15" s="648"/>
      <c r="T15" s="672" t="e">
        <f t="shared" si="4"/>
        <v>#REF!</v>
      </c>
      <c r="U15" s="664">
        <v>0</v>
      </c>
      <c r="V15" s="664">
        <v>1</v>
      </c>
      <c r="W15" s="664">
        <v>1</v>
      </c>
      <c r="X15" s="664">
        <v>1</v>
      </c>
      <c r="Y15" s="675" t="e">
        <f>IF(AND($A$1=0,$F$1&gt;0,$K$1&gt;0,$P$1&gt;0),$F$4&amp;$AA$8&amp;$K$4&amp;$AA$8&amp;$P$4, "")</f>
        <v>#REF!</v>
      </c>
    </row>
    <row r="16" spans="1:27">
      <c r="A16" s="654">
        <v>4</v>
      </c>
      <c r="B16" s="655" t="s">
        <v>367</v>
      </c>
      <c r="C16" s="647"/>
      <c r="D16" s="648"/>
      <c r="E16" s="670"/>
      <c r="F16" s="654">
        <v>4</v>
      </c>
      <c r="G16" s="655" t="s">
        <v>367</v>
      </c>
      <c r="H16" s="647"/>
      <c r="I16" s="648"/>
      <c r="K16" s="654">
        <v>4</v>
      </c>
      <c r="L16" s="655" t="s">
        <v>367</v>
      </c>
      <c r="M16" s="647"/>
      <c r="N16" s="648"/>
      <c r="P16" s="654">
        <v>4</v>
      </c>
      <c r="Q16" s="655" t="s">
        <v>367</v>
      </c>
      <c r="R16" s="647"/>
      <c r="S16" s="648"/>
      <c r="T16" s="672" t="e">
        <f t="shared" si="4"/>
        <v>#REF!</v>
      </c>
      <c r="U16" s="664">
        <v>1</v>
      </c>
      <c r="V16" s="664">
        <v>0</v>
      </c>
      <c r="W16" s="664">
        <v>0</v>
      </c>
      <c r="X16" s="664">
        <v>0</v>
      </c>
      <c r="Y16" s="673" t="e">
        <f>IF(AND($A$1&gt;0,$F$1=0,$K$1=0,$P$1=0), $A$4, "")</f>
        <v>#REF!</v>
      </c>
    </row>
    <row r="17" spans="1:27">
      <c r="A17" s="654">
        <v>5</v>
      </c>
      <c r="B17" s="655" t="s">
        <v>368</v>
      </c>
      <c r="C17" s="647"/>
      <c r="D17" s="648"/>
      <c r="E17" s="670"/>
      <c r="F17" s="654">
        <v>5</v>
      </c>
      <c r="G17" s="655" t="s">
        <v>368</v>
      </c>
      <c r="H17" s="647"/>
      <c r="I17" s="648"/>
      <c r="K17" s="654">
        <v>5</v>
      </c>
      <c r="L17" s="655" t="s">
        <v>368</v>
      </c>
      <c r="M17" s="647"/>
      <c r="N17" s="648"/>
      <c r="P17" s="654">
        <v>5</v>
      </c>
      <c r="Q17" s="655" t="s">
        <v>368</v>
      </c>
      <c r="R17" s="647"/>
      <c r="S17" s="648"/>
      <c r="T17" s="672" t="e">
        <f t="shared" si="4"/>
        <v>#REF!</v>
      </c>
      <c r="U17" s="664">
        <v>1</v>
      </c>
      <c r="V17" s="664">
        <v>0</v>
      </c>
      <c r="W17" s="664">
        <v>0</v>
      </c>
      <c r="X17" s="664">
        <v>1</v>
      </c>
      <c r="Y17" s="674" t="e">
        <f>IF(AND($A$1&gt;0,$F$1=0,$K$1=0,$P$1&gt;0),$A$4&amp;$AA$8&amp;$P$4, "")</f>
        <v>#REF!</v>
      </c>
    </row>
    <row r="18" spans="1:27">
      <c r="A18" s="654">
        <v>6</v>
      </c>
      <c r="B18" s="655" t="s">
        <v>369</v>
      </c>
      <c r="C18" s="647"/>
      <c r="D18" s="648"/>
      <c r="E18" s="670"/>
      <c r="F18" s="654">
        <v>6</v>
      </c>
      <c r="G18" s="655" t="s">
        <v>369</v>
      </c>
      <c r="H18" s="647"/>
      <c r="I18" s="648"/>
      <c r="K18" s="654">
        <v>6</v>
      </c>
      <c r="L18" s="655" t="s">
        <v>369</v>
      </c>
      <c r="M18" s="647"/>
      <c r="N18" s="648"/>
      <c r="P18" s="654">
        <v>6</v>
      </c>
      <c r="Q18" s="655" t="s">
        <v>369</v>
      </c>
      <c r="R18" s="647"/>
      <c r="S18" s="648"/>
      <c r="T18" s="672" t="e">
        <f t="shared" si="4"/>
        <v>#REF!</v>
      </c>
      <c r="U18" s="664">
        <v>1</v>
      </c>
      <c r="V18" s="664">
        <v>0</v>
      </c>
      <c r="W18" s="664">
        <v>1</v>
      </c>
      <c r="X18" s="664">
        <v>0</v>
      </c>
      <c r="Y18" s="674" t="e">
        <f>IF(AND($A$1&gt;0,$F$1=0,$K$1&gt;0,$P$1=0),$A$4&amp;$AA$8&amp;$K$4, "")</f>
        <v>#REF!</v>
      </c>
    </row>
    <row r="19" spans="1:27">
      <c r="A19" s="654">
        <v>7</v>
      </c>
      <c r="B19" s="655" t="s">
        <v>370</v>
      </c>
      <c r="C19" s="647"/>
      <c r="D19" s="648"/>
      <c r="E19" s="670"/>
      <c r="F19" s="654">
        <v>7</v>
      </c>
      <c r="G19" s="655" t="s">
        <v>370</v>
      </c>
      <c r="H19" s="647"/>
      <c r="I19" s="648"/>
      <c r="K19" s="654">
        <v>7</v>
      </c>
      <c r="L19" s="655" t="s">
        <v>370</v>
      </c>
      <c r="M19" s="647"/>
      <c r="N19" s="648"/>
      <c r="P19" s="654">
        <v>7</v>
      </c>
      <c r="Q19" s="655" t="s">
        <v>370</v>
      </c>
      <c r="R19" s="647"/>
      <c r="S19" s="648"/>
      <c r="T19" s="672" t="e">
        <f t="shared" si="4"/>
        <v>#REF!</v>
      </c>
      <c r="U19" s="664">
        <v>1</v>
      </c>
      <c r="V19" s="664">
        <v>0</v>
      </c>
      <c r="W19" s="664">
        <v>1</v>
      </c>
      <c r="X19" s="664">
        <v>1</v>
      </c>
      <c r="Y19" s="674" t="e">
        <f>IF(AND($A$1&gt;0,$F$1=0,$K$1&gt;0,$P$1&gt;0),$A$4&amp;$AA$8&amp;$K$4&amp;$AA$8&amp;$P$4, "")</f>
        <v>#REF!</v>
      </c>
    </row>
    <row r="20" spans="1:27">
      <c r="A20" s="654">
        <v>8</v>
      </c>
      <c r="B20" s="655" t="s">
        <v>371</v>
      </c>
      <c r="C20" s="647"/>
      <c r="D20" s="648"/>
      <c r="E20" s="670"/>
      <c r="F20" s="654">
        <v>8</v>
      </c>
      <c r="G20" s="655" t="s">
        <v>371</v>
      </c>
      <c r="H20" s="647"/>
      <c r="I20" s="648"/>
      <c r="K20" s="654">
        <v>8</v>
      </c>
      <c r="L20" s="655" t="s">
        <v>371</v>
      </c>
      <c r="M20" s="647"/>
      <c r="N20" s="648"/>
      <c r="P20" s="654">
        <v>8</v>
      </c>
      <c r="Q20" s="655" t="s">
        <v>371</v>
      </c>
      <c r="R20" s="647"/>
      <c r="S20" s="648"/>
      <c r="T20" s="672" t="e">
        <f t="shared" si="4"/>
        <v>#REF!</v>
      </c>
      <c r="U20" s="664">
        <v>1</v>
      </c>
      <c r="V20" s="664">
        <v>1</v>
      </c>
      <c r="W20" s="664">
        <v>0</v>
      </c>
      <c r="X20" s="664">
        <v>0</v>
      </c>
      <c r="Y20" s="674" t="e">
        <f>IF(AND($A$1&gt;0,$F$1&gt;0,$K$1=0,$P$1=0),$A$4&amp;$AA$8&amp;$F$4, "")</f>
        <v>#REF!</v>
      </c>
    </row>
    <row r="21" spans="1:27">
      <c r="A21" s="654">
        <v>9</v>
      </c>
      <c r="B21" s="655" t="s">
        <v>372</v>
      </c>
      <c r="C21" s="647"/>
      <c r="D21" s="648"/>
      <c r="E21" s="670"/>
      <c r="F21" s="654">
        <v>9</v>
      </c>
      <c r="G21" s="655" t="s">
        <v>372</v>
      </c>
      <c r="H21" s="647"/>
      <c r="I21" s="648"/>
      <c r="K21" s="654">
        <v>9</v>
      </c>
      <c r="L21" s="655" t="s">
        <v>372</v>
      </c>
      <c r="M21" s="647"/>
      <c r="N21" s="648"/>
      <c r="P21" s="654">
        <v>9</v>
      </c>
      <c r="Q21" s="655" t="s">
        <v>372</v>
      </c>
      <c r="R21" s="647"/>
      <c r="S21" s="648"/>
      <c r="T21" s="672" t="e">
        <f t="shared" si="4"/>
        <v>#REF!</v>
      </c>
      <c r="U21" s="664">
        <v>1</v>
      </c>
      <c r="V21" s="664">
        <v>1</v>
      </c>
      <c r="W21" s="664">
        <v>0</v>
      </c>
      <c r="X21" s="664">
        <v>1</v>
      </c>
      <c r="Y21" s="674" t="e">
        <f>IF(AND($A$1&gt;0,$F$1&gt;0,$K$1=0,$P$1&gt;0),$A$4&amp;$AA$8&amp;$F$4&amp;$AA$8&amp;$P$4, "")</f>
        <v>#REF!</v>
      </c>
    </row>
    <row r="22" spans="1:27">
      <c r="A22" s="654">
        <v>10</v>
      </c>
      <c r="B22" s="655" t="s">
        <v>373</v>
      </c>
      <c r="C22" s="647"/>
      <c r="D22" s="648"/>
      <c r="E22" s="670"/>
      <c r="F22" s="654">
        <v>10</v>
      </c>
      <c r="G22" s="655" t="s">
        <v>373</v>
      </c>
      <c r="H22" s="647"/>
      <c r="I22" s="648"/>
      <c r="K22" s="654">
        <v>10</v>
      </c>
      <c r="L22" s="655" t="s">
        <v>373</v>
      </c>
      <c r="M22" s="647"/>
      <c r="N22" s="648"/>
      <c r="P22" s="654">
        <v>10</v>
      </c>
      <c r="Q22" s="655" t="s">
        <v>373</v>
      </c>
      <c r="R22" s="647"/>
      <c r="S22" s="648"/>
      <c r="T22" s="672" t="e">
        <f t="shared" si="4"/>
        <v>#REF!</v>
      </c>
      <c r="U22" s="664">
        <v>1</v>
      </c>
      <c r="V22" s="664">
        <v>1</v>
      </c>
      <c r="W22" s="664">
        <v>1</v>
      </c>
      <c r="X22" s="664">
        <v>0</v>
      </c>
      <c r="Y22" s="674" t="e">
        <f>IF(AND($A$1&gt;0,$F$1&gt;0,$K$1&gt;0,$P$1=0),$A$4&amp;$AA$8&amp;$F$4&amp;$AA$8&amp;$K$4, "")</f>
        <v>#REF!</v>
      </c>
    </row>
    <row r="23" spans="1:27">
      <c r="A23" s="654">
        <v>11</v>
      </c>
      <c r="B23" s="655" t="s">
        <v>374</v>
      </c>
      <c r="C23" s="647"/>
      <c r="D23" s="648"/>
      <c r="E23" s="670"/>
      <c r="F23" s="654">
        <v>11</v>
      </c>
      <c r="G23" s="655" t="s">
        <v>374</v>
      </c>
      <c r="H23" s="647"/>
      <c r="I23" s="648"/>
      <c r="K23" s="654">
        <v>11</v>
      </c>
      <c r="L23" s="655" t="s">
        <v>374</v>
      </c>
      <c r="M23" s="647"/>
      <c r="N23" s="648"/>
      <c r="P23" s="654">
        <v>11</v>
      </c>
      <c r="Q23" s="655" t="s">
        <v>374</v>
      </c>
      <c r="R23" s="647"/>
      <c r="S23" s="648"/>
      <c r="T23" s="672" t="e">
        <f t="shared" si="4"/>
        <v>#REF!</v>
      </c>
      <c r="U23" s="664">
        <v>1</v>
      </c>
      <c r="V23" s="664">
        <v>1</v>
      </c>
      <c r="W23" s="664">
        <v>1</v>
      </c>
      <c r="X23" s="664">
        <v>1</v>
      </c>
      <c r="Y23" s="675" t="e">
        <f>IF(AND($A$1&gt;0,$F$1&gt;0,$K$1&gt;0,$P$1&gt;0),$A$4&amp;$AA$8&amp;$F$4&amp;$AA$8&amp;$K$4&amp;$AA$8&amp;$P$4, "")</f>
        <v>#REF!</v>
      </c>
    </row>
    <row r="24" spans="1:27">
      <c r="A24" s="654">
        <v>12</v>
      </c>
      <c r="B24" s="655" t="s">
        <v>375</v>
      </c>
      <c r="C24" s="647"/>
      <c r="D24" s="648"/>
      <c r="E24" s="670"/>
      <c r="F24" s="654">
        <v>12</v>
      </c>
      <c r="G24" s="655" t="s">
        <v>375</v>
      </c>
      <c r="H24" s="647"/>
      <c r="I24" s="648"/>
      <c r="K24" s="654">
        <v>12</v>
      </c>
      <c r="L24" s="655" t="s">
        <v>375</v>
      </c>
      <c r="M24" s="647"/>
      <c r="N24" s="648"/>
      <c r="P24" s="654">
        <v>12</v>
      </c>
      <c r="Q24" s="655" t="s">
        <v>375</v>
      </c>
      <c r="R24" s="647"/>
      <c r="S24" s="648"/>
    </row>
    <row r="25" spans="1:27">
      <c r="A25" s="654">
        <v>13</v>
      </c>
      <c r="B25" s="655" t="s">
        <v>376</v>
      </c>
      <c r="C25" s="647"/>
      <c r="D25" s="648"/>
      <c r="E25" s="670"/>
      <c r="F25" s="654">
        <v>13</v>
      </c>
      <c r="G25" s="655" t="s">
        <v>376</v>
      </c>
      <c r="H25" s="647"/>
      <c r="I25" s="648"/>
      <c r="K25" s="654">
        <v>13</v>
      </c>
      <c r="L25" s="655" t="s">
        <v>376</v>
      </c>
      <c r="M25" s="647"/>
      <c r="N25" s="648"/>
      <c r="P25" s="654">
        <v>13</v>
      </c>
      <c r="Q25" s="655" t="s">
        <v>376</v>
      </c>
      <c r="R25" s="647"/>
      <c r="S25" s="648"/>
    </row>
    <row r="26" spans="1:27">
      <c r="A26" s="654">
        <v>14</v>
      </c>
      <c r="B26" s="655" t="s">
        <v>377</v>
      </c>
      <c r="C26" s="647"/>
      <c r="D26" s="648"/>
      <c r="E26" s="670"/>
      <c r="F26" s="654">
        <v>14</v>
      </c>
      <c r="G26" s="655" t="s">
        <v>377</v>
      </c>
      <c r="H26" s="647"/>
      <c r="I26" s="648"/>
      <c r="K26" s="654">
        <v>14</v>
      </c>
      <c r="L26" s="655" t="s">
        <v>377</v>
      </c>
      <c r="M26" s="647"/>
      <c r="N26" s="648"/>
      <c r="P26" s="654">
        <v>14</v>
      </c>
      <c r="Q26" s="655" t="s">
        <v>377</v>
      </c>
      <c r="R26" s="647"/>
      <c r="S26" s="648"/>
    </row>
    <row r="27" spans="1:27">
      <c r="A27" s="654">
        <v>15</v>
      </c>
      <c r="B27" s="655" t="s">
        <v>378</v>
      </c>
      <c r="C27" s="647"/>
      <c r="D27" s="648"/>
      <c r="E27" s="670"/>
      <c r="F27" s="654">
        <v>15</v>
      </c>
      <c r="G27" s="655" t="s">
        <v>378</v>
      </c>
      <c r="H27" s="647"/>
      <c r="I27" s="648"/>
      <c r="K27" s="654">
        <v>15</v>
      </c>
      <c r="L27" s="655" t="s">
        <v>378</v>
      </c>
      <c r="M27" s="647"/>
      <c r="N27" s="648"/>
      <c r="P27" s="654">
        <v>15</v>
      </c>
      <c r="Q27" s="655" t="s">
        <v>378</v>
      </c>
      <c r="R27" s="647"/>
      <c r="S27" s="648"/>
    </row>
    <row r="28" spans="1:27">
      <c r="A28" s="654">
        <v>16</v>
      </c>
      <c r="B28" s="655" t="s">
        <v>379</v>
      </c>
      <c r="C28" s="647"/>
      <c r="D28" s="648"/>
      <c r="E28" s="670"/>
      <c r="F28" s="654">
        <v>16</v>
      </c>
      <c r="G28" s="655" t="s">
        <v>379</v>
      </c>
      <c r="H28" s="647"/>
      <c r="I28" s="648"/>
      <c r="K28" s="654">
        <v>16</v>
      </c>
      <c r="L28" s="655" t="s">
        <v>379</v>
      </c>
      <c r="M28" s="647"/>
      <c r="N28" s="648"/>
      <c r="P28" s="654">
        <v>16</v>
      </c>
      <c r="Q28" s="655" t="s">
        <v>379</v>
      </c>
      <c r="R28" s="647"/>
      <c r="S28" s="648"/>
      <c r="T28" s="672" t="e">
        <f>IF(Y28="",0, 1)</f>
        <v>#REF!</v>
      </c>
      <c r="U28" s="664">
        <v>0</v>
      </c>
      <c r="V28" s="664">
        <v>0</v>
      </c>
      <c r="W28" s="664">
        <v>0</v>
      </c>
      <c r="X28" s="664">
        <v>0</v>
      </c>
      <c r="Y28" s="673" t="e">
        <f>IF(AND($A$1=0,$F$1=0,$K$1=0,$P$1=0)," 0/-", "")</f>
        <v>#REF!</v>
      </c>
      <c r="AA28" s="664" t="s">
        <v>466</v>
      </c>
    </row>
    <row r="29" spans="1:27">
      <c r="A29" s="654">
        <v>17</v>
      </c>
      <c r="B29" s="655" t="s">
        <v>380</v>
      </c>
      <c r="C29" s="647"/>
      <c r="D29" s="648"/>
      <c r="E29" s="670"/>
      <c r="F29" s="654">
        <v>17</v>
      </c>
      <c r="G29" s="655" t="s">
        <v>380</v>
      </c>
      <c r="H29" s="647"/>
      <c r="I29" s="648"/>
      <c r="K29" s="654">
        <v>17</v>
      </c>
      <c r="L29" s="655" t="s">
        <v>380</v>
      </c>
      <c r="M29" s="647"/>
      <c r="N29" s="648"/>
      <c r="P29" s="654">
        <v>17</v>
      </c>
      <c r="Q29" s="655" t="s">
        <v>380</v>
      </c>
      <c r="R29" s="647"/>
      <c r="S29" s="648"/>
      <c r="T29" s="672" t="e">
        <f t="shared" ref="T29:T43" si="5">IF(Y29="",0, 1)</f>
        <v>#REF!</v>
      </c>
      <c r="U29" s="664">
        <v>0</v>
      </c>
      <c r="V29" s="664">
        <v>0</v>
      </c>
      <c r="W29" s="664">
        <v>0</v>
      </c>
      <c r="X29" s="664">
        <v>1</v>
      </c>
      <c r="Y29" s="674" t="e">
        <f>IF(AND($A$1=0,$F$1=0,$K$1=0,$P$1&gt;0),$U$3&amp;$P$1&amp;$AA$30, "")</f>
        <v>#REF!</v>
      </c>
      <c r="AA29" s="664" t="s">
        <v>467</v>
      </c>
    </row>
    <row r="30" spans="1:27">
      <c r="A30" s="654">
        <v>18</v>
      </c>
      <c r="B30" s="655" t="s">
        <v>381</v>
      </c>
      <c r="C30" s="647"/>
      <c r="D30" s="648"/>
      <c r="E30" s="670"/>
      <c r="F30" s="654">
        <v>18</v>
      </c>
      <c r="G30" s="655" t="s">
        <v>381</v>
      </c>
      <c r="H30" s="647"/>
      <c r="I30" s="648"/>
      <c r="K30" s="654">
        <v>18</v>
      </c>
      <c r="L30" s="655" t="s">
        <v>381</v>
      </c>
      <c r="M30" s="647"/>
      <c r="N30" s="648"/>
      <c r="P30" s="654">
        <v>18</v>
      </c>
      <c r="Q30" s="655" t="s">
        <v>381</v>
      </c>
      <c r="R30" s="647"/>
      <c r="S30" s="648"/>
      <c r="T30" s="672" t="e">
        <f t="shared" si="5"/>
        <v>#REF!</v>
      </c>
      <c r="U30" s="664">
        <v>0</v>
      </c>
      <c r="V30" s="664">
        <v>0</v>
      </c>
      <c r="W30" s="664">
        <v>1</v>
      </c>
      <c r="X30" s="664">
        <v>0</v>
      </c>
      <c r="Y30" s="674" t="e">
        <f>IF(AND($A$1=0,$F$1=0,$K$1&gt;0,$P$1=0),$U$2&amp;$K$1&amp;$AA$30, "")</f>
        <v>#REF!</v>
      </c>
      <c r="AA30" s="664" t="s">
        <v>468</v>
      </c>
    </row>
    <row r="31" spans="1:27">
      <c r="A31" s="654">
        <v>19</v>
      </c>
      <c r="B31" s="655" t="s">
        <v>382</v>
      </c>
      <c r="C31" s="647"/>
      <c r="D31" s="648"/>
      <c r="E31" s="670"/>
      <c r="F31" s="654">
        <v>19</v>
      </c>
      <c r="G31" s="655" t="s">
        <v>382</v>
      </c>
      <c r="H31" s="647"/>
      <c r="I31" s="648"/>
      <c r="K31" s="654">
        <v>19</v>
      </c>
      <c r="L31" s="655" t="s">
        <v>382</v>
      </c>
      <c r="M31" s="647"/>
      <c r="N31" s="648"/>
      <c r="P31" s="654">
        <v>19</v>
      </c>
      <c r="Q31" s="655" t="s">
        <v>382</v>
      </c>
      <c r="R31" s="647"/>
      <c r="S31" s="648"/>
      <c r="T31" s="672" t="e">
        <f t="shared" si="5"/>
        <v>#REF!</v>
      </c>
      <c r="U31" s="664">
        <v>0</v>
      </c>
      <c r="V31" s="664">
        <v>0</v>
      </c>
      <c r="W31" s="664">
        <v>1</v>
      </c>
      <c r="X31" s="664">
        <v>1</v>
      </c>
      <c r="Y31" s="674" t="e">
        <f>IF(AND($A$1=0,$F$1=0,$K$1&gt;0,$P$1&gt;0),$U$2&amp;$K$1&amp;$AA$29&amp;$U$3&amp;$P$1&amp;$AA$30, "")</f>
        <v>#REF!</v>
      </c>
    </row>
    <row r="32" spans="1:27">
      <c r="A32" s="654">
        <v>20</v>
      </c>
      <c r="B32" s="655" t="s">
        <v>383</v>
      </c>
      <c r="C32" s="647"/>
      <c r="D32" s="648"/>
      <c r="E32" s="670"/>
      <c r="F32" s="654">
        <v>20</v>
      </c>
      <c r="G32" s="655" t="s">
        <v>383</v>
      </c>
      <c r="H32" s="647"/>
      <c r="I32" s="648"/>
      <c r="K32" s="654">
        <v>20</v>
      </c>
      <c r="L32" s="655" t="s">
        <v>383</v>
      </c>
      <c r="M32" s="647"/>
      <c r="N32" s="648"/>
      <c r="P32" s="654">
        <v>20</v>
      </c>
      <c r="Q32" s="655" t="s">
        <v>383</v>
      </c>
      <c r="R32" s="647"/>
      <c r="S32" s="648"/>
      <c r="T32" s="672" t="e">
        <f t="shared" si="5"/>
        <v>#REF!</v>
      </c>
      <c r="U32" s="664">
        <v>0</v>
      </c>
      <c r="V32" s="664">
        <v>1</v>
      </c>
      <c r="W32" s="664">
        <v>0</v>
      </c>
      <c r="X32" s="664">
        <v>0</v>
      </c>
      <c r="Y32" s="674" t="e">
        <f>IF(AND($A$1=0,$F$1&gt;0,$K$1=0,$P$1=0),$U$1&amp;$F$1&amp;$AA$30, "")</f>
        <v>#REF!</v>
      </c>
    </row>
    <row r="33" spans="1:25">
      <c r="A33" s="654">
        <v>21</v>
      </c>
      <c r="B33" s="655" t="s">
        <v>384</v>
      </c>
      <c r="C33" s="647"/>
      <c r="D33" s="648"/>
      <c r="E33" s="670"/>
      <c r="F33" s="654">
        <v>21</v>
      </c>
      <c r="G33" s="655" t="s">
        <v>384</v>
      </c>
      <c r="H33" s="647"/>
      <c r="I33" s="648"/>
      <c r="K33" s="654">
        <v>21</v>
      </c>
      <c r="L33" s="655" t="s">
        <v>384</v>
      </c>
      <c r="M33" s="647"/>
      <c r="N33" s="648"/>
      <c r="P33" s="654">
        <v>21</v>
      </c>
      <c r="Q33" s="655" t="s">
        <v>384</v>
      </c>
      <c r="R33" s="647"/>
      <c r="S33" s="648"/>
      <c r="T33" s="672" t="e">
        <f t="shared" si="5"/>
        <v>#REF!</v>
      </c>
      <c r="U33" s="664">
        <v>0</v>
      </c>
      <c r="V33" s="664">
        <v>1</v>
      </c>
      <c r="W33" s="664">
        <v>0</v>
      </c>
      <c r="X33" s="664">
        <v>1</v>
      </c>
      <c r="Y33" s="674" t="e">
        <f>IF(AND($A$1=0,$F$1&gt;0,$K$1=0,$P$1&gt;0),$U$1&amp;$F$1&amp;$AA$29&amp;$U$3&amp;$P$1&amp;$AA$30, "")</f>
        <v>#REF!</v>
      </c>
    </row>
    <row r="34" spans="1:25">
      <c r="A34" s="654">
        <v>22</v>
      </c>
      <c r="B34" s="655" t="s">
        <v>385</v>
      </c>
      <c r="C34" s="647"/>
      <c r="D34" s="648"/>
      <c r="E34" s="670"/>
      <c r="F34" s="654">
        <v>22</v>
      </c>
      <c r="G34" s="655" t="s">
        <v>385</v>
      </c>
      <c r="H34" s="647"/>
      <c r="I34" s="648"/>
      <c r="K34" s="654">
        <v>22</v>
      </c>
      <c r="L34" s="655" t="s">
        <v>385</v>
      </c>
      <c r="M34" s="647"/>
      <c r="N34" s="648"/>
      <c r="P34" s="654">
        <v>22</v>
      </c>
      <c r="Q34" s="655" t="s">
        <v>385</v>
      </c>
      <c r="R34" s="647"/>
      <c r="S34" s="648"/>
      <c r="T34" s="672" t="e">
        <f t="shared" si="5"/>
        <v>#REF!</v>
      </c>
      <c r="U34" s="664">
        <v>0</v>
      </c>
      <c r="V34" s="664">
        <v>1</v>
      </c>
      <c r="W34" s="664">
        <v>1</v>
      </c>
      <c r="X34" s="664">
        <v>0</v>
      </c>
      <c r="Y34" s="674" t="e">
        <f>IF(AND($A$1=0,$F$1&gt;0,$K$1&gt;0,$P$1=0),$U$1&amp;$F$1&amp;$AA$29&amp;$U$2&amp;$K$1, "")</f>
        <v>#REF!</v>
      </c>
    </row>
    <row r="35" spans="1:25">
      <c r="A35" s="654">
        <v>23</v>
      </c>
      <c r="B35" s="655" t="s">
        <v>386</v>
      </c>
      <c r="C35" s="647"/>
      <c r="D35" s="648"/>
      <c r="E35" s="670"/>
      <c r="F35" s="654">
        <v>23</v>
      </c>
      <c r="G35" s="655" t="s">
        <v>386</v>
      </c>
      <c r="H35" s="647"/>
      <c r="I35" s="648"/>
      <c r="K35" s="654">
        <v>23</v>
      </c>
      <c r="L35" s="655" t="s">
        <v>386</v>
      </c>
      <c r="M35" s="647"/>
      <c r="N35" s="648"/>
      <c r="P35" s="654">
        <v>23</v>
      </c>
      <c r="Q35" s="655" t="s">
        <v>386</v>
      </c>
      <c r="R35" s="647"/>
      <c r="S35" s="648"/>
      <c r="T35" s="672" t="e">
        <f t="shared" si="5"/>
        <v>#REF!</v>
      </c>
      <c r="U35" s="664">
        <v>0</v>
      </c>
      <c r="V35" s="664">
        <v>1</v>
      </c>
      <c r="W35" s="664">
        <v>1</v>
      </c>
      <c r="X35" s="664">
        <v>1</v>
      </c>
      <c r="Y35" s="675" t="e">
        <f>IF(AND($A$1=0,$F$1&gt;0,$K$1&gt;0,$P$1&gt;0),$U$1&amp;$F$1&amp;$AA$29&amp;$U$2&amp;$K$1&amp;$AA$29&amp;$U$3&amp;$P$1&amp;$AA$30, "")</f>
        <v>#REF!</v>
      </c>
    </row>
    <row r="36" spans="1:25">
      <c r="A36" s="654">
        <v>24</v>
      </c>
      <c r="B36" s="655" t="s">
        <v>387</v>
      </c>
      <c r="C36" s="647"/>
      <c r="D36" s="648"/>
      <c r="E36" s="670"/>
      <c r="F36" s="654">
        <v>24</v>
      </c>
      <c r="G36" s="655" t="s">
        <v>387</v>
      </c>
      <c r="H36" s="647"/>
      <c r="I36" s="648"/>
      <c r="K36" s="654">
        <v>24</v>
      </c>
      <c r="L36" s="655" t="s">
        <v>387</v>
      </c>
      <c r="M36" s="647"/>
      <c r="N36" s="648"/>
      <c r="P36" s="654">
        <v>24</v>
      </c>
      <c r="Q36" s="655" t="s">
        <v>387</v>
      </c>
      <c r="R36" s="647"/>
      <c r="S36" s="648"/>
      <c r="T36" s="672" t="e">
        <f t="shared" si="5"/>
        <v>#REF!</v>
      </c>
      <c r="U36" s="664">
        <v>1</v>
      </c>
      <c r="V36" s="664">
        <v>0</v>
      </c>
      <c r="W36" s="664">
        <v>0</v>
      </c>
      <c r="X36" s="664">
        <v>0</v>
      </c>
      <c r="Y36" s="673" t="e">
        <f>IF(AND($A$1&gt;0,$F$1=0,$K$1=0,$P$1=0),#REF!&amp; $A$1&amp;$AA$30, "")</f>
        <v>#REF!</v>
      </c>
    </row>
    <row r="37" spans="1:25">
      <c r="A37" s="654">
        <v>25</v>
      </c>
      <c r="B37" s="655" t="s">
        <v>388</v>
      </c>
      <c r="C37" s="647"/>
      <c r="D37" s="648"/>
      <c r="E37" s="670"/>
      <c r="F37" s="654">
        <v>25</v>
      </c>
      <c r="G37" s="655" t="s">
        <v>388</v>
      </c>
      <c r="H37" s="647"/>
      <c r="I37" s="648"/>
      <c r="K37" s="654">
        <v>25</v>
      </c>
      <c r="L37" s="655" t="s">
        <v>388</v>
      </c>
      <c r="M37" s="647"/>
      <c r="N37" s="648"/>
      <c r="P37" s="654">
        <v>25</v>
      </c>
      <c r="Q37" s="655" t="s">
        <v>388</v>
      </c>
      <c r="R37" s="647"/>
      <c r="S37" s="648"/>
      <c r="T37" s="672" t="e">
        <f t="shared" si="5"/>
        <v>#REF!</v>
      </c>
      <c r="U37" s="664">
        <v>1</v>
      </c>
      <c r="V37" s="664">
        <v>0</v>
      </c>
      <c r="W37" s="664">
        <v>0</v>
      </c>
      <c r="X37" s="664">
        <v>1</v>
      </c>
      <c r="Y37" s="674" t="e">
        <f>IF(AND($A$1&gt;0,$F$1=0,$K$1=0,$P$1&gt;0),#REF!&amp;$A$1&amp;$AA$29&amp;$U$3&amp;$P$1&amp;$AA$30, "")</f>
        <v>#REF!</v>
      </c>
    </row>
    <row r="38" spans="1:25">
      <c r="A38" s="654">
        <v>26</v>
      </c>
      <c r="B38" s="655" t="s">
        <v>389</v>
      </c>
      <c r="C38" s="647"/>
      <c r="D38" s="648"/>
      <c r="E38" s="670"/>
      <c r="F38" s="654">
        <v>26</v>
      </c>
      <c r="G38" s="655" t="s">
        <v>389</v>
      </c>
      <c r="H38" s="647"/>
      <c r="I38" s="648"/>
      <c r="K38" s="654">
        <v>26</v>
      </c>
      <c r="L38" s="655" t="s">
        <v>389</v>
      </c>
      <c r="M38" s="647"/>
      <c r="N38" s="648"/>
      <c r="P38" s="654">
        <v>26</v>
      </c>
      <c r="Q38" s="655" t="s">
        <v>389</v>
      </c>
      <c r="R38" s="647"/>
      <c r="S38" s="648"/>
      <c r="T38" s="672" t="e">
        <f t="shared" si="5"/>
        <v>#REF!</v>
      </c>
      <c r="U38" s="664">
        <v>1</v>
      </c>
      <c r="V38" s="664">
        <v>0</v>
      </c>
      <c r="W38" s="664">
        <v>1</v>
      </c>
      <c r="X38" s="664">
        <v>0</v>
      </c>
      <c r="Y38" s="674" t="e">
        <f>IF(AND($A$1&gt;0,$F$1=0,$K$1&gt;0,$P$1=0),#REF!&amp;$A$1&amp;$AA$29&amp;$U$2&amp;$K$1, "")</f>
        <v>#REF!</v>
      </c>
    </row>
    <row r="39" spans="1:25">
      <c r="A39" s="654">
        <v>27</v>
      </c>
      <c r="B39" s="655" t="s">
        <v>390</v>
      </c>
      <c r="C39" s="647"/>
      <c r="D39" s="648"/>
      <c r="E39" s="670"/>
      <c r="F39" s="654">
        <v>27</v>
      </c>
      <c r="G39" s="655" t="s">
        <v>390</v>
      </c>
      <c r="H39" s="647"/>
      <c r="I39" s="648"/>
      <c r="K39" s="654">
        <v>27</v>
      </c>
      <c r="L39" s="655" t="s">
        <v>390</v>
      </c>
      <c r="M39" s="647"/>
      <c r="N39" s="648"/>
      <c r="P39" s="654">
        <v>27</v>
      </c>
      <c r="Q39" s="655" t="s">
        <v>390</v>
      </c>
      <c r="R39" s="647"/>
      <c r="S39" s="648"/>
      <c r="T39" s="672" t="e">
        <f t="shared" si="5"/>
        <v>#REF!</v>
      </c>
      <c r="U39" s="664">
        <v>1</v>
      </c>
      <c r="V39" s="664">
        <v>0</v>
      </c>
      <c r="W39" s="664">
        <v>1</v>
      </c>
      <c r="X39" s="664">
        <v>1</v>
      </c>
      <c r="Y39" s="674" t="e">
        <f>IF(AND($A$1&gt;0,$F$1=0,$K$1&gt;0,$P$1&gt;0),#REF!&amp;$A$1&amp;$AA$29&amp;$U$2&amp;$K$1&amp;$AA$29&amp;$U$3&amp;$P$1&amp;$AA$30, "")</f>
        <v>#REF!</v>
      </c>
    </row>
    <row r="40" spans="1:25">
      <c r="A40" s="654">
        <v>28</v>
      </c>
      <c r="B40" s="655" t="s">
        <v>391</v>
      </c>
      <c r="C40" s="647"/>
      <c r="D40" s="648"/>
      <c r="E40" s="670"/>
      <c r="F40" s="654">
        <v>28</v>
      </c>
      <c r="G40" s="655" t="s">
        <v>391</v>
      </c>
      <c r="H40" s="647"/>
      <c r="I40" s="648"/>
      <c r="K40" s="654">
        <v>28</v>
      </c>
      <c r="L40" s="655" t="s">
        <v>391</v>
      </c>
      <c r="M40" s="647"/>
      <c r="N40" s="648"/>
      <c r="P40" s="654">
        <v>28</v>
      </c>
      <c r="Q40" s="655" t="s">
        <v>391</v>
      </c>
      <c r="R40" s="647"/>
      <c r="S40" s="648"/>
      <c r="T40" s="672" t="e">
        <f t="shared" si="5"/>
        <v>#REF!</v>
      </c>
      <c r="U40" s="664">
        <v>1</v>
      </c>
      <c r="V40" s="664">
        <v>1</v>
      </c>
      <c r="W40" s="664">
        <v>0</v>
      </c>
      <c r="X40" s="664">
        <v>0</v>
      </c>
      <c r="Y40" s="674" t="e">
        <f>IF(AND($A$1&gt;0,$F$1&gt;0,$K$1=0,$P$1=0),#REF!&amp;$A$1&amp;$AA$29&amp;$U$1&amp;$F$1, "")</f>
        <v>#REF!</v>
      </c>
    </row>
    <row r="41" spans="1:25">
      <c r="A41" s="654">
        <v>29</v>
      </c>
      <c r="B41" s="655" t="s">
        <v>392</v>
      </c>
      <c r="C41" s="647"/>
      <c r="D41" s="648"/>
      <c r="E41" s="670"/>
      <c r="F41" s="654">
        <v>29</v>
      </c>
      <c r="G41" s="655" t="s">
        <v>392</v>
      </c>
      <c r="H41" s="647"/>
      <c r="I41" s="648"/>
      <c r="K41" s="654">
        <v>29</v>
      </c>
      <c r="L41" s="655" t="s">
        <v>392</v>
      </c>
      <c r="M41" s="647"/>
      <c r="N41" s="648"/>
      <c r="P41" s="654">
        <v>29</v>
      </c>
      <c r="Q41" s="655" t="s">
        <v>392</v>
      </c>
      <c r="R41" s="647"/>
      <c r="S41" s="648"/>
      <c r="T41" s="672" t="e">
        <f t="shared" si="5"/>
        <v>#REF!</v>
      </c>
      <c r="U41" s="664">
        <v>1</v>
      </c>
      <c r="V41" s="664">
        <v>1</v>
      </c>
      <c r="W41" s="664">
        <v>0</v>
      </c>
      <c r="X41" s="664">
        <v>1</v>
      </c>
      <c r="Y41" s="674" t="e">
        <f>IF(AND($A$1&gt;0,$F$1&gt;0,$K$1=0,$P$1&gt;0),#REF!&amp;$A$1&amp;$AA$29&amp;$U$1&amp;$F$1&amp;$AA$29&amp;$U$3&amp;$P$1&amp;$AA$30, "")</f>
        <v>#REF!</v>
      </c>
    </row>
    <row r="42" spans="1:25">
      <c r="A42" s="654">
        <v>30</v>
      </c>
      <c r="B42" s="655" t="s">
        <v>393</v>
      </c>
      <c r="C42" s="647"/>
      <c r="D42" s="648"/>
      <c r="E42" s="670"/>
      <c r="F42" s="654">
        <v>30</v>
      </c>
      <c r="G42" s="655" t="s">
        <v>393</v>
      </c>
      <c r="H42" s="647"/>
      <c r="I42" s="648"/>
      <c r="K42" s="654">
        <v>30</v>
      </c>
      <c r="L42" s="655" t="s">
        <v>393</v>
      </c>
      <c r="M42" s="647"/>
      <c r="N42" s="648"/>
      <c r="P42" s="654">
        <v>30</v>
      </c>
      <c r="Q42" s="655" t="s">
        <v>393</v>
      </c>
      <c r="R42" s="647"/>
      <c r="S42" s="648"/>
      <c r="T42" s="672" t="e">
        <f t="shared" si="5"/>
        <v>#REF!</v>
      </c>
      <c r="U42" s="664">
        <v>1</v>
      </c>
      <c r="V42" s="664">
        <v>1</v>
      </c>
      <c r="W42" s="664">
        <v>1</v>
      </c>
      <c r="X42" s="664">
        <v>0</v>
      </c>
      <c r="Y42" s="674" t="e">
        <f>IF(AND($A$1&gt;0,$F$1&gt;0,$K$1&gt;0,$P$1=0),#REF!&amp;$A$1&amp;$AA$29&amp;$U$1&amp;$F$1&amp;$AA$29&amp;$U$2&amp;$K$1, "")</f>
        <v>#REF!</v>
      </c>
    </row>
    <row r="43" spans="1:25">
      <c r="A43" s="654">
        <v>31</v>
      </c>
      <c r="B43" s="655" t="s">
        <v>394</v>
      </c>
      <c r="C43" s="647"/>
      <c r="D43" s="648"/>
      <c r="E43" s="670"/>
      <c r="F43" s="654">
        <v>31</v>
      </c>
      <c r="G43" s="655" t="s">
        <v>394</v>
      </c>
      <c r="H43" s="647"/>
      <c r="I43" s="648"/>
      <c r="K43" s="654">
        <v>31</v>
      </c>
      <c r="L43" s="655" t="s">
        <v>394</v>
      </c>
      <c r="M43" s="647"/>
      <c r="N43" s="648"/>
      <c r="P43" s="654">
        <v>31</v>
      </c>
      <c r="Q43" s="655" t="s">
        <v>394</v>
      </c>
      <c r="R43" s="647"/>
      <c r="S43" s="648"/>
      <c r="T43" s="672" t="e">
        <f t="shared" si="5"/>
        <v>#REF!</v>
      </c>
      <c r="U43" s="664">
        <v>1</v>
      </c>
      <c r="V43" s="664">
        <v>1</v>
      </c>
      <c r="W43" s="664">
        <v>1</v>
      </c>
      <c r="X43" s="664">
        <v>1</v>
      </c>
      <c r="Y43" s="675" t="e">
        <f>IF(AND($A$1&gt;0,$F$1&gt;0,$K$1&gt;0,$P$1&gt;0),#REF!&amp;$A$1&amp;$AA$29&amp;$U$1&amp;$F$1&amp;$AA$29&amp;$U$2&amp;$K$1&amp;$AA$29&amp;$U$3&amp;$P$1&amp;$AA$30, "")</f>
        <v>#REF!</v>
      </c>
    </row>
    <row r="44" spans="1:25">
      <c r="A44" s="654">
        <v>32</v>
      </c>
      <c r="B44" s="655" t="s">
        <v>395</v>
      </c>
      <c r="C44" s="647"/>
      <c r="D44" s="648"/>
      <c r="E44" s="670"/>
      <c r="F44" s="654">
        <v>32</v>
      </c>
      <c r="G44" s="655" t="s">
        <v>395</v>
      </c>
      <c r="H44" s="647"/>
      <c r="I44" s="648"/>
      <c r="K44" s="654">
        <v>32</v>
      </c>
      <c r="L44" s="655" t="s">
        <v>395</v>
      </c>
      <c r="M44" s="647"/>
      <c r="N44" s="648"/>
      <c r="P44" s="654">
        <v>32</v>
      </c>
      <c r="Q44" s="655" t="s">
        <v>395</v>
      </c>
      <c r="R44" s="647"/>
      <c r="S44" s="648"/>
    </row>
    <row r="45" spans="1:25">
      <c r="A45" s="654">
        <v>33</v>
      </c>
      <c r="B45" s="655" t="s">
        <v>396</v>
      </c>
      <c r="C45" s="647"/>
      <c r="D45" s="648"/>
      <c r="E45" s="670"/>
      <c r="F45" s="654">
        <v>33</v>
      </c>
      <c r="G45" s="655" t="s">
        <v>396</v>
      </c>
      <c r="H45" s="647"/>
      <c r="I45" s="648"/>
      <c r="K45" s="654">
        <v>33</v>
      </c>
      <c r="L45" s="655" t="s">
        <v>396</v>
      </c>
      <c r="M45" s="647"/>
      <c r="N45" s="648"/>
      <c r="P45" s="654">
        <v>33</v>
      </c>
      <c r="Q45" s="655" t="s">
        <v>396</v>
      </c>
      <c r="R45" s="647"/>
      <c r="S45" s="648"/>
    </row>
    <row r="46" spans="1:25">
      <c r="A46" s="654">
        <v>34</v>
      </c>
      <c r="B46" s="655" t="s">
        <v>397</v>
      </c>
      <c r="C46" s="647"/>
      <c r="D46" s="648"/>
      <c r="E46" s="670"/>
      <c r="F46" s="654">
        <v>34</v>
      </c>
      <c r="G46" s="655" t="s">
        <v>397</v>
      </c>
      <c r="H46" s="647"/>
      <c r="I46" s="648"/>
      <c r="K46" s="654">
        <v>34</v>
      </c>
      <c r="L46" s="655" t="s">
        <v>397</v>
      </c>
      <c r="M46" s="647"/>
      <c r="N46" s="648"/>
      <c r="P46" s="654">
        <v>34</v>
      </c>
      <c r="Q46" s="655" t="s">
        <v>397</v>
      </c>
      <c r="R46" s="647"/>
      <c r="S46" s="648"/>
    </row>
    <row r="47" spans="1:25">
      <c r="A47" s="654">
        <v>35</v>
      </c>
      <c r="B47" s="655" t="s">
        <v>398</v>
      </c>
      <c r="C47" s="647"/>
      <c r="D47" s="648"/>
      <c r="E47" s="670"/>
      <c r="F47" s="654">
        <v>35</v>
      </c>
      <c r="G47" s="655" t="s">
        <v>398</v>
      </c>
      <c r="H47" s="647"/>
      <c r="I47" s="648"/>
      <c r="K47" s="654">
        <v>35</v>
      </c>
      <c r="L47" s="655" t="s">
        <v>398</v>
      </c>
      <c r="M47" s="647"/>
      <c r="N47" s="648"/>
      <c r="P47" s="654">
        <v>35</v>
      </c>
      <c r="Q47" s="655" t="s">
        <v>398</v>
      </c>
      <c r="R47" s="647"/>
      <c r="S47" s="648"/>
    </row>
    <row r="48" spans="1:25">
      <c r="A48" s="654">
        <v>36</v>
      </c>
      <c r="B48" s="655" t="s">
        <v>399</v>
      </c>
      <c r="C48" s="647"/>
      <c r="D48" s="648"/>
      <c r="E48" s="670"/>
      <c r="F48" s="654">
        <v>36</v>
      </c>
      <c r="G48" s="655" t="s">
        <v>399</v>
      </c>
      <c r="H48" s="647"/>
      <c r="I48" s="648"/>
      <c r="K48" s="654">
        <v>36</v>
      </c>
      <c r="L48" s="655" t="s">
        <v>399</v>
      </c>
      <c r="M48" s="647"/>
      <c r="N48" s="648"/>
      <c r="P48" s="654">
        <v>36</v>
      </c>
      <c r="Q48" s="655" t="s">
        <v>399</v>
      </c>
      <c r="R48" s="647"/>
      <c r="S48" s="648"/>
    </row>
    <row r="49" spans="1:19">
      <c r="A49" s="654">
        <v>37</v>
      </c>
      <c r="B49" s="655" t="s">
        <v>400</v>
      </c>
      <c r="C49" s="647"/>
      <c r="D49" s="648"/>
      <c r="E49" s="670"/>
      <c r="F49" s="654">
        <v>37</v>
      </c>
      <c r="G49" s="655" t="s">
        <v>400</v>
      </c>
      <c r="H49" s="647"/>
      <c r="I49" s="648"/>
      <c r="K49" s="654">
        <v>37</v>
      </c>
      <c r="L49" s="655" t="s">
        <v>400</v>
      </c>
      <c r="M49" s="647"/>
      <c r="N49" s="648"/>
      <c r="P49" s="654">
        <v>37</v>
      </c>
      <c r="Q49" s="655" t="s">
        <v>400</v>
      </c>
      <c r="R49" s="647"/>
      <c r="S49" s="648"/>
    </row>
    <row r="50" spans="1:19">
      <c r="A50" s="654">
        <v>38</v>
      </c>
      <c r="B50" s="655" t="s">
        <v>401</v>
      </c>
      <c r="C50" s="647"/>
      <c r="D50" s="648"/>
      <c r="E50" s="670"/>
      <c r="F50" s="654">
        <v>38</v>
      </c>
      <c r="G50" s="655" t="s">
        <v>401</v>
      </c>
      <c r="H50" s="647"/>
      <c r="I50" s="648"/>
      <c r="K50" s="654">
        <v>38</v>
      </c>
      <c r="L50" s="655" t="s">
        <v>401</v>
      </c>
      <c r="M50" s="647"/>
      <c r="N50" s="648"/>
      <c r="P50" s="654">
        <v>38</v>
      </c>
      <c r="Q50" s="655" t="s">
        <v>401</v>
      </c>
      <c r="R50" s="647"/>
      <c r="S50" s="648"/>
    </row>
    <row r="51" spans="1:19">
      <c r="A51" s="654">
        <v>39</v>
      </c>
      <c r="B51" s="655" t="s">
        <v>402</v>
      </c>
      <c r="C51" s="647"/>
      <c r="D51" s="648"/>
      <c r="E51" s="670"/>
      <c r="F51" s="654">
        <v>39</v>
      </c>
      <c r="G51" s="655" t="s">
        <v>402</v>
      </c>
      <c r="H51" s="647"/>
      <c r="I51" s="648"/>
      <c r="K51" s="654">
        <v>39</v>
      </c>
      <c r="L51" s="655" t="s">
        <v>402</v>
      </c>
      <c r="M51" s="647"/>
      <c r="N51" s="648"/>
      <c r="P51" s="654">
        <v>39</v>
      </c>
      <c r="Q51" s="655" t="s">
        <v>402</v>
      </c>
      <c r="R51" s="647"/>
      <c r="S51" s="648"/>
    </row>
    <row r="52" spans="1:19">
      <c r="A52" s="654">
        <v>40</v>
      </c>
      <c r="B52" s="655" t="s">
        <v>403</v>
      </c>
      <c r="C52" s="647"/>
      <c r="D52" s="648"/>
      <c r="E52" s="670"/>
      <c r="F52" s="654">
        <v>40</v>
      </c>
      <c r="G52" s="655" t="s">
        <v>403</v>
      </c>
      <c r="H52" s="647"/>
      <c r="I52" s="648"/>
      <c r="K52" s="654">
        <v>40</v>
      </c>
      <c r="L52" s="655" t="s">
        <v>403</v>
      </c>
      <c r="M52" s="647"/>
      <c r="N52" s="648"/>
      <c r="P52" s="654">
        <v>40</v>
      </c>
      <c r="Q52" s="655" t="s">
        <v>403</v>
      </c>
      <c r="R52" s="647"/>
      <c r="S52" s="648"/>
    </row>
    <row r="53" spans="1:19">
      <c r="A53" s="654">
        <v>41</v>
      </c>
      <c r="B53" s="655" t="s">
        <v>404</v>
      </c>
      <c r="C53" s="647"/>
      <c r="D53" s="648"/>
      <c r="E53" s="670"/>
      <c r="F53" s="654">
        <v>41</v>
      </c>
      <c r="G53" s="655" t="s">
        <v>404</v>
      </c>
      <c r="H53" s="647"/>
      <c r="I53" s="648"/>
      <c r="K53" s="654">
        <v>41</v>
      </c>
      <c r="L53" s="655" t="s">
        <v>404</v>
      </c>
      <c r="M53" s="647"/>
      <c r="N53" s="648"/>
      <c r="P53" s="654">
        <v>41</v>
      </c>
      <c r="Q53" s="655" t="s">
        <v>404</v>
      </c>
      <c r="R53" s="647"/>
      <c r="S53" s="648"/>
    </row>
    <row r="54" spans="1:19">
      <c r="A54" s="654">
        <v>42</v>
      </c>
      <c r="B54" s="655" t="s">
        <v>405</v>
      </c>
      <c r="C54" s="647"/>
      <c r="D54" s="648"/>
      <c r="E54" s="670"/>
      <c r="F54" s="654">
        <v>42</v>
      </c>
      <c r="G54" s="655" t="s">
        <v>405</v>
      </c>
      <c r="H54" s="647"/>
      <c r="I54" s="648"/>
      <c r="K54" s="654">
        <v>42</v>
      </c>
      <c r="L54" s="655" t="s">
        <v>405</v>
      </c>
      <c r="M54" s="647"/>
      <c r="N54" s="648"/>
      <c r="P54" s="654">
        <v>42</v>
      </c>
      <c r="Q54" s="655" t="s">
        <v>405</v>
      </c>
      <c r="R54" s="647"/>
      <c r="S54" s="648"/>
    </row>
    <row r="55" spans="1:19">
      <c r="A55" s="654">
        <v>43</v>
      </c>
      <c r="B55" s="655" t="s">
        <v>406</v>
      </c>
      <c r="C55" s="647"/>
      <c r="D55" s="648"/>
      <c r="E55" s="670"/>
      <c r="F55" s="654">
        <v>43</v>
      </c>
      <c r="G55" s="655" t="s">
        <v>406</v>
      </c>
      <c r="H55" s="647"/>
      <c r="I55" s="648"/>
      <c r="K55" s="654">
        <v>43</v>
      </c>
      <c r="L55" s="655" t="s">
        <v>406</v>
      </c>
      <c r="M55" s="647"/>
      <c r="N55" s="648"/>
      <c r="P55" s="654">
        <v>43</v>
      </c>
      <c r="Q55" s="655" t="s">
        <v>406</v>
      </c>
      <c r="R55" s="647"/>
      <c r="S55" s="648"/>
    </row>
    <row r="56" spans="1:19">
      <c r="A56" s="654">
        <v>44</v>
      </c>
      <c r="B56" s="655" t="s">
        <v>407</v>
      </c>
      <c r="C56" s="647"/>
      <c r="D56" s="648"/>
      <c r="E56" s="670"/>
      <c r="F56" s="654">
        <v>44</v>
      </c>
      <c r="G56" s="655" t="s">
        <v>407</v>
      </c>
      <c r="H56" s="647"/>
      <c r="I56" s="648"/>
      <c r="K56" s="654">
        <v>44</v>
      </c>
      <c r="L56" s="655" t="s">
        <v>407</v>
      </c>
      <c r="M56" s="647"/>
      <c r="N56" s="648"/>
      <c r="P56" s="654">
        <v>44</v>
      </c>
      <c r="Q56" s="655" t="s">
        <v>407</v>
      </c>
      <c r="R56" s="647"/>
      <c r="S56" s="648"/>
    </row>
    <row r="57" spans="1:19">
      <c r="A57" s="654">
        <v>45</v>
      </c>
      <c r="B57" s="655" t="s">
        <v>408</v>
      </c>
      <c r="C57" s="647"/>
      <c r="D57" s="648"/>
      <c r="E57" s="670"/>
      <c r="F57" s="654">
        <v>45</v>
      </c>
      <c r="G57" s="655" t="s">
        <v>408</v>
      </c>
      <c r="H57" s="647"/>
      <c r="I57" s="648"/>
      <c r="K57" s="654">
        <v>45</v>
      </c>
      <c r="L57" s="655" t="s">
        <v>408</v>
      </c>
      <c r="M57" s="647"/>
      <c r="N57" s="648"/>
      <c r="P57" s="654">
        <v>45</v>
      </c>
      <c r="Q57" s="655" t="s">
        <v>408</v>
      </c>
      <c r="R57" s="647"/>
      <c r="S57" s="648"/>
    </row>
    <row r="58" spans="1:19">
      <c r="A58" s="654">
        <v>46</v>
      </c>
      <c r="B58" s="655" t="s">
        <v>409</v>
      </c>
      <c r="C58" s="647"/>
      <c r="D58" s="648"/>
      <c r="E58" s="670"/>
      <c r="F58" s="654">
        <v>46</v>
      </c>
      <c r="G58" s="655" t="s">
        <v>409</v>
      </c>
      <c r="H58" s="647"/>
      <c r="I58" s="648"/>
      <c r="K58" s="654">
        <v>46</v>
      </c>
      <c r="L58" s="655" t="s">
        <v>409</v>
      </c>
      <c r="M58" s="647"/>
      <c r="N58" s="648"/>
      <c r="P58" s="654">
        <v>46</v>
      </c>
      <c r="Q58" s="655" t="s">
        <v>409</v>
      </c>
      <c r="R58" s="647"/>
      <c r="S58" s="648"/>
    </row>
    <row r="59" spans="1:19">
      <c r="A59" s="654">
        <v>47</v>
      </c>
      <c r="B59" s="655" t="s">
        <v>410</v>
      </c>
      <c r="C59" s="647"/>
      <c r="D59" s="648"/>
      <c r="E59" s="670"/>
      <c r="F59" s="654">
        <v>47</v>
      </c>
      <c r="G59" s="655" t="s">
        <v>410</v>
      </c>
      <c r="H59" s="647"/>
      <c r="I59" s="648"/>
      <c r="K59" s="654">
        <v>47</v>
      </c>
      <c r="L59" s="655" t="s">
        <v>410</v>
      </c>
      <c r="M59" s="647"/>
      <c r="N59" s="648"/>
      <c r="P59" s="654">
        <v>47</v>
      </c>
      <c r="Q59" s="655" t="s">
        <v>410</v>
      </c>
      <c r="R59" s="647"/>
      <c r="S59" s="648"/>
    </row>
    <row r="60" spans="1:19">
      <c r="A60" s="654">
        <v>48</v>
      </c>
      <c r="B60" s="655" t="s">
        <v>411</v>
      </c>
      <c r="C60" s="647"/>
      <c r="D60" s="648"/>
      <c r="E60" s="670"/>
      <c r="F60" s="654">
        <v>48</v>
      </c>
      <c r="G60" s="655" t="s">
        <v>411</v>
      </c>
      <c r="H60" s="647"/>
      <c r="I60" s="648"/>
      <c r="K60" s="654">
        <v>48</v>
      </c>
      <c r="L60" s="655" t="s">
        <v>411</v>
      </c>
      <c r="M60" s="647"/>
      <c r="N60" s="648"/>
      <c r="P60" s="654">
        <v>48</v>
      </c>
      <c r="Q60" s="655" t="s">
        <v>411</v>
      </c>
      <c r="R60" s="647"/>
      <c r="S60" s="648"/>
    </row>
    <row r="61" spans="1:19">
      <c r="A61" s="654">
        <v>49</v>
      </c>
      <c r="B61" s="655" t="s">
        <v>412</v>
      </c>
      <c r="C61" s="647"/>
      <c r="D61" s="648"/>
      <c r="E61" s="670"/>
      <c r="F61" s="654">
        <v>49</v>
      </c>
      <c r="G61" s="655" t="s">
        <v>412</v>
      </c>
      <c r="H61" s="647"/>
      <c r="I61" s="648"/>
      <c r="K61" s="654">
        <v>49</v>
      </c>
      <c r="L61" s="655" t="s">
        <v>412</v>
      </c>
      <c r="M61" s="647"/>
      <c r="N61" s="648"/>
      <c r="P61" s="654">
        <v>49</v>
      </c>
      <c r="Q61" s="655" t="s">
        <v>412</v>
      </c>
      <c r="R61" s="647"/>
      <c r="S61" s="648"/>
    </row>
    <row r="62" spans="1:19">
      <c r="A62" s="654">
        <v>50</v>
      </c>
      <c r="B62" s="655" t="s">
        <v>413</v>
      </c>
      <c r="C62" s="647"/>
      <c r="D62" s="648"/>
      <c r="E62" s="670"/>
      <c r="F62" s="654">
        <v>50</v>
      </c>
      <c r="G62" s="655" t="s">
        <v>413</v>
      </c>
      <c r="H62" s="647"/>
      <c r="I62" s="648"/>
      <c r="K62" s="654">
        <v>50</v>
      </c>
      <c r="L62" s="655" t="s">
        <v>413</v>
      </c>
      <c r="M62" s="647"/>
      <c r="N62" s="648"/>
      <c r="P62" s="654">
        <v>50</v>
      </c>
      <c r="Q62" s="655" t="s">
        <v>413</v>
      </c>
      <c r="R62" s="647"/>
      <c r="S62" s="648"/>
    </row>
    <row r="63" spans="1:19">
      <c r="A63" s="654">
        <v>51</v>
      </c>
      <c r="B63" s="655" t="s">
        <v>414</v>
      </c>
      <c r="C63" s="647"/>
      <c r="D63" s="648"/>
      <c r="E63" s="670"/>
      <c r="F63" s="654">
        <v>51</v>
      </c>
      <c r="G63" s="655" t="s">
        <v>414</v>
      </c>
      <c r="H63" s="647"/>
      <c r="I63" s="648"/>
      <c r="K63" s="654">
        <v>51</v>
      </c>
      <c r="L63" s="655" t="s">
        <v>414</v>
      </c>
      <c r="M63" s="647"/>
      <c r="N63" s="648"/>
      <c r="P63" s="654">
        <v>51</v>
      </c>
      <c r="Q63" s="655" t="s">
        <v>414</v>
      </c>
      <c r="R63" s="647"/>
      <c r="S63" s="648"/>
    </row>
    <row r="64" spans="1:19">
      <c r="A64" s="654">
        <v>52</v>
      </c>
      <c r="B64" s="655" t="s">
        <v>415</v>
      </c>
      <c r="C64" s="647"/>
      <c r="D64" s="648"/>
      <c r="E64" s="670"/>
      <c r="F64" s="654">
        <v>52</v>
      </c>
      <c r="G64" s="655" t="s">
        <v>415</v>
      </c>
      <c r="H64" s="647"/>
      <c r="I64" s="648"/>
      <c r="K64" s="654">
        <v>52</v>
      </c>
      <c r="L64" s="655" t="s">
        <v>415</v>
      </c>
      <c r="M64" s="647"/>
      <c r="N64" s="648"/>
      <c r="P64" s="654">
        <v>52</v>
      </c>
      <c r="Q64" s="655" t="s">
        <v>415</v>
      </c>
      <c r="R64" s="647"/>
      <c r="S64" s="648"/>
    </row>
    <row r="65" spans="1:19">
      <c r="A65" s="654">
        <v>53</v>
      </c>
      <c r="B65" s="655" t="s">
        <v>416</v>
      </c>
      <c r="C65" s="647"/>
      <c r="D65" s="648"/>
      <c r="E65" s="670"/>
      <c r="F65" s="654">
        <v>53</v>
      </c>
      <c r="G65" s="655" t="s">
        <v>416</v>
      </c>
      <c r="H65" s="647"/>
      <c r="I65" s="648"/>
      <c r="K65" s="654">
        <v>53</v>
      </c>
      <c r="L65" s="655" t="s">
        <v>416</v>
      </c>
      <c r="M65" s="647"/>
      <c r="N65" s="648"/>
      <c r="P65" s="654">
        <v>53</v>
      </c>
      <c r="Q65" s="655" t="s">
        <v>416</v>
      </c>
      <c r="R65" s="647"/>
      <c r="S65" s="648"/>
    </row>
    <row r="66" spans="1:19">
      <c r="A66" s="654">
        <v>54</v>
      </c>
      <c r="B66" s="655" t="s">
        <v>417</v>
      </c>
      <c r="C66" s="647"/>
      <c r="D66" s="648"/>
      <c r="E66" s="670"/>
      <c r="F66" s="654">
        <v>54</v>
      </c>
      <c r="G66" s="655" t="s">
        <v>417</v>
      </c>
      <c r="H66" s="647"/>
      <c r="I66" s="648"/>
      <c r="K66" s="654">
        <v>54</v>
      </c>
      <c r="L66" s="655" t="s">
        <v>417</v>
      </c>
      <c r="M66" s="647"/>
      <c r="N66" s="648"/>
      <c r="P66" s="654">
        <v>54</v>
      </c>
      <c r="Q66" s="655" t="s">
        <v>417</v>
      </c>
      <c r="R66" s="647"/>
      <c r="S66" s="648"/>
    </row>
    <row r="67" spans="1:19">
      <c r="A67" s="654">
        <v>55</v>
      </c>
      <c r="B67" s="655" t="s">
        <v>418</v>
      </c>
      <c r="C67" s="647"/>
      <c r="D67" s="648"/>
      <c r="E67" s="670"/>
      <c r="F67" s="654">
        <v>55</v>
      </c>
      <c r="G67" s="655" t="s">
        <v>418</v>
      </c>
      <c r="H67" s="647"/>
      <c r="I67" s="648"/>
      <c r="K67" s="654">
        <v>55</v>
      </c>
      <c r="L67" s="655" t="s">
        <v>418</v>
      </c>
      <c r="M67" s="647"/>
      <c r="N67" s="648"/>
      <c r="P67" s="654">
        <v>55</v>
      </c>
      <c r="Q67" s="655" t="s">
        <v>418</v>
      </c>
      <c r="R67" s="647"/>
      <c r="S67" s="648"/>
    </row>
    <row r="68" spans="1:19">
      <c r="A68" s="654">
        <v>56</v>
      </c>
      <c r="B68" s="655" t="s">
        <v>419</v>
      </c>
      <c r="C68" s="647"/>
      <c r="D68" s="648"/>
      <c r="E68" s="670"/>
      <c r="F68" s="654">
        <v>56</v>
      </c>
      <c r="G68" s="655" t="s">
        <v>419</v>
      </c>
      <c r="H68" s="647"/>
      <c r="I68" s="648"/>
      <c r="K68" s="654">
        <v>56</v>
      </c>
      <c r="L68" s="655" t="s">
        <v>419</v>
      </c>
      <c r="M68" s="647"/>
      <c r="N68" s="648"/>
      <c r="P68" s="654">
        <v>56</v>
      </c>
      <c r="Q68" s="655" t="s">
        <v>419</v>
      </c>
      <c r="R68" s="647"/>
      <c r="S68" s="648"/>
    </row>
    <row r="69" spans="1:19">
      <c r="A69" s="654">
        <v>57</v>
      </c>
      <c r="B69" s="655" t="s">
        <v>420</v>
      </c>
      <c r="C69" s="647"/>
      <c r="D69" s="648"/>
      <c r="E69" s="670"/>
      <c r="F69" s="654">
        <v>57</v>
      </c>
      <c r="G69" s="655" t="s">
        <v>420</v>
      </c>
      <c r="H69" s="647"/>
      <c r="I69" s="648"/>
      <c r="K69" s="654">
        <v>57</v>
      </c>
      <c r="L69" s="655" t="s">
        <v>420</v>
      </c>
      <c r="M69" s="647"/>
      <c r="N69" s="648"/>
      <c r="P69" s="654">
        <v>57</v>
      </c>
      <c r="Q69" s="655" t="s">
        <v>420</v>
      </c>
      <c r="R69" s="647"/>
      <c r="S69" s="648"/>
    </row>
    <row r="70" spans="1:19">
      <c r="A70" s="654">
        <v>58</v>
      </c>
      <c r="B70" s="655" t="s">
        <v>421</v>
      </c>
      <c r="C70" s="647"/>
      <c r="D70" s="648"/>
      <c r="E70" s="670"/>
      <c r="F70" s="654">
        <v>58</v>
      </c>
      <c r="G70" s="655" t="s">
        <v>421</v>
      </c>
      <c r="H70" s="647"/>
      <c r="I70" s="648"/>
      <c r="K70" s="654">
        <v>58</v>
      </c>
      <c r="L70" s="655" t="s">
        <v>421</v>
      </c>
      <c r="M70" s="647"/>
      <c r="N70" s="648"/>
      <c r="P70" s="654">
        <v>58</v>
      </c>
      <c r="Q70" s="655" t="s">
        <v>421</v>
      </c>
      <c r="R70" s="647"/>
      <c r="S70" s="648"/>
    </row>
    <row r="71" spans="1:19">
      <c r="A71" s="654">
        <v>59</v>
      </c>
      <c r="B71" s="655" t="s">
        <v>422</v>
      </c>
      <c r="C71" s="647"/>
      <c r="D71" s="648"/>
      <c r="E71" s="670"/>
      <c r="F71" s="654">
        <v>59</v>
      </c>
      <c r="G71" s="655" t="s">
        <v>422</v>
      </c>
      <c r="H71" s="647"/>
      <c r="I71" s="648"/>
      <c r="K71" s="654">
        <v>59</v>
      </c>
      <c r="L71" s="655" t="s">
        <v>422</v>
      </c>
      <c r="M71" s="647"/>
      <c r="N71" s="648"/>
      <c r="P71" s="654">
        <v>59</v>
      </c>
      <c r="Q71" s="655" t="s">
        <v>422</v>
      </c>
      <c r="R71" s="647"/>
      <c r="S71" s="648"/>
    </row>
    <row r="72" spans="1:19">
      <c r="A72" s="654">
        <v>60</v>
      </c>
      <c r="B72" s="655" t="s">
        <v>423</v>
      </c>
      <c r="C72" s="647"/>
      <c r="D72" s="648"/>
      <c r="E72" s="670"/>
      <c r="F72" s="654">
        <v>60</v>
      </c>
      <c r="G72" s="655" t="s">
        <v>423</v>
      </c>
      <c r="H72" s="647"/>
      <c r="I72" s="648"/>
      <c r="K72" s="654">
        <v>60</v>
      </c>
      <c r="L72" s="655" t="s">
        <v>423</v>
      </c>
      <c r="M72" s="647"/>
      <c r="N72" s="648"/>
      <c r="P72" s="654">
        <v>60</v>
      </c>
      <c r="Q72" s="655" t="s">
        <v>423</v>
      </c>
      <c r="R72" s="647"/>
      <c r="S72" s="648"/>
    </row>
    <row r="73" spans="1:19">
      <c r="A73" s="654">
        <v>61</v>
      </c>
      <c r="B73" s="655" t="s">
        <v>424</v>
      </c>
      <c r="C73" s="647"/>
      <c r="D73" s="648"/>
      <c r="E73" s="670"/>
      <c r="F73" s="654">
        <v>61</v>
      </c>
      <c r="G73" s="655" t="s">
        <v>424</v>
      </c>
      <c r="H73" s="647"/>
      <c r="I73" s="648"/>
      <c r="K73" s="654">
        <v>61</v>
      </c>
      <c r="L73" s="655" t="s">
        <v>424</v>
      </c>
      <c r="M73" s="647"/>
      <c r="N73" s="648"/>
      <c r="P73" s="654">
        <v>61</v>
      </c>
      <c r="Q73" s="655" t="s">
        <v>424</v>
      </c>
      <c r="R73" s="647"/>
      <c r="S73" s="648"/>
    </row>
    <row r="74" spans="1:19">
      <c r="A74" s="654">
        <v>62</v>
      </c>
      <c r="B74" s="655" t="s">
        <v>425</v>
      </c>
      <c r="C74" s="647"/>
      <c r="D74" s="648"/>
      <c r="E74" s="670"/>
      <c r="F74" s="654">
        <v>62</v>
      </c>
      <c r="G74" s="655" t="s">
        <v>425</v>
      </c>
      <c r="H74" s="647"/>
      <c r="I74" s="648"/>
      <c r="K74" s="654">
        <v>62</v>
      </c>
      <c r="L74" s="655" t="s">
        <v>425</v>
      </c>
      <c r="M74" s="647"/>
      <c r="N74" s="648"/>
      <c r="P74" s="654">
        <v>62</v>
      </c>
      <c r="Q74" s="655" t="s">
        <v>425</v>
      </c>
      <c r="R74" s="647"/>
      <c r="S74" s="648"/>
    </row>
    <row r="75" spans="1:19">
      <c r="A75" s="654">
        <v>63</v>
      </c>
      <c r="B75" s="656" t="s">
        <v>426</v>
      </c>
      <c r="C75" s="647"/>
      <c r="D75" s="648"/>
      <c r="E75" s="670"/>
      <c r="F75" s="654">
        <v>63</v>
      </c>
      <c r="G75" s="656" t="s">
        <v>426</v>
      </c>
      <c r="H75" s="647"/>
      <c r="I75" s="648"/>
      <c r="K75" s="654">
        <v>63</v>
      </c>
      <c r="L75" s="656" t="s">
        <v>426</v>
      </c>
      <c r="M75" s="647"/>
      <c r="N75" s="648"/>
      <c r="P75" s="654">
        <v>63</v>
      </c>
      <c r="Q75" s="656" t="s">
        <v>426</v>
      </c>
      <c r="R75" s="647"/>
      <c r="S75" s="648"/>
    </row>
    <row r="76" spans="1:19">
      <c r="A76" s="654">
        <v>64</v>
      </c>
      <c r="B76" s="656" t="s">
        <v>427</v>
      </c>
      <c r="C76" s="647"/>
      <c r="D76" s="648"/>
      <c r="E76" s="670"/>
      <c r="F76" s="654">
        <v>64</v>
      </c>
      <c r="G76" s="656" t="s">
        <v>427</v>
      </c>
      <c r="H76" s="647"/>
      <c r="I76" s="648"/>
      <c r="K76" s="654">
        <v>64</v>
      </c>
      <c r="L76" s="656" t="s">
        <v>427</v>
      </c>
      <c r="M76" s="647"/>
      <c r="N76" s="648"/>
      <c r="P76" s="654">
        <v>64</v>
      </c>
      <c r="Q76" s="656" t="s">
        <v>427</v>
      </c>
      <c r="R76" s="647"/>
      <c r="S76" s="648"/>
    </row>
    <row r="77" spans="1:19">
      <c r="A77" s="654">
        <v>65</v>
      </c>
      <c r="B77" s="656" t="s">
        <v>428</v>
      </c>
      <c r="C77" s="647"/>
      <c r="D77" s="648"/>
      <c r="E77" s="670"/>
      <c r="F77" s="654">
        <v>65</v>
      </c>
      <c r="G77" s="656" t="s">
        <v>428</v>
      </c>
      <c r="H77" s="647"/>
      <c r="I77" s="648"/>
      <c r="K77" s="654">
        <v>65</v>
      </c>
      <c r="L77" s="656" t="s">
        <v>428</v>
      </c>
      <c r="M77" s="647"/>
      <c r="N77" s="648"/>
      <c r="P77" s="654">
        <v>65</v>
      </c>
      <c r="Q77" s="656" t="s">
        <v>428</v>
      </c>
      <c r="R77" s="647"/>
      <c r="S77" s="648"/>
    </row>
    <row r="78" spans="1:19">
      <c r="A78" s="654">
        <v>66</v>
      </c>
      <c r="B78" s="656" t="s">
        <v>429</v>
      </c>
      <c r="C78" s="647"/>
      <c r="D78" s="648"/>
      <c r="E78" s="670"/>
      <c r="F78" s="654">
        <v>66</v>
      </c>
      <c r="G78" s="656" t="s">
        <v>429</v>
      </c>
      <c r="H78" s="647"/>
      <c r="I78" s="648"/>
      <c r="K78" s="654">
        <v>66</v>
      </c>
      <c r="L78" s="656" t="s">
        <v>429</v>
      </c>
      <c r="M78" s="647"/>
      <c r="N78" s="648"/>
      <c r="P78" s="654">
        <v>66</v>
      </c>
      <c r="Q78" s="656" t="s">
        <v>429</v>
      </c>
      <c r="R78" s="647"/>
      <c r="S78" s="648"/>
    </row>
    <row r="79" spans="1:19">
      <c r="A79" s="654">
        <v>67</v>
      </c>
      <c r="B79" s="656" t="s">
        <v>430</v>
      </c>
      <c r="C79" s="647"/>
      <c r="D79" s="648"/>
      <c r="E79" s="670"/>
      <c r="F79" s="654">
        <v>67</v>
      </c>
      <c r="G79" s="656" t="s">
        <v>430</v>
      </c>
      <c r="H79" s="647"/>
      <c r="I79" s="648"/>
      <c r="K79" s="654">
        <v>67</v>
      </c>
      <c r="L79" s="656" t="s">
        <v>430</v>
      </c>
      <c r="M79" s="647"/>
      <c r="N79" s="648"/>
      <c r="P79" s="654">
        <v>67</v>
      </c>
      <c r="Q79" s="656" t="s">
        <v>430</v>
      </c>
      <c r="R79" s="647"/>
      <c r="S79" s="648"/>
    </row>
    <row r="80" spans="1:19">
      <c r="A80" s="654">
        <v>68</v>
      </c>
      <c r="B80" s="656" t="s">
        <v>431</v>
      </c>
      <c r="C80" s="647"/>
      <c r="D80" s="648"/>
      <c r="E80" s="670"/>
      <c r="F80" s="654">
        <v>68</v>
      </c>
      <c r="G80" s="656" t="s">
        <v>431</v>
      </c>
      <c r="H80" s="647"/>
      <c r="I80" s="648"/>
      <c r="K80" s="654">
        <v>68</v>
      </c>
      <c r="L80" s="656" t="s">
        <v>431</v>
      </c>
      <c r="M80" s="647"/>
      <c r="N80" s="648"/>
      <c r="P80" s="654">
        <v>68</v>
      </c>
      <c r="Q80" s="656" t="s">
        <v>431</v>
      </c>
      <c r="R80" s="647"/>
      <c r="S80" s="648"/>
    </row>
    <row r="81" spans="1:19">
      <c r="A81" s="654">
        <v>69</v>
      </c>
      <c r="B81" s="656" t="s">
        <v>432</v>
      </c>
      <c r="C81" s="647"/>
      <c r="D81" s="648"/>
      <c r="E81" s="670"/>
      <c r="F81" s="654">
        <v>69</v>
      </c>
      <c r="G81" s="656" t="s">
        <v>432</v>
      </c>
      <c r="H81" s="647"/>
      <c r="I81" s="648"/>
      <c r="K81" s="654">
        <v>69</v>
      </c>
      <c r="L81" s="656" t="s">
        <v>432</v>
      </c>
      <c r="M81" s="647"/>
      <c r="N81" s="648"/>
      <c r="P81" s="654">
        <v>69</v>
      </c>
      <c r="Q81" s="656" t="s">
        <v>432</v>
      </c>
      <c r="R81" s="647"/>
      <c r="S81" s="648"/>
    </row>
    <row r="82" spans="1:19">
      <c r="A82" s="654">
        <v>70</v>
      </c>
      <c r="B82" s="656" t="s">
        <v>433</v>
      </c>
      <c r="C82" s="647"/>
      <c r="D82" s="648"/>
      <c r="E82" s="670"/>
      <c r="F82" s="654">
        <v>70</v>
      </c>
      <c r="G82" s="656" t="s">
        <v>433</v>
      </c>
      <c r="H82" s="647"/>
      <c r="I82" s="648"/>
      <c r="K82" s="654">
        <v>70</v>
      </c>
      <c r="L82" s="656" t="s">
        <v>433</v>
      </c>
      <c r="M82" s="647"/>
      <c r="N82" s="648"/>
      <c r="P82" s="654">
        <v>70</v>
      </c>
      <c r="Q82" s="656" t="s">
        <v>433</v>
      </c>
      <c r="R82" s="647"/>
      <c r="S82" s="648"/>
    </row>
    <row r="83" spans="1:19">
      <c r="A83" s="654">
        <v>71</v>
      </c>
      <c r="B83" s="656" t="s">
        <v>434</v>
      </c>
      <c r="C83" s="647"/>
      <c r="D83" s="648"/>
      <c r="E83" s="670"/>
      <c r="F83" s="654">
        <v>71</v>
      </c>
      <c r="G83" s="656" t="s">
        <v>434</v>
      </c>
      <c r="H83" s="647"/>
      <c r="I83" s="648"/>
      <c r="K83" s="654">
        <v>71</v>
      </c>
      <c r="L83" s="656" t="s">
        <v>434</v>
      </c>
      <c r="M83" s="647"/>
      <c r="N83" s="648"/>
      <c r="P83" s="654">
        <v>71</v>
      </c>
      <c r="Q83" s="656" t="s">
        <v>434</v>
      </c>
      <c r="R83" s="647"/>
      <c r="S83" s="648"/>
    </row>
    <row r="84" spans="1:19">
      <c r="A84" s="654">
        <v>72</v>
      </c>
      <c r="B84" s="656" t="s">
        <v>435</v>
      </c>
      <c r="C84" s="647"/>
      <c r="D84" s="648"/>
      <c r="E84" s="670"/>
      <c r="F84" s="654">
        <v>72</v>
      </c>
      <c r="G84" s="656" t="s">
        <v>435</v>
      </c>
      <c r="H84" s="647"/>
      <c r="I84" s="648"/>
      <c r="K84" s="654">
        <v>72</v>
      </c>
      <c r="L84" s="656" t="s">
        <v>435</v>
      </c>
      <c r="M84" s="647"/>
      <c r="N84" s="648"/>
      <c r="P84" s="654">
        <v>72</v>
      </c>
      <c r="Q84" s="656" t="s">
        <v>435</v>
      </c>
      <c r="R84" s="647"/>
      <c r="S84" s="648"/>
    </row>
    <row r="85" spans="1:19">
      <c r="A85" s="654">
        <v>73</v>
      </c>
      <c r="B85" s="656" t="s">
        <v>436</v>
      </c>
      <c r="C85" s="647"/>
      <c r="D85" s="648"/>
      <c r="E85" s="670"/>
      <c r="F85" s="654">
        <v>73</v>
      </c>
      <c r="G85" s="656" t="s">
        <v>436</v>
      </c>
      <c r="H85" s="647"/>
      <c r="I85" s="648"/>
      <c r="K85" s="654">
        <v>73</v>
      </c>
      <c r="L85" s="656" t="s">
        <v>436</v>
      </c>
      <c r="M85" s="647"/>
      <c r="N85" s="648"/>
      <c r="P85" s="654">
        <v>73</v>
      </c>
      <c r="Q85" s="656" t="s">
        <v>436</v>
      </c>
      <c r="R85" s="647"/>
      <c r="S85" s="648"/>
    </row>
    <row r="86" spans="1:19">
      <c r="A86" s="654">
        <v>74</v>
      </c>
      <c r="B86" s="656" t="s">
        <v>437</v>
      </c>
      <c r="C86" s="647"/>
      <c r="D86" s="648"/>
      <c r="E86" s="670"/>
      <c r="F86" s="654">
        <v>74</v>
      </c>
      <c r="G86" s="656" t="s">
        <v>437</v>
      </c>
      <c r="H86" s="647"/>
      <c r="I86" s="648"/>
      <c r="K86" s="654">
        <v>74</v>
      </c>
      <c r="L86" s="656" t="s">
        <v>437</v>
      </c>
      <c r="M86" s="647"/>
      <c r="N86" s="648"/>
      <c r="P86" s="654">
        <v>74</v>
      </c>
      <c r="Q86" s="656" t="s">
        <v>437</v>
      </c>
      <c r="R86" s="647"/>
      <c r="S86" s="648"/>
    </row>
    <row r="87" spans="1:19">
      <c r="A87" s="654">
        <v>75</v>
      </c>
      <c r="B87" s="656" t="s">
        <v>438</v>
      </c>
      <c r="C87" s="647"/>
      <c r="D87" s="648"/>
      <c r="E87" s="670"/>
      <c r="F87" s="654">
        <v>75</v>
      </c>
      <c r="G87" s="656" t="s">
        <v>438</v>
      </c>
      <c r="H87" s="647"/>
      <c r="I87" s="648"/>
      <c r="K87" s="654">
        <v>75</v>
      </c>
      <c r="L87" s="656" t="s">
        <v>438</v>
      </c>
      <c r="M87" s="647"/>
      <c r="N87" s="648"/>
      <c r="P87" s="654">
        <v>75</v>
      </c>
      <c r="Q87" s="656" t="s">
        <v>438</v>
      </c>
      <c r="R87" s="647"/>
      <c r="S87" s="648"/>
    </row>
    <row r="88" spans="1:19">
      <c r="A88" s="654">
        <v>76</v>
      </c>
      <c r="B88" s="656" t="s">
        <v>439</v>
      </c>
      <c r="C88" s="647"/>
      <c r="D88" s="648"/>
      <c r="E88" s="670"/>
      <c r="F88" s="654">
        <v>76</v>
      </c>
      <c r="G88" s="656" t="s">
        <v>439</v>
      </c>
      <c r="H88" s="647"/>
      <c r="I88" s="648"/>
      <c r="K88" s="654">
        <v>76</v>
      </c>
      <c r="L88" s="656" t="s">
        <v>439</v>
      </c>
      <c r="M88" s="647"/>
      <c r="N88" s="648"/>
      <c r="P88" s="654">
        <v>76</v>
      </c>
      <c r="Q88" s="656" t="s">
        <v>439</v>
      </c>
      <c r="R88" s="647"/>
      <c r="S88" s="648"/>
    </row>
    <row r="89" spans="1:19">
      <c r="A89" s="654">
        <v>77</v>
      </c>
      <c r="B89" s="656" t="s">
        <v>440</v>
      </c>
      <c r="C89" s="647"/>
      <c r="D89" s="648"/>
      <c r="E89" s="670"/>
      <c r="F89" s="654">
        <v>77</v>
      </c>
      <c r="G89" s="656" t="s">
        <v>440</v>
      </c>
      <c r="H89" s="647"/>
      <c r="I89" s="648"/>
      <c r="K89" s="654">
        <v>77</v>
      </c>
      <c r="L89" s="656" t="s">
        <v>440</v>
      </c>
      <c r="M89" s="647"/>
      <c r="N89" s="648"/>
      <c r="P89" s="654">
        <v>77</v>
      </c>
      <c r="Q89" s="656" t="s">
        <v>440</v>
      </c>
      <c r="R89" s="647"/>
      <c r="S89" s="648"/>
    </row>
    <row r="90" spans="1:19">
      <c r="A90" s="654">
        <v>78</v>
      </c>
      <c r="B90" s="656" t="s">
        <v>441</v>
      </c>
      <c r="C90" s="647"/>
      <c r="D90" s="648"/>
      <c r="E90" s="670"/>
      <c r="F90" s="654">
        <v>78</v>
      </c>
      <c r="G90" s="656" t="s">
        <v>441</v>
      </c>
      <c r="H90" s="647"/>
      <c r="I90" s="648"/>
      <c r="K90" s="654">
        <v>78</v>
      </c>
      <c r="L90" s="656" t="s">
        <v>441</v>
      </c>
      <c r="M90" s="647"/>
      <c r="N90" s="648"/>
      <c r="P90" s="654">
        <v>78</v>
      </c>
      <c r="Q90" s="656" t="s">
        <v>441</v>
      </c>
      <c r="R90" s="647"/>
      <c r="S90" s="648"/>
    </row>
    <row r="91" spans="1:19">
      <c r="A91" s="654">
        <v>79</v>
      </c>
      <c r="B91" s="656" t="s">
        <v>442</v>
      </c>
      <c r="C91" s="647"/>
      <c r="D91" s="648"/>
      <c r="E91" s="670"/>
      <c r="F91" s="654">
        <v>79</v>
      </c>
      <c r="G91" s="656" t="s">
        <v>442</v>
      </c>
      <c r="H91" s="647"/>
      <c r="I91" s="648"/>
      <c r="K91" s="654">
        <v>79</v>
      </c>
      <c r="L91" s="656" t="s">
        <v>442</v>
      </c>
      <c r="M91" s="647"/>
      <c r="N91" s="648"/>
      <c r="P91" s="654">
        <v>79</v>
      </c>
      <c r="Q91" s="656" t="s">
        <v>442</v>
      </c>
      <c r="R91" s="647"/>
      <c r="S91" s="648"/>
    </row>
    <row r="92" spans="1:19">
      <c r="A92" s="654">
        <v>80</v>
      </c>
      <c r="B92" s="656" t="s">
        <v>443</v>
      </c>
      <c r="C92" s="647"/>
      <c r="D92" s="648"/>
      <c r="E92" s="670"/>
      <c r="F92" s="654">
        <v>80</v>
      </c>
      <c r="G92" s="656" t="s">
        <v>443</v>
      </c>
      <c r="H92" s="647"/>
      <c r="I92" s="648"/>
      <c r="K92" s="654">
        <v>80</v>
      </c>
      <c r="L92" s="656" t="s">
        <v>443</v>
      </c>
      <c r="M92" s="647"/>
      <c r="N92" s="648"/>
      <c r="P92" s="654">
        <v>80</v>
      </c>
      <c r="Q92" s="656" t="s">
        <v>443</v>
      </c>
      <c r="R92" s="647"/>
      <c r="S92" s="648"/>
    </row>
    <row r="93" spans="1:19">
      <c r="A93" s="654">
        <v>81</v>
      </c>
      <c r="B93" s="656" t="s">
        <v>444</v>
      </c>
      <c r="C93" s="647"/>
      <c r="D93" s="648"/>
      <c r="E93" s="670"/>
      <c r="F93" s="654">
        <v>81</v>
      </c>
      <c r="G93" s="656" t="s">
        <v>444</v>
      </c>
      <c r="H93" s="647"/>
      <c r="I93" s="648"/>
      <c r="K93" s="654">
        <v>81</v>
      </c>
      <c r="L93" s="656" t="s">
        <v>444</v>
      </c>
      <c r="M93" s="647"/>
      <c r="N93" s="648"/>
      <c r="P93" s="654">
        <v>81</v>
      </c>
      <c r="Q93" s="656" t="s">
        <v>444</v>
      </c>
      <c r="R93" s="647"/>
      <c r="S93" s="648"/>
    </row>
    <row r="94" spans="1:19">
      <c r="A94" s="654">
        <v>82</v>
      </c>
      <c r="B94" s="656" t="s">
        <v>445</v>
      </c>
      <c r="C94" s="647"/>
      <c r="D94" s="648"/>
      <c r="E94" s="670"/>
      <c r="F94" s="654">
        <v>82</v>
      </c>
      <c r="G94" s="656" t="s">
        <v>445</v>
      </c>
      <c r="H94" s="647"/>
      <c r="I94" s="648"/>
      <c r="K94" s="654">
        <v>82</v>
      </c>
      <c r="L94" s="656" t="s">
        <v>445</v>
      </c>
      <c r="M94" s="647"/>
      <c r="N94" s="648"/>
      <c r="P94" s="654">
        <v>82</v>
      </c>
      <c r="Q94" s="656" t="s">
        <v>445</v>
      </c>
      <c r="R94" s="647"/>
      <c r="S94" s="648"/>
    </row>
    <row r="95" spans="1:19">
      <c r="A95" s="654">
        <v>83</v>
      </c>
      <c r="B95" s="656" t="s">
        <v>446</v>
      </c>
      <c r="C95" s="647"/>
      <c r="D95" s="648"/>
      <c r="E95" s="670"/>
      <c r="F95" s="654">
        <v>83</v>
      </c>
      <c r="G95" s="656" t="s">
        <v>446</v>
      </c>
      <c r="H95" s="647"/>
      <c r="I95" s="648"/>
      <c r="K95" s="654">
        <v>83</v>
      </c>
      <c r="L95" s="656" t="s">
        <v>446</v>
      </c>
      <c r="M95" s="647"/>
      <c r="N95" s="648"/>
      <c r="P95" s="654">
        <v>83</v>
      </c>
      <c r="Q95" s="656" t="s">
        <v>446</v>
      </c>
      <c r="R95" s="647"/>
      <c r="S95" s="648"/>
    </row>
    <row r="96" spans="1:19">
      <c r="A96" s="654">
        <v>84</v>
      </c>
      <c r="B96" s="656" t="s">
        <v>447</v>
      </c>
      <c r="C96" s="647"/>
      <c r="D96" s="648"/>
      <c r="E96" s="670"/>
      <c r="F96" s="654">
        <v>84</v>
      </c>
      <c r="G96" s="656" t="s">
        <v>447</v>
      </c>
      <c r="H96" s="647"/>
      <c r="I96" s="648"/>
      <c r="K96" s="654">
        <v>84</v>
      </c>
      <c r="L96" s="656" t="s">
        <v>447</v>
      </c>
      <c r="M96" s="647"/>
      <c r="N96" s="648"/>
      <c r="P96" s="654">
        <v>84</v>
      </c>
      <c r="Q96" s="656" t="s">
        <v>447</v>
      </c>
      <c r="R96" s="647"/>
      <c r="S96" s="648"/>
    </row>
    <row r="97" spans="1:19">
      <c r="A97" s="654">
        <v>85</v>
      </c>
      <c r="B97" s="656" t="s">
        <v>448</v>
      </c>
      <c r="C97" s="647"/>
      <c r="D97" s="648"/>
      <c r="E97" s="670"/>
      <c r="F97" s="654">
        <v>85</v>
      </c>
      <c r="G97" s="656" t="s">
        <v>448</v>
      </c>
      <c r="H97" s="647"/>
      <c r="I97" s="648"/>
      <c r="K97" s="654">
        <v>85</v>
      </c>
      <c r="L97" s="656" t="s">
        <v>448</v>
      </c>
      <c r="M97" s="647"/>
      <c r="N97" s="648"/>
      <c r="P97" s="654">
        <v>85</v>
      </c>
      <c r="Q97" s="656" t="s">
        <v>448</v>
      </c>
      <c r="R97" s="647"/>
      <c r="S97" s="648"/>
    </row>
    <row r="98" spans="1:19">
      <c r="A98" s="654">
        <v>86</v>
      </c>
      <c r="B98" s="656" t="s">
        <v>449</v>
      </c>
      <c r="C98" s="647"/>
      <c r="D98" s="648"/>
      <c r="E98" s="670"/>
      <c r="F98" s="654">
        <v>86</v>
      </c>
      <c r="G98" s="656" t="s">
        <v>449</v>
      </c>
      <c r="H98" s="647"/>
      <c r="I98" s="648"/>
      <c r="K98" s="654">
        <v>86</v>
      </c>
      <c r="L98" s="656" t="s">
        <v>449</v>
      </c>
      <c r="M98" s="647"/>
      <c r="N98" s="648"/>
      <c r="P98" s="654">
        <v>86</v>
      </c>
      <c r="Q98" s="656" t="s">
        <v>449</v>
      </c>
      <c r="R98" s="647"/>
      <c r="S98" s="648"/>
    </row>
    <row r="99" spans="1:19">
      <c r="A99" s="654">
        <v>87</v>
      </c>
      <c r="B99" s="656" t="s">
        <v>450</v>
      </c>
      <c r="C99" s="647"/>
      <c r="D99" s="648"/>
      <c r="E99" s="670"/>
      <c r="F99" s="654">
        <v>87</v>
      </c>
      <c r="G99" s="656" t="s">
        <v>450</v>
      </c>
      <c r="H99" s="647"/>
      <c r="I99" s="648"/>
      <c r="K99" s="654">
        <v>87</v>
      </c>
      <c r="L99" s="656" t="s">
        <v>450</v>
      </c>
      <c r="M99" s="647"/>
      <c r="N99" s="648"/>
      <c r="P99" s="654">
        <v>87</v>
      </c>
      <c r="Q99" s="656" t="s">
        <v>450</v>
      </c>
      <c r="R99" s="647"/>
      <c r="S99" s="648"/>
    </row>
    <row r="100" spans="1:19">
      <c r="A100" s="654">
        <v>88</v>
      </c>
      <c r="B100" s="656" t="s">
        <v>451</v>
      </c>
      <c r="C100" s="647"/>
      <c r="D100" s="648"/>
      <c r="E100" s="670"/>
      <c r="F100" s="654">
        <v>88</v>
      </c>
      <c r="G100" s="656" t="s">
        <v>451</v>
      </c>
      <c r="H100" s="647"/>
      <c r="I100" s="648"/>
      <c r="K100" s="654">
        <v>88</v>
      </c>
      <c r="L100" s="656" t="s">
        <v>451</v>
      </c>
      <c r="M100" s="647"/>
      <c r="N100" s="648"/>
      <c r="P100" s="654">
        <v>88</v>
      </c>
      <c r="Q100" s="656" t="s">
        <v>451</v>
      </c>
      <c r="R100" s="647"/>
      <c r="S100" s="648"/>
    </row>
    <row r="101" spans="1:19">
      <c r="A101" s="654">
        <v>89</v>
      </c>
      <c r="B101" s="656" t="s">
        <v>452</v>
      </c>
      <c r="C101" s="647"/>
      <c r="D101" s="648"/>
      <c r="E101" s="670"/>
      <c r="F101" s="654">
        <v>89</v>
      </c>
      <c r="G101" s="656" t="s">
        <v>452</v>
      </c>
      <c r="H101" s="647"/>
      <c r="I101" s="648"/>
      <c r="K101" s="654">
        <v>89</v>
      </c>
      <c r="L101" s="656" t="s">
        <v>452</v>
      </c>
      <c r="M101" s="647"/>
      <c r="N101" s="648"/>
      <c r="P101" s="654">
        <v>89</v>
      </c>
      <c r="Q101" s="656" t="s">
        <v>452</v>
      </c>
      <c r="R101" s="647"/>
      <c r="S101" s="648"/>
    </row>
    <row r="102" spans="1:19">
      <c r="A102" s="654">
        <v>90</v>
      </c>
      <c r="B102" s="656" t="s">
        <v>453</v>
      </c>
      <c r="C102" s="647"/>
      <c r="D102" s="648"/>
      <c r="E102" s="670"/>
      <c r="F102" s="654">
        <v>90</v>
      </c>
      <c r="G102" s="656" t="s">
        <v>453</v>
      </c>
      <c r="H102" s="647"/>
      <c r="I102" s="648"/>
      <c r="K102" s="654">
        <v>90</v>
      </c>
      <c r="L102" s="656" t="s">
        <v>453</v>
      </c>
      <c r="M102" s="647"/>
      <c r="N102" s="648"/>
      <c r="P102" s="654">
        <v>90</v>
      </c>
      <c r="Q102" s="656" t="s">
        <v>453</v>
      </c>
      <c r="R102" s="647"/>
      <c r="S102" s="648"/>
    </row>
    <row r="103" spans="1:19">
      <c r="A103" s="654">
        <v>91</v>
      </c>
      <c r="B103" s="656" t="s">
        <v>454</v>
      </c>
      <c r="C103" s="647"/>
      <c r="D103" s="648"/>
      <c r="E103" s="670"/>
      <c r="F103" s="654">
        <v>91</v>
      </c>
      <c r="G103" s="656" t="s">
        <v>454</v>
      </c>
      <c r="H103" s="647"/>
      <c r="I103" s="648"/>
      <c r="K103" s="654">
        <v>91</v>
      </c>
      <c r="L103" s="656" t="s">
        <v>454</v>
      </c>
      <c r="M103" s="647"/>
      <c r="N103" s="648"/>
      <c r="P103" s="654">
        <v>91</v>
      </c>
      <c r="Q103" s="656" t="s">
        <v>454</v>
      </c>
      <c r="R103" s="647"/>
      <c r="S103" s="648"/>
    </row>
    <row r="104" spans="1:19">
      <c r="A104" s="654">
        <v>92</v>
      </c>
      <c r="B104" s="656" t="s">
        <v>455</v>
      </c>
      <c r="C104" s="647"/>
      <c r="D104" s="648"/>
      <c r="E104" s="670"/>
      <c r="F104" s="654">
        <v>92</v>
      </c>
      <c r="G104" s="656" t="s">
        <v>455</v>
      </c>
      <c r="H104" s="647"/>
      <c r="I104" s="648"/>
      <c r="K104" s="654">
        <v>92</v>
      </c>
      <c r="L104" s="656" t="s">
        <v>455</v>
      </c>
      <c r="M104" s="647"/>
      <c r="N104" s="648"/>
      <c r="P104" s="654">
        <v>92</v>
      </c>
      <c r="Q104" s="656" t="s">
        <v>455</v>
      </c>
      <c r="R104" s="647"/>
      <c r="S104" s="648"/>
    </row>
    <row r="105" spans="1:19">
      <c r="A105" s="654">
        <v>93</v>
      </c>
      <c r="B105" s="656" t="s">
        <v>456</v>
      </c>
      <c r="C105" s="647"/>
      <c r="D105" s="648"/>
      <c r="E105" s="670"/>
      <c r="F105" s="654">
        <v>93</v>
      </c>
      <c r="G105" s="656" t="s">
        <v>456</v>
      </c>
      <c r="H105" s="647"/>
      <c r="I105" s="648"/>
      <c r="K105" s="654">
        <v>93</v>
      </c>
      <c r="L105" s="656" t="s">
        <v>456</v>
      </c>
      <c r="M105" s="647"/>
      <c r="N105" s="648"/>
      <c r="P105" s="654">
        <v>93</v>
      </c>
      <c r="Q105" s="656" t="s">
        <v>456</v>
      </c>
      <c r="R105" s="647"/>
      <c r="S105" s="648"/>
    </row>
    <row r="106" spans="1:19">
      <c r="A106" s="654">
        <v>94</v>
      </c>
      <c r="B106" s="656" t="s">
        <v>457</v>
      </c>
      <c r="C106" s="647"/>
      <c r="D106" s="648"/>
      <c r="E106" s="670"/>
      <c r="F106" s="654">
        <v>94</v>
      </c>
      <c r="G106" s="656" t="s">
        <v>457</v>
      </c>
      <c r="H106" s="647"/>
      <c r="I106" s="648"/>
      <c r="K106" s="654">
        <v>94</v>
      </c>
      <c r="L106" s="656" t="s">
        <v>457</v>
      </c>
      <c r="M106" s="647"/>
      <c r="N106" s="648"/>
      <c r="P106" s="654">
        <v>94</v>
      </c>
      <c r="Q106" s="656" t="s">
        <v>457</v>
      </c>
      <c r="R106" s="647"/>
      <c r="S106" s="648"/>
    </row>
    <row r="107" spans="1:19">
      <c r="A107" s="654">
        <v>95</v>
      </c>
      <c r="B107" s="656" t="s">
        <v>458</v>
      </c>
      <c r="C107" s="647"/>
      <c r="D107" s="648"/>
      <c r="E107" s="670"/>
      <c r="F107" s="654">
        <v>95</v>
      </c>
      <c r="G107" s="656" t="s">
        <v>458</v>
      </c>
      <c r="H107" s="647"/>
      <c r="I107" s="648"/>
      <c r="K107" s="654">
        <v>95</v>
      </c>
      <c r="L107" s="656" t="s">
        <v>458</v>
      </c>
      <c r="M107" s="647"/>
      <c r="N107" s="648"/>
      <c r="P107" s="654">
        <v>95</v>
      </c>
      <c r="Q107" s="656" t="s">
        <v>458</v>
      </c>
      <c r="R107" s="647"/>
      <c r="S107" s="648"/>
    </row>
    <row r="108" spans="1:19">
      <c r="A108" s="654">
        <v>96</v>
      </c>
      <c r="B108" s="656" t="s">
        <v>459</v>
      </c>
      <c r="C108" s="647"/>
      <c r="D108" s="648"/>
      <c r="E108" s="670"/>
      <c r="F108" s="654">
        <v>96</v>
      </c>
      <c r="G108" s="656" t="s">
        <v>459</v>
      </c>
      <c r="H108" s="647"/>
      <c r="I108" s="648"/>
      <c r="K108" s="654">
        <v>96</v>
      </c>
      <c r="L108" s="656" t="s">
        <v>459</v>
      </c>
      <c r="M108" s="647"/>
      <c r="N108" s="648"/>
      <c r="P108" s="654">
        <v>96</v>
      </c>
      <c r="Q108" s="656" t="s">
        <v>459</v>
      </c>
      <c r="R108" s="647"/>
      <c r="S108" s="648"/>
    </row>
    <row r="109" spans="1:19">
      <c r="A109" s="654">
        <v>97</v>
      </c>
      <c r="B109" s="656" t="s">
        <v>460</v>
      </c>
      <c r="C109" s="647"/>
      <c r="D109" s="648"/>
      <c r="E109" s="670"/>
      <c r="F109" s="654">
        <v>97</v>
      </c>
      <c r="G109" s="656" t="s">
        <v>460</v>
      </c>
      <c r="H109" s="647"/>
      <c r="I109" s="648"/>
      <c r="K109" s="654">
        <v>97</v>
      </c>
      <c r="L109" s="656" t="s">
        <v>460</v>
      </c>
      <c r="M109" s="647"/>
      <c r="N109" s="648"/>
      <c r="P109" s="654">
        <v>97</v>
      </c>
      <c r="Q109" s="656" t="s">
        <v>460</v>
      </c>
      <c r="R109" s="647"/>
      <c r="S109" s="648"/>
    </row>
    <row r="110" spans="1:19">
      <c r="A110" s="654">
        <v>98</v>
      </c>
      <c r="B110" s="656" t="s">
        <v>461</v>
      </c>
      <c r="C110" s="647"/>
      <c r="D110" s="648"/>
      <c r="E110" s="670"/>
      <c r="F110" s="654">
        <v>98</v>
      </c>
      <c r="G110" s="656" t="s">
        <v>461</v>
      </c>
      <c r="H110" s="647"/>
      <c r="I110" s="648"/>
      <c r="K110" s="654">
        <v>98</v>
      </c>
      <c r="L110" s="656" t="s">
        <v>461</v>
      </c>
      <c r="M110" s="647"/>
      <c r="N110" s="648"/>
      <c r="P110" s="654">
        <v>98</v>
      </c>
      <c r="Q110" s="656" t="s">
        <v>461</v>
      </c>
      <c r="R110" s="647"/>
      <c r="S110" s="648"/>
    </row>
    <row r="111" spans="1:19">
      <c r="A111" s="654">
        <v>99</v>
      </c>
      <c r="B111" s="656" t="s">
        <v>462</v>
      </c>
      <c r="C111" s="647"/>
      <c r="D111" s="648"/>
      <c r="E111" s="670"/>
      <c r="F111" s="654">
        <v>99</v>
      </c>
      <c r="G111" s="656" t="s">
        <v>462</v>
      </c>
      <c r="H111" s="647"/>
      <c r="I111" s="648"/>
      <c r="K111" s="654">
        <v>99</v>
      </c>
      <c r="L111" s="656" t="s">
        <v>462</v>
      </c>
      <c r="M111" s="647"/>
      <c r="N111" s="648"/>
      <c r="P111" s="654">
        <v>99</v>
      </c>
      <c r="Q111" s="656" t="s">
        <v>462</v>
      </c>
      <c r="R111" s="647"/>
      <c r="S111" s="648"/>
    </row>
    <row r="112" spans="1:19" ht="13.5" thickBot="1">
      <c r="A112" s="657">
        <v>100</v>
      </c>
      <c r="B112" s="658" t="s">
        <v>463</v>
      </c>
      <c r="C112" s="659"/>
      <c r="D112" s="660"/>
      <c r="E112" s="670"/>
      <c r="F112" s="657">
        <v>100</v>
      </c>
      <c r="G112" s="658" t="s">
        <v>463</v>
      </c>
      <c r="H112" s="659"/>
      <c r="I112" s="660"/>
      <c r="K112" s="657">
        <v>100</v>
      </c>
      <c r="L112" s="658" t="s">
        <v>463</v>
      </c>
      <c r="M112" s="659"/>
      <c r="N112" s="660"/>
      <c r="P112" s="657">
        <v>100</v>
      </c>
      <c r="Q112" s="658" t="s">
        <v>463</v>
      </c>
      <c r="R112" s="659"/>
      <c r="S112" s="660"/>
    </row>
    <row r="118" spans="1:4">
      <c r="A118" s="676" t="s">
        <v>469</v>
      </c>
    </row>
    <row r="119" spans="1:4" ht="13.5" thickBot="1"/>
    <row r="120" spans="1:4" ht="13.5" thickBot="1">
      <c r="A120" s="661"/>
      <c r="B120" s="662"/>
      <c r="C120" s="662"/>
      <c r="D120" s="663"/>
    </row>
    <row r="121" spans="1:4" ht="13.5" thickBot="1">
      <c r="A121" s="665"/>
      <c r="B121" s="666"/>
      <c r="C121" s="666"/>
      <c r="D121" s="667"/>
    </row>
    <row r="122" spans="1:4" ht="15.75" thickBot="1">
      <c r="A122" s="980" t="e">
        <v>#REF!</v>
      </c>
      <c r="B122" s="981"/>
      <c r="C122" s="644"/>
      <c r="D122" s="645"/>
    </row>
    <row r="123" spans="1:4">
      <c r="A123" s="974"/>
      <c r="B123" s="975"/>
      <c r="C123" s="644"/>
      <c r="D123" s="645"/>
    </row>
    <row r="124" spans="1:4">
      <c r="A124" s="646"/>
      <c r="B124" s="647"/>
      <c r="C124" s="647"/>
      <c r="D124" s="648"/>
    </row>
    <row r="125" spans="1:4">
      <c r="A125" s="982" t="e">
        <f>IF(OR((A122&gt;9999999999),(A122&lt;0)),"Invalid Entry - More than 1000 crore OR -ve value",IF(A122=0, "",+CONCATENATE(U121,B132,D132,B131,D131,B130,D130,B129,D129,B128,D128,B127," Only")))</f>
        <v>#REF!</v>
      </c>
      <c r="B125" s="983"/>
      <c r="C125" s="983"/>
      <c r="D125" s="984"/>
    </row>
    <row r="126" spans="1:4">
      <c r="A126" s="646"/>
      <c r="B126" s="647"/>
      <c r="C126" s="647"/>
      <c r="D126" s="648"/>
    </row>
    <row r="127" spans="1:4">
      <c r="A127" s="649" t="e">
        <f>-INT(A122/100)*100+ROUND(A122,0)</f>
        <v>#REF!</v>
      </c>
      <c r="B127" s="647" t="e">
        <f t="shared" ref="B127:B132" si="6">IF(A127=0,"",LOOKUP(A127,$A$13:$A$112,$B$13:$B$112))</f>
        <v>#REF!</v>
      </c>
      <c r="C127" s="647"/>
      <c r="D127" s="650"/>
    </row>
    <row r="128" spans="1:4">
      <c r="A128" s="649" t="e">
        <f>-INT(A122/1000)*10+INT(A122/100)</f>
        <v>#REF!</v>
      </c>
      <c r="B128" s="647" t="e">
        <f t="shared" si="6"/>
        <v>#REF!</v>
      </c>
      <c r="C128" s="647"/>
      <c r="D128" s="650" t="e">
        <f>+IF(B128="",""," Hundred ")</f>
        <v>#REF!</v>
      </c>
    </row>
    <row r="129" spans="1:4">
      <c r="A129" s="649" t="e">
        <f>-INT(A122/100000)*100+INT(A122/1000)</f>
        <v>#REF!</v>
      </c>
      <c r="B129" s="647" t="e">
        <f t="shared" si="6"/>
        <v>#REF!</v>
      </c>
      <c r="C129" s="647"/>
      <c r="D129" s="650" t="e">
        <f>IF((B129=""),IF(C129="",""," Thousand ")," Thousand ")</f>
        <v>#REF!</v>
      </c>
    </row>
    <row r="130" spans="1:4">
      <c r="A130" s="649" t="e">
        <f>-INT(A122/10000000)*100+INT(A122/100000)</f>
        <v>#REF!</v>
      </c>
      <c r="B130" s="647" t="e">
        <f t="shared" si="6"/>
        <v>#REF!</v>
      </c>
      <c r="C130" s="647"/>
      <c r="D130" s="650" t="e">
        <f>IF((B130=""),IF(C130="",""," Lac ")," Lac ")</f>
        <v>#REF!</v>
      </c>
    </row>
    <row r="131" spans="1:4">
      <c r="A131" s="649" t="e">
        <f>-INT(A122/1000000000)*100+INT(A122/10000000)</f>
        <v>#REF!</v>
      </c>
      <c r="B131" s="651" t="e">
        <f t="shared" si="6"/>
        <v>#REF!</v>
      </c>
      <c r="C131" s="647"/>
      <c r="D131" s="650" t="e">
        <f>IF((B131=""),IF(C131="",""," Crore ")," Crore ")</f>
        <v>#REF!</v>
      </c>
    </row>
    <row r="132" spans="1:4">
      <c r="A132" s="652" t="e">
        <f>-INT(A122/10000000000)*1000+INT(A122/1000000000)</f>
        <v>#REF!</v>
      </c>
      <c r="B132" s="651" t="e">
        <f t="shared" si="6"/>
        <v>#REF!</v>
      </c>
      <c r="C132" s="647"/>
      <c r="D132" s="650" t="e">
        <f>IF((B132=""),IF(C132="",""," Hundred ")," Hundred ")</f>
        <v>#REF!</v>
      </c>
    </row>
    <row r="133" spans="1:4">
      <c r="A133" s="653"/>
      <c r="B133" s="647"/>
      <c r="C133" s="647"/>
      <c r="D133" s="648"/>
    </row>
    <row r="134" spans="1:4">
      <c r="A134" s="654">
        <v>1</v>
      </c>
      <c r="B134" s="655" t="s">
        <v>364</v>
      </c>
      <c r="C134" s="647"/>
      <c r="D134" s="648"/>
    </row>
    <row r="135" spans="1:4">
      <c r="A135" s="654">
        <v>2</v>
      </c>
      <c r="B135" s="655" t="s">
        <v>365</v>
      </c>
      <c r="C135" s="647"/>
      <c r="D135" s="648"/>
    </row>
    <row r="136" spans="1:4">
      <c r="A136" s="654">
        <v>3</v>
      </c>
      <c r="B136" s="655" t="s">
        <v>366</v>
      </c>
      <c r="C136" s="647"/>
      <c r="D136" s="648"/>
    </row>
    <row r="137" spans="1:4">
      <c r="A137" s="654">
        <v>4</v>
      </c>
      <c r="B137" s="655" t="s">
        <v>367</v>
      </c>
      <c r="C137" s="647"/>
      <c r="D137" s="648"/>
    </row>
    <row r="138" spans="1:4">
      <c r="A138" s="654">
        <v>5</v>
      </c>
      <c r="B138" s="655" t="s">
        <v>368</v>
      </c>
      <c r="C138" s="647"/>
      <c r="D138" s="648"/>
    </row>
    <row r="139" spans="1:4">
      <c r="A139" s="654">
        <v>6</v>
      </c>
      <c r="B139" s="655" t="s">
        <v>369</v>
      </c>
      <c r="C139" s="647"/>
      <c r="D139" s="648"/>
    </row>
    <row r="140" spans="1:4">
      <c r="A140" s="654">
        <v>7</v>
      </c>
      <c r="B140" s="655" t="s">
        <v>370</v>
      </c>
      <c r="C140" s="647"/>
      <c r="D140" s="648"/>
    </row>
    <row r="141" spans="1:4">
      <c r="A141" s="654">
        <v>8</v>
      </c>
      <c r="B141" s="655" t="s">
        <v>371</v>
      </c>
      <c r="C141" s="647"/>
      <c r="D141" s="648"/>
    </row>
    <row r="142" spans="1:4">
      <c r="A142" s="654">
        <v>9</v>
      </c>
      <c r="B142" s="655" t="s">
        <v>372</v>
      </c>
      <c r="C142" s="647"/>
      <c r="D142" s="648"/>
    </row>
    <row r="143" spans="1:4">
      <c r="A143" s="654">
        <v>10</v>
      </c>
      <c r="B143" s="655" t="s">
        <v>373</v>
      </c>
      <c r="C143" s="647"/>
      <c r="D143" s="648"/>
    </row>
    <row r="144" spans="1:4">
      <c r="A144" s="654">
        <v>11</v>
      </c>
      <c r="B144" s="655" t="s">
        <v>374</v>
      </c>
      <c r="C144" s="647"/>
      <c r="D144" s="648"/>
    </row>
    <row r="145" spans="1:4">
      <c r="A145" s="654">
        <v>12</v>
      </c>
      <c r="B145" s="655" t="s">
        <v>375</v>
      </c>
      <c r="C145" s="647"/>
      <c r="D145" s="648"/>
    </row>
    <row r="146" spans="1:4">
      <c r="A146" s="654">
        <v>13</v>
      </c>
      <c r="B146" s="655" t="s">
        <v>376</v>
      </c>
      <c r="C146" s="647"/>
      <c r="D146" s="648"/>
    </row>
    <row r="147" spans="1:4">
      <c r="A147" s="654">
        <v>14</v>
      </c>
      <c r="B147" s="655" t="s">
        <v>377</v>
      </c>
      <c r="C147" s="647"/>
      <c r="D147" s="648"/>
    </row>
    <row r="148" spans="1:4">
      <c r="A148" s="654">
        <v>15</v>
      </c>
      <c r="B148" s="655" t="s">
        <v>378</v>
      </c>
      <c r="C148" s="647"/>
      <c r="D148" s="648"/>
    </row>
    <row r="149" spans="1:4">
      <c r="A149" s="654">
        <v>16</v>
      </c>
      <c r="B149" s="655" t="s">
        <v>379</v>
      </c>
      <c r="C149" s="647"/>
      <c r="D149" s="648"/>
    </row>
    <row r="150" spans="1:4">
      <c r="A150" s="654">
        <v>17</v>
      </c>
      <c r="B150" s="655" t="s">
        <v>380</v>
      </c>
      <c r="C150" s="647"/>
      <c r="D150" s="648"/>
    </row>
    <row r="151" spans="1:4">
      <c r="A151" s="654">
        <v>18</v>
      </c>
      <c r="B151" s="655" t="s">
        <v>381</v>
      </c>
      <c r="C151" s="647"/>
      <c r="D151" s="648"/>
    </row>
    <row r="152" spans="1:4">
      <c r="A152" s="654">
        <v>19</v>
      </c>
      <c r="B152" s="655" t="s">
        <v>382</v>
      </c>
      <c r="C152" s="647"/>
      <c r="D152" s="648"/>
    </row>
    <row r="153" spans="1:4">
      <c r="A153" s="654">
        <v>20</v>
      </c>
      <c r="B153" s="655" t="s">
        <v>383</v>
      </c>
      <c r="C153" s="647"/>
      <c r="D153" s="648"/>
    </row>
    <row r="154" spans="1:4">
      <c r="A154" s="654">
        <v>21</v>
      </c>
      <c r="B154" s="655" t="s">
        <v>384</v>
      </c>
      <c r="C154" s="647"/>
      <c r="D154" s="648"/>
    </row>
    <row r="155" spans="1:4">
      <c r="A155" s="654">
        <v>22</v>
      </c>
      <c r="B155" s="655" t="s">
        <v>385</v>
      </c>
      <c r="C155" s="647"/>
      <c r="D155" s="648"/>
    </row>
    <row r="156" spans="1:4">
      <c r="A156" s="654">
        <v>23</v>
      </c>
      <c r="B156" s="655" t="s">
        <v>386</v>
      </c>
      <c r="C156" s="647"/>
      <c r="D156" s="648"/>
    </row>
    <row r="157" spans="1:4">
      <c r="A157" s="654">
        <v>24</v>
      </c>
      <c r="B157" s="655" t="s">
        <v>387</v>
      </c>
      <c r="C157" s="647"/>
      <c r="D157" s="648"/>
    </row>
    <row r="158" spans="1:4">
      <c r="A158" s="654">
        <v>25</v>
      </c>
      <c r="B158" s="655" t="s">
        <v>388</v>
      </c>
      <c r="C158" s="647"/>
      <c r="D158" s="648"/>
    </row>
    <row r="159" spans="1:4">
      <c r="A159" s="654">
        <v>26</v>
      </c>
      <c r="B159" s="655" t="s">
        <v>389</v>
      </c>
      <c r="C159" s="647"/>
      <c r="D159" s="648"/>
    </row>
    <row r="160" spans="1:4">
      <c r="A160" s="654">
        <v>27</v>
      </c>
      <c r="B160" s="655" t="s">
        <v>390</v>
      </c>
      <c r="C160" s="647"/>
      <c r="D160" s="648"/>
    </row>
    <row r="161" spans="1:4">
      <c r="A161" s="654">
        <v>28</v>
      </c>
      <c r="B161" s="655" t="s">
        <v>391</v>
      </c>
      <c r="C161" s="647"/>
      <c r="D161" s="648"/>
    </row>
    <row r="162" spans="1:4">
      <c r="A162" s="654">
        <v>29</v>
      </c>
      <c r="B162" s="655" t="s">
        <v>392</v>
      </c>
      <c r="C162" s="647"/>
      <c r="D162" s="648"/>
    </row>
    <row r="163" spans="1:4">
      <c r="A163" s="654">
        <v>30</v>
      </c>
      <c r="B163" s="655" t="s">
        <v>393</v>
      </c>
      <c r="C163" s="647"/>
      <c r="D163" s="648"/>
    </row>
    <row r="164" spans="1:4">
      <c r="A164" s="654">
        <v>31</v>
      </c>
      <c r="B164" s="655" t="s">
        <v>394</v>
      </c>
      <c r="C164" s="647"/>
      <c r="D164" s="648"/>
    </row>
    <row r="165" spans="1:4">
      <c r="A165" s="654">
        <v>32</v>
      </c>
      <c r="B165" s="655" t="s">
        <v>395</v>
      </c>
      <c r="C165" s="647"/>
      <c r="D165" s="648"/>
    </row>
    <row r="166" spans="1:4">
      <c r="A166" s="654">
        <v>33</v>
      </c>
      <c r="B166" s="655" t="s">
        <v>396</v>
      </c>
      <c r="C166" s="647"/>
      <c r="D166" s="648"/>
    </row>
    <row r="167" spans="1:4">
      <c r="A167" s="654">
        <v>34</v>
      </c>
      <c r="B167" s="655" t="s">
        <v>397</v>
      </c>
      <c r="C167" s="647"/>
      <c r="D167" s="648"/>
    </row>
    <row r="168" spans="1:4">
      <c r="A168" s="654">
        <v>35</v>
      </c>
      <c r="B168" s="655" t="s">
        <v>398</v>
      </c>
      <c r="C168" s="647"/>
      <c r="D168" s="648"/>
    </row>
    <row r="169" spans="1:4">
      <c r="A169" s="654">
        <v>36</v>
      </c>
      <c r="B169" s="655" t="s">
        <v>399</v>
      </c>
      <c r="C169" s="647"/>
      <c r="D169" s="648"/>
    </row>
    <row r="170" spans="1:4">
      <c r="A170" s="654">
        <v>37</v>
      </c>
      <c r="B170" s="655" t="s">
        <v>400</v>
      </c>
      <c r="C170" s="647"/>
      <c r="D170" s="648"/>
    </row>
    <row r="171" spans="1:4">
      <c r="A171" s="654">
        <v>38</v>
      </c>
      <c r="B171" s="655" t="s">
        <v>401</v>
      </c>
      <c r="C171" s="647"/>
      <c r="D171" s="648"/>
    </row>
    <row r="172" spans="1:4">
      <c r="A172" s="654">
        <v>39</v>
      </c>
      <c r="B172" s="655" t="s">
        <v>402</v>
      </c>
      <c r="C172" s="647"/>
      <c r="D172" s="648"/>
    </row>
    <row r="173" spans="1:4">
      <c r="A173" s="654">
        <v>40</v>
      </c>
      <c r="B173" s="655" t="s">
        <v>403</v>
      </c>
      <c r="C173" s="647"/>
      <c r="D173" s="648"/>
    </row>
    <row r="174" spans="1:4">
      <c r="A174" s="654">
        <v>41</v>
      </c>
      <c r="B174" s="655" t="s">
        <v>404</v>
      </c>
      <c r="C174" s="647"/>
      <c r="D174" s="648"/>
    </row>
    <row r="175" spans="1:4">
      <c r="A175" s="654">
        <v>42</v>
      </c>
      <c r="B175" s="655" t="s">
        <v>405</v>
      </c>
      <c r="C175" s="647"/>
      <c r="D175" s="648"/>
    </row>
    <row r="176" spans="1:4">
      <c r="A176" s="654">
        <v>43</v>
      </c>
      <c r="B176" s="655" t="s">
        <v>406</v>
      </c>
      <c r="C176" s="647"/>
      <c r="D176" s="648"/>
    </row>
    <row r="177" spans="1:4">
      <c r="A177" s="654">
        <v>44</v>
      </c>
      <c r="B177" s="655" t="s">
        <v>407</v>
      </c>
      <c r="C177" s="647"/>
      <c r="D177" s="648"/>
    </row>
    <row r="178" spans="1:4">
      <c r="A178" s="654">
        <v>45</v>
      </c>
      <c r="B178" s="655" t="s">
        <v>408</v>
      </c>
      <c r="C178" s="647"/>
      <c r="D178" s="648"/>
    </row>
    <row r="179" spans="1:4">
      <c r="A179" s="654">
        <v>46</v>
      </c>
      <c r="B179" s="655" t="s">
        <v>409</v>
      </c>
      <c r="C179" s="647"/>
      <c r="D179" s="648"/>
    </row>
    <row r="180" spans="1:4">
      <c r="A180" s="654">
        <v>47</v>
      </c>
      <c r="B180" s="655" t="s">
        <v>410</v>
      </c>
      <c r="C180" s="647"/>
      <c r="D180" s="648"/>
    </row>
    <row r="181" spans="1:4">
      <c r="A181" s="654">
        <v>48</v>
      </c>
      <c r="B181" s="655" t="s">
        <v>411</v>
      </c>
      <c r="C181" s="647"/>
      <c r="D181" s="648"/>
    </row>
    <row r="182" spans="1:4">
      <c r="A182" s="654">
        <v>49</v>
      </c>
      <c r="B182" s="655" t="s">
        <v>412</v>
      </c>
      <c r="C182" s="647"/>
      <c r="D182" s="648"/>
    </row>
    <row r="183" spans="1:4">
      <c r="A183" s="654">
        <v>50</v>
      </c>
      <c r="B183" s="655" t="s">
        <v>413</v>
      </c>
      <c r="C183" s="647"/>
      <c r="D183" s="648"/>
    </row>
    <row r="184" spans="1:4">
      <c r="A184" s="654">
        <v>51</v>
      </c>
      <c r="B184" s="655" t="s">
        <v>414</v>
      </c>
      <c r="C184" s="647"/>
      <c r="D184" s="648"/>
    </row>
    <row r="185" spans="1:4">
      <c r="A185" s="654">
        <v>52</v>
      </c>
      <c r="B185" s="655" t="s">
        <v>415</v>
      </c>
      <c r="C185" s="647"/>
      <c r="D185" s="648"/>
    </row>
    <row r="186" spans="1:4">
      <c r="A186" s="654">
        <v>53</v>
      </c>
      <c r="B186" s="655" t="s">
        <v>416</v>
      </c>
      <c r="C186" s="647"/>
      <c r="D186" s="648"/>
    </row>
    <row r="187" spans="1:4">
      <c r="A187" s="654">
        <v>54</v>
      </c>
      <c r="B187" s="655" t="s">
        <v>417</v>
      </c>
      <c r="C187" s="647"/>
      <c r="D187" s="648"/>
    </row>
    <row r="188" spans="1:4">
      <c r="A188" s="654">
        <v>55</v>
      </c>
      <c r="B188" s="655" t="s">
        <v>418</v>
      </c>
      <c r="C188" s="647"/>
      <c r="D188" s="648"/>
    </row>
    <row r="189" spans="1:4">
      <c r="A189" s="654">
        <v>56</v>
      </c>
      <c r="B189" s="655" t="s">
        <v>419</v>
      </c>
      <c r="C189" s="647"/>
      <c r="D189" s="648"/>
    </row>
    <row r="190" spans="1:4">
      <c r="A190" s="654">
        <v>57</v>
      </c>
      <c r="B190" s="655" t="s">
        <v>420</v>
      </c>
      <c r="C190" s="647"/>
      <c r="D190" s="648"/>
    </row>
    <row r="191" spans="1:4">
      <c r="A191" s="654">
        <v>58</v>
      </c>
      <c r="B191" s="655" t="s">
        <v>421</v>
      </c>
      <c r="C191" s="647"/>
      <c r="D191" s="648"/>
    </row>
    <row r="192" spans="1:4">
      <c r="A192" s="654">
        <v>59</v>
      </c>
      <c r="B192" s="655" t="s">
        <v>422</v>
      </c>
      <c r="C192" s="647"/>
      <c r="D192" s="648"/>
    </row>
    <row r="193" spans="1:4">
      <c r="A193" s="654">
        <v>60</v>
      </c>
      <c r="B193" s="655" t="s">
        <v>423</v>
      </c>
      <c r="C193" s="647"/>
      <c r="D193" s="648"/>
    </row>
    <row r="194" spans="1:4">
      <c r="A194" s="654">
        <v>61</v>
      </c>
      <c r="B194" s="655" t="s">
        <v>424</v>
      </c>
      <c r="C194" s="647"/>
      <c r="D194" s="648"/>
    </row>
    <row r="195" spans="1:4">
      <c r="A195" s="654">
        <v>62</v>
      </c>
      <c r="B195" s="655" t="s">
        <v>425</v>
      </c>
      <c r="C195" s="647"/>
      <c r="D195" s="648"/>
    </row>
    <row r="196" spans="1:4">
      <c r="A196" s="654">
        <v>63</v>
      </c>
      <c r="B196" s="656" t="s">
        <v>426</v>
      </c>
      <c r="C196" s="647"/>
      <c r="D196" s="648"/>
    </row>
    <row r="197" spans="1:4">
      <c r="A197" s="654">
        <v>64</v>
      </c>
      <c r="B197" s="656" t="s">
        <v>427</v>
      </c>
      <c r="C197" s="647"/>
      <c r="D197" s="648"/>
    </row>
    <row r="198" spans="1:4">
      <c r="A198" s="654">
        <v>65</v>
      </c>
      <c r="B198" s="656" t="s">
        <v>428</v>
      </c>
      <c r="C198" s="647"/>
      <c r="D198" s="648"/>
    </row>
    <row r="199" spans="1:4">
      <c r="A199" s="654">
        <v>66</v>
      </c>
      <c r="B199" s="656" t="s">
        <v>429</v>
      </c>
      <c r="C199" s="647"/>
      <c r="D199" s="648"/>
    </row>
    <row r="200" spans="1:4">
      <c r="A200" s="654">
        <v>67</v>
      </c>
      <c r="B200" s="656" t="s">
        <v>430</v>
      </c>
      <c r="C200" s="647"/>
      <c r="D200" s="648"/>
    </row>
    <row r="201" spans="1:4">
      <c r="A201" s="654">
        <v>68</v>
      </c>
      <c r="B201" s="656" t="s">
        <v>431</v>
      </c>
      <c r="C201" s="647"/>
      <c r="D201" s="648"/>
    </row>
    <row r="202" spans="1:4">
      <c r="A202" s="654">
        <v>69</v>
      </c>
      <c r="B202" s="656" t="s">
        <v>432</v>
      </c>
      <c r="C202" s="647"/>
      <c r="D202" s="648"/>
    </row>
    <row r="203" spans="1:4">
      <c r="A203" s="654">
        <v>70</v>
      </c>
      <c r="B203" s="656" t="s">
        <v>433</v>
      </c>
      <c r="C203" s="647"/>
      <c r="D203" s="648"/>
    </row>
    <row r="204" spans="1:4">
      <c r="A204" s="654">
        <v>71</v>
      </c>
      <c r="B204" s="656" t="s">
        <v>434</v>
      </c>
      <c r="C204" s="647"/>
      <c r="D204" s="648"/>
    </row>
    <row r="205" spans="1:4">
      <c r="A205" s="654">
        <v>72</v>
      </c>
      <c r="B205" s="656" t="s">
        <v>435</v>
      </c>
      <c r="C205" s="647"/>
      <c r="D205" s="648"/>
    </row>
    <row r="206" spans="1:4">
      <c r="A206" s="654">
        <v>73</v>
      </c>
      <c r="B206" s="656" t="s">
        <v>436</v>
      </c>
      <c r="C206" s="647"/>
      <c r="D206" s="648"/>
    </row>
    <row r="207" spans="1:4">
      <c r="A207" s="654">
        <v>74</v>
      </c>
      <c r="B207" s="656" t="s">
        <v>437</v>
      </c>
      <c r="C207" s="647"/>
      <c r="D207" s="648"/>
    </row>
    <row r="208" spans="1:4">
      <c r="A208" s="654">
        <v>75</v>
      </c>
      <c r="B208" s="656" t="s">
        <v>438</v>
      </c>
      <c r="C208" s="647"/>
      <c r="D208" s="648"/>
    </row>
    <row r="209" spans="1:4">
      <c r="A209" s="654">
        <v>76</v>
      </c>
      <c r="B209" s="656" t="s">
        <v>439</v>
      </c>
      <c r="C209" s="647"/>
      <c r="D209" s="648"/>
    </row>
    <row r="210" spans="1:4">
      <c r="A210" s="654">
        <v>77</v>
      </c>
      <c r="B210" s="656" t="s">
        <v>440</v>
      </c>
      <c r="C210" s="647"/>
      <c r="D210" s="648"/>
    </row>
    <row r="211" spans="1:4">
      <c r="A211" s="654">
        <v>78</v>
      </c>
      <c r="B211" s="656" t="s">
        <v>441</v>
      </c>
      <c r="C211" s="647"/>
      <c r="D211" s="648"/>
    </row>
    <row r="212" spans="1:4">
      <c r="A212" s="654">
        <v>79</v>
      </c>
      <c r="B212" s="656" t="s">
        <v>442</v>
      </c>
      <c r="C212" s="647"/>
      <c r="D212" s="648"/>
    </row>
    <row r="213" spans="1:4">
      <c r="A213" s="654">
        <v>80</v>
      </c>
      <c r="B213" s="656" t="s">
        <v>443</v>
      </c>
      <c r="C213" s="647"/>
      <c r="D213" s="648"/>
    </row>
    <row r="214" spans="1:4">
      <c r="A214" s="654">
        <v>81</v>
      </c>
      <c r="B214" s="656" t="s">
        <v>444</v>
      </c>
      <c r="C214" s="647"/>
      <c r="D214" s="648"/>
    </row>
    <row r="215" spans="1:4">
      <c r="A215" s="654">
        <v>82</v>
      </c>
      <c r="B215" s="656" t="s">
        <v>445</v>
      </c>
      <c r="C215" s="647"/>
      <c r="D215" s="648"/>
    </row>
    <row r="216" spans="1:4">
      <c r="A216" s="654">
        <v>83</v>
      </c>
      <c r="B216" s="656" t="s">
        <v>446</v>
      </c>
      <c r="C216" s="647"/>
      <c r="D216" s="648"/>
    </row>
    <row r="217" spans="1:4">
      <c r="A217" s="654">
        <v>84</v>
      </c>
      <c r="B217" s="656" t="s">
        <v>447</v>
      </c>
      <c r="C217" s="647"/>
      <c r="D217" s="648"/>
    </row>
    <row r="218" spans="1:4">
      <c r="A218" s="654">
        <v>85</v>
      </c>
      <c r="B218" s="656" t="s">
        <v>448</v>
      </c>
      <c r="C218" s="647"/>
      <c r="D218" s="648"/>
    </row>
    <row r="219" spans="1:4">
      <c r="A219" s="654">
        <v>86</v>
      </c>
      <c r="B219" s="656" t="s">
        <v>449</v>
      </c>
      <c r="C219" s="647"/>
      <c r="D219" s="648"/>
    </row>
    <row r="220" spans="1:4">
      <c r="A220" s="654">
        <v>87</v>
      </c>
      <c r="B220" s="656" t="s">
        <v>450</v>
      </c>
      <c r="C220" s="647"/>
      <c r="D220" s="648"/>
    </row>
    <row r="221" spans="1:4">
      <c r="A221" s="654">
        <v>88</v>
      </c>
      <c r="B221" s="656" t="s">
        <v>451</v>
      </c>
      <c r="C221" s="647"/>
      <c r="D221" s="648"/>
    </row>
    <row r="222" spans="1:4">
      <c r="A222" s="654">
        <v>89</v>
      </c>
      <c r="B222" s="656" t="s">
        <v>452</v>
      </c>
      <c r="C222" s="647"/>
      <c r="D222" s="648"/>
    </row>
    <row r="223" spans="1:4">
      <c r="A223" s="654">
        <v>90</v>
      </c>
      <c r="B223" s="656" t="s">
        <v>453</v>
      </c>
      <c r="C223" s="647"/>
      <c r="D223" s="648"/>
    </row>
    <row r="224" spans="1:4">
      <c r="A224" s="654">
        <v>91</v>
      </c>
      <c r="B224" s="656" t="s">
        <v>454</v>
      </c>
      <c r="C224" s="647"/>
      <c r="D224" s="648"/>
    </row>
    <row r="225" spans="1:4">
      <c r="A225" s="654">
        <v>92</v>
      </c>
      <c r="B225" s="656" t="s">
        <v>455</v>
      </c>
      <c r="C225" s="647"/>
      <c r="D225" s="648"/>
    </row>
    <row r="226" spans="1:4">
      <c r="A226" s="654">
        <v>93</v>
      </c>
      <c r="B226" s="656" t="s">
        <v>456</v>
      </c>
      <c r="C226" s="647"/>
      <c r="D226" s="648"/>
    </row>
    <row r="227" spans="1:4">
      <c r="A227" s="654">
        <v>94</v>
      </c>
      <c r="B227" s="656" t="s">
        <v>457</v>
      </c>
      <c r="C227" s="647"/>
      <c r="D227" s="648"/>
    </row>
    <row r="228" spans="1:4">
      <c r="A228" s="654">
        <v>95</v>
      </c>
      <c r="B228" s="656" t="s">
        <v>458</v>
      </c>
      <c r="C228" s="647"/>
      <c r="D228" s="648"/>
    </row>
    <row r="229" spans="1:4">
      <c r="A229" s="654">
        <v>96</v>
      </c>
      <c r="B229" s="656" t="s">
        <v>459</v>
      </c>
      <c r="C229" s="647"/>
      <c r="D229" s="648"/>
    </row>
    <row r="230" spans="1:4">
      <c r="A230" s="654">
        <v>97</v>
      </c>
      <c r="B230" s="656" t="s">
        <v>460</v>
      </c>
      <c r="C230" s="647"/>
      <c r="D230" s="648"/>
    </row>
    <row r="231" spans="1:4">
      <c r="A231" s="654">
        <v>98</v>
      </c>
      <c r="B231" s="656" t="s">
        <v>461</v>
      </c>
      <c r="C231" s="647"/>
      <c r="D231" s="648"/>
    </row>
    <row r="232" spans="1:4">
      <c r="A232" s="654">
        <v>99</v>
      </c>
      <c r="B232" s="656" t="s">
        <v>462</v>
      </c>
      <c r="C232" s="647"/>
      <c r="D232" s="648"/>
    </row>
    <row r="233" spans="1:4" ht="13.5" thickBot="1">
      <c r="A233" s="657">
        <v>100</v>
      </c>
      <c r="B233" s="658" t="s">
        <v>463</v>
      </c>
      <c r="C233" s="659"/>
      <c r="D233" s="660"/>
    </row>
  </sheetData>
  <sheetProtection selectLockedCells="1"/>
  <customSheetViews>
    <customSheetView guid="{84F40905-A9D3-43A5-987A-8A757D486A94}" hiddenColumns="1" state="hidden" topLeftCell="P1">
      <selection activeCell="DT28" sqref="DT28"/>
      <pageMargins left="0.75" right="0.75" top="1" bottom="1" header="0.5" footer="0.5"/>
      <pageSetup orientation="portrait" r:id="rId1"/>
      <headerFooter alignWithMargins="0"/>
    </customSheetView>
    <customSheetView guid="{BDFA0401-0547-4E51-8BD2-84F711B066CA}" hiddenColumns="1" state="hidden" topLeftCell="P1">
      <selection activeCell="DT28" sqref="DT28"/>
      <pageMargins left="0.75" right="0.75" top="1" bottom="1" header="0.5" footer="0.5"/>
      <pageSetup orientation="portrait" r:id="rId2"/>
      <headerFooter alignWithMargins="0"/>
    </customSheetView>
    <customSheetView guid="{112647D2-7580-431B-99B5-DD512E2AD50E}" hiddenColumns="1" state="hidden" topLeftCell="P1">
      <selection activeCell="DT28" sqref="DT28"/>
      <pageMargins left="0.75" right="0.75" top="1" bottom="1" header="0.5" footer="0.5"/>
      <pageSetup orientation="portrait" r:id="rId3"/>
      <headerFooter alignWithMargins="0"/>
    </customSheetView>
    <customSheetView guid="{63D51328-7CBC-4A1E-B96D-BAE91416501B}"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CCA37BAE-906F-43D5-9FD9-B13563E4B9D7}" hiddenColumns="1" state="hidden" topLeftCell="P1">
      <selection activeCell="DT28" sqref="DT28"/>
      <pageMargins left="0.75" right="0.75" top="1" bottom="1" header="0.5" footer="0.5"/>
      <pageSetup orientation="portrait" r:id="rId6"/>
      <headerFooter alignWithMargins="0"/>
    </customSheetView>
    <customSheetView guid="{F8A50AE1-259E-429D-A506-38EB64D134EF}" hiddenColumns="1" state="hidden" topLeftCell="P1">
      <selection activeCell="DT28" sqref="DT28"/>
      <pageMargins left="0.75" right="0.75" top="1" bottom="1" header="0.5" footer="0.5"/>
      <pageSetup orientation="portrait" r:id="rId7"/>
      <headerFooter alignWithMargins="0"/>
    </customSheetView>
    <customSheetView guid="{DEF6DCE2-4A74-4BE5-B5D5-8143DC3F770A}" hiddenColumns="1" state="hidden" topLeftCell="P1">
      <selection activeCell="DT28" sqref="DT28"/>
      <pageMargins left="0.75" right="0.75" top="1" bottom="1" header="0.5" footer="0.5"/>
      <pageSetup orientation="portrait" r:id="rId8"/>
      <headerFooter alignWithMargins="0"/>
    </customSheetView>
    <customSheetView guid="{F658ED72-5E54-4C5B-BB2C-7A2962080984}" hiddenColumns="1" state="hidden" topLeftCell="P1">
      <selection activeCell="DT28" sqref="DT28"/>
      <pageMargins left="0.75" right="0.75" top="1" bottom="1" header="0.5" footer="0.5"/>
      <pageSetup orientation="portrait" r:id="rId9"/>
      <headerFooter alignWithMargins="0"/>
    </customSheetView>
    <customSheetView guid="{BE68641D-0C1E-4F8D-890A-A660C199187C}" hiddenColumns="1" state="hidden" topLeftCell="P1">
      <selection activeCell="DT28" sqref="DT28"/>
      <pageMargins left="0.75" right="0.75" top="1" bottom="1" header="0.5" footer="0.5"/>
      <pageSetup orientation="portrait" r:id="rId10"/>
      <headerFooter alignWithMargins="0"/>
    </customSheetView>
    <customSheetView guid="{AD0333DF-5B33-49B5-B063-72505D20EFE4}" hiddenColumns="1" state="hidden" topLeftCell="P1">
      <selection activeCell="DT28" sqref="DT28"/>
      <pageMargins left="0.75" right="0.75" top="1" bottom="1" header="0.5" footer="0.5"/>
      <pageSetup orientation="portrait" r:id="rId11"/>
      <headerFooter alignWithMargins="0"/>
    </customSheetView>
    <customSheetView guid="{C44C314C-9BEB-403F-A933-6B948E5C1171}" hiddenColumns="1" state="hidden" topLeftCell="P1">
      <selection activeCell="DT28" sqref="DT28"/>
      <pageMargins left="0.75" right="0.75" top="1" bottom="1" header="0.5" footer="0.5"/>
      <pageSetup orientation="portrait" r:id="rId12"/>
      <headerFooter alignWithMargins="0"/>
    </customSheetView>
  </customSheetViews>
  <mergeCells count="14">
    <mergeCell ref="U4:AA4"/>
    <mergeCell ref="U5:AA5"/>
    <mergeCell ref="A122:B122"/>
    <mergeCell ref="A123:B123"/>
    <mergeCell ref="A125:D125"/>
    <mergeCell ref="A4:D4"/>
    <mergeCell ref="F4:I4"/>
    <mergeCell ref="K4:N4"/>
    <mergeCell ref="P4:S4"/>
    <mergeCell ref="A1:B1"/>
    <mergeCell ref="F1:G1"/>
    <mergeCell ref="K1:L1"/>
    <mergeCell ref="P1:Q1"/>
    <mergeCell ref="A2:B2"/>
  </mergeCells>
  <pageMargins left="0.75" right="0.75" top="1" bottom="1" header="0.5" footer="0.5"/>
  <pageSetup orientation="portrait" r:id="rId1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25</vt:i4>
      </vt:variant>
    </vt:vector>
  </HeadingPairs>
  <TitlesOfParts>
    <vt:vector size="47"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Siddhant Kumar {सिद्धांत कुमार}</cp:lastModifiedBy>
  <cp:lastPrinted>2022-07-07T06:53:49Z</cp:lastPrinted>
  <dcterms:created xsi:type="dcterms:W3CDTF">2014-08-12T11:34:40Z</dcterms:created>
  <dcterms:modified xsi:type="dcterms:W3CDTF">2023-06-12T15:13:56Z</dcterms:modified>
</cp:coreProperties>
</file>