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updateLinks="never" codeName="ThisWorkbook" defaultThemeVersion="124226"/>
  <mc:AlternateContent xmlns:mc="http://schemas.openxmlformats.org/markup-compatibility/2006">
    <mc:Choice Requires="x15">
      <x15ac:absPath xmlns:x15ac="http://schemas.microsoft.com/office/spreadsheetml/2010/11/ac" url="C:\Users\60003216\Desktop\Scrap\"/>
    </mc:Choice>
  </mc:AlternateContent>
  <xr:revisionPtr revIDLastSave="0" documentId="13_ncr:81_{4D4AD944-FDB5-4EFD-8E41-A646561F562A}" xr6:coauthVersionLast="47" xr6:coauthVersionMax="47" xr10:uidLastSave="{00000000-0000-0000-0000-000000000000}"/>
  <workbookProtection workbookAlgorithmName="SHA-512" workbookHashValue="nC7r0SKeSQ+Qxi+c2OWVPDM6J6oI7Ey+jFWZeiff3TNYqRZjsIOXQQeFB87chVxV6KA59375wG6ViSZrVtOpew==" workbookSaltValue="KDLSLBvXmvlyx4QijWEqzw==" workbookSpinCount="100000" revisionsPassword="CAA6" lockStructure="1"/>
  <bookViews>
    <workbookView xWindow="-108" yWindow="-108" windowWidth="23256" windowHeight="12576" tabRatio="711" firstSheet="1" activeTab="1"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'Sch-1'!$A$18:$IV$95</definedName>
    <definedName name="_xlnm._FilterDatabase" localSheetId="5" hidden="1">'Sch-2'!$A$16:$AF$95</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Envelope'!$A$1:$F$60</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'Sch-1'!$A$1:$N$104</definedName>
    <definedName name="_xlnm.Print_Area" localSheetId="5">'Sch-2'!$A$1:$J$101</definedName>
    <definedName name="_xlnm.Print_Area" localSheetId="6">'Sch-3'!$A$1:$P$55</definedName>
    <definedName name="_xlnm.Print_Area" localSheetId="7">'Sch-4'!$A$1:$P$24</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Envelope'!$A$1:$F$60</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Envelope'!$A$1:$F$60</definedName>
    <definedName name="Z_14D7F02E_BCCA_4517_ABC7_537FF4AEB67A_.wvu.PrintArea" localSheetId="2" hidden="1">Instructions!$A$1:$C$65</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'Sch-1'!$16:$100</definedName>
    <definedName name="Z_18EA11B4_BD82_47BF_99FA_7AB19BF74D0B_.wvu.FilterData" localSheetId="5" hidden="1">'Sch-2'!$A$16:$AF$98</definedName>
    <definedName name="Z_18EA11B4_BD82_47BF_99FA_7AB19BF74D0B_.wvu.PrintArea" localSheetId="18" hidden="1">'Bid Form 2nd Envelope'!$A$1:$F$60</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Instructions!$A$1:$C$65</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'Sch-1'!$A$1:$N$104</definedName>
    <definedName name="Z_18EA11B4_BD82_47BF_99FA_7AB19BF74D0B_.wvu.PrintArea" localSheetId="5" hidden="1">'Sch-2'!$A$1:$J$101</definedName>
    <definedName name="Z_18EA11B4_BD82_47BF_99FA_7AB19BF74D0B_.wvu.PrintArea" localSheetId="6" hidden="1">'Sch-3'!$A$1:$P$55</definedName>
    <definedName name="Z_18EA11B4_BD82_47BF_99FA_7AB19BF74D0B_.wvu.PrintArea" localSheetId="7" hidden="1">'Sch-4'!$A$1:$P$24</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Envelope'!$A$1:$F$60</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Envelope'!$A$1:$F$60</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'Sch-1'!$C$1:$C$100</definedName>
    <definedName name="Z_357C9841_BEC3_434B_AC63_C04FB4321BA3_.wvu.FilterData" localSheetId="5" hidden="1">'Sch-2'!$C$1:$C$103</definedName>
    <definedName name="Z_357C9841_BEC3_434B_AC63_C04FB4321BA3_.wvu.FilterData" localSheetId="6" hidden="1">'Sch-3'!$C$1:$C$57</definedName>
    <definedName name="Z_357C9841_BEC3_434B_AC63_C04FB4321BA3_.wvu.PrintArea" localSheetId="18" hidden="1">'Bid Form 2nd Envelope'!$A$1:$F$60</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'Sch-1'!$A$1:$N$104</definedName>
    <definedName name="Z_357C9841_BEC3_434B_AC63_C04FB4321BA3_.wvu.PrintArea" localSheetId="5" hidden="1">'Sch-2'!$A$1:$J$103</definedName>
    <definedName name="Z_357C9841_BEC3_434B_AC63_C04FB4321BA3_.wvu.PrintArea" localSheetId="6" hidden="1">'Sch-3'!$A$1:$P$57</definedName>
    <definedName name="Z_357C9841_BEC3_434B_AC63_C04FB4321BA3_.wvu.PrintArea" localSheetId="7" hidden="1">'Sch-4'!$A$1:$P$24</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'Sch-1'!$C$1:$C$100</definedName>
    <definedName name="Z_3C00DDA0_7DDE_4169_A739_550DAF5DCF8D_.wvu.FilterData" localSheetId="5" hidden="1">'Sch-2'!$C$1:$C$103</definedName>
    <definedName name="Z_3C00DDA0_7DDE_4169_A739_550DAF5DCF8D_.wvu.FilterData" localSheetId="6" hidden="1">'Sch-3'!$C$1:$C$57</definedName>
    <definedName name="Z_3C00DDA0_7DDE_4169_A739_550DAF5DCF8D_.wvu.PrintArea" localSheetId="18" hidden="1">'Bid Form 2nd Envelope'!$A$1:$F$60</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'Sch-1'!$A$1:$N$104</definedName>
    <definedName name="Z_3C00DDA0_7DDE_4169_A739_550DAF5DCF8D_.wvu.PrintArea" localSheetId="5" hidden="1">'Sch-2'!$A$1:$J$103</definedName>
    <definedName name="Z_3C00DDA0_7DDE_4169_A739_550DAF5DCF8D_.wvu.PrintArea" localSheetId="6" hidden="1">'Sch-3'!$A$1:$P$57</definedName>
    <definedName name="Z_3C00DDA0_7DDE_4169_A739_550DAF5DCF8D_.wvu.PrintArea" localSheetId="7" hidden="1">'Sch-4'!$A$1:$P$24</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Envelope'!$A$1:$F$60</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Envelope'!$A$1:$F$60</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'Sch-1'!$C$1:$C$100</definedName>
    <definedName name="Z_63D51328_7CBC_4A1E_B96D_BAE91416501B_.wvu.FilterData" localSheetId="5" hidden="1">'Sch-2'!$C$1:$C$103</definedName>
    <definedName name="Z_63D51328_7CBC_4A1E_B96D_BAE91416501B_.wvu.FilterData" localSheetId="6" hidden="1">'Sch-3'!$C$1:$C$57</definedName>
    <definedName name="Z_63D51328_7CBC_4A1E_B96D_BAE91416501B_.wvu.PrintArea" localSheetId="18" hidden="1">'Bid Form 2nd Envelope'!$A$1:$F$60</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'Sch-1'!$A$1:$N$104</definedName>
    <definedName name="Z_63D51328_7CBC_4A1E_B96D_BAE91416501B_.wvu.PrintArea" localSheetId="5" hidden="1">'Sch-2'!$A$1:$J$103</definedName>
    <definedName name="Z_63D51328_7CBC_4A1E_B96D_BAE91416501B_.wvu.PrintArea" localSheetId="6" hidden="1">'Sch-3'!$A$1:$P$57</definedName>
    <definedName name="Z_63D51328_7CBC_4A1E_B96D_BAE91416501B_.wvu.PrintArea" localSheetId="7" hidden="1">'Sch-4'!$A$1:$P$24</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'Sch-1'!$A$18:$IV$95</definedName>
    <definedName name="Z_889C3D82_0A24_4765_A688_A80A782F5056_.wvu.FilterData" localSheetId="5" hidden="1">'Sch-2'!$A$16:$AF$95</definedName>
    <definedName name="Z_889C3D82_0A24_4765_A688_A80A782F5056_.wvu.PrintArea" localSheetId="18" hidden="1">'Bid Form 2nd Envelope'!$A$1:$F$60</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Instructions!$A$1:$C$65</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'Sch-1'!$A$1:$N$104</definedName>
    <definedName name="Z_889C3D82_0A24_4765_A688_A80A782F5056_.wvu.PrintArea" localSheetId="5" hidden="1">'Sch-2'!$A$1:$J$101</definedName>
    <definedName name="Z_889C3D82_0A24_4765_A688_A80A782F5056_.wvu.PrintArea" localSheetId="6" hidden="1">'Sch-3'!$A$1:$P$55</definedName>
    <definedName name="Z_889C3D82_0A24_4765_A688_A80A782F5056_.wvu.PrintArea" localSheetId="7" hidden="1">'Sch-4'!$A$1:$P$24</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'Sch-1'!$A$18:$IV$100</definedName>
    <definedName name="Z_89CB4E6A_722E_4E39_885D_E2A6D0D08321_.wvu.FilterData" localSheetId="5" hidden="1">'Sch-2'!$A$16:$AF$95</definedName>
    <definedName name="Z_89CB4E6A_722E_4E39_885D_E2A6D0D08321_.wvu.PrintArea" localSheetId="18" hidden="1">'Bid Form 2nd Envelope'!$A$1:$F$60</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Instructions!$A$1:$C$65</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'Sch-1'!$A$1:$N$104</definedName>
    <definedName name="Z_89CB4E6A_722E_4E39_885D_E2A6D0D08321_.wvu.PrintArea" localSheetId="5" hidden="1">'Sch-2'!$A$1:$J$101</definedName>
    <definedName name="Z_89CB4E6A_722E_4E39_885D_E2A6D0D08321_.wvu.PrintArea" localSheetId="6" hidden="1">'Sch-3'!$A$1:$P$55</definedName>
    <definedName name="Z_89CB4E6A_722E_4E39_885D_E2A6D0D08321_.wvu.PrintArea" localSheetId="7" hidden="1">'Sch-4'!$A$1:$P$24</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BA4A88A_5522_45F5_A82B_CD7725CE50B1_.wvu.Cols" localSheetId="0" hidden="1">Basic!$I:$I</definedName>
    <definedName name="Z_8BA4A88A_5522_45F5_A82B_CD7725CE50B1_.wvu.Cols" localSheetId="18" hidden="1">'Bid Form 2nd Envelope'!$H:$AO</definedName>
    <definedName name="Z_8BA4A88A_5522_45F5_A82B_CD7725CE50B1_.wvu.Cols" localSheetId="14" hidden="1">Discount!$H:$L</definedName>
    <definedName name="Z_8BA4A88A_5522_45F5_A82B_CD7725CE50B1_.wvu.Cols" localSheetId="3" hidden="1">'Names of Bidder'!$G:$G,'Names of Bidder'!$J:$J</definedName>
    <definedName name="Z_8BA4A88A_5522_45F5_A82B_CD7725CE50B1_.wvu.Cols" localSheetId="21" hidden="1">'N-W (Cr.)'!$A:$O,'N-W (Cr.)'!$T:$DL</definedName>
    <definedName name="Z_8BA4A88A_5522_45F5_A82B_CD7725CE50B1_.wvu.Cols" localSheetId="4" hidden="1">'Sch-1'!$O:$T,'Sch-1'!$X:$AK</definedName>
    <definedName name="Z_8BA4A88A_5522_45F5_A82B_CD7725CE50B1_.wvu.Cols" localSheetId="6" hidden="1">'Sch-3'!$Q:$AB</definedName>
    <definedName name="Z_8BA4A88A_5522_45F5_A82B_CD7725CE50B1_.wvu.Cols" localSheetId="8" hidden="1">'Sch-5'!$F:$T</definedName>
    <definedName name="Z_8BA4A88A_5522_45F5_A82B_CD7725CE50B1_.wvu.Cols" localSheetId="12" hidden="1">'Sch-6 (After Discount)'!$E:$F</definedName>
    <definedName name="Z_8BA4A88A_5522_45F5_A82B_CD7725CE50B1_.wvu.Cols" localSheetId="13" hidden="1">'Sch-7'!$AA:$AG</definedName>
    <definedName name="Z_8BA4A88A_5522_45F5_A82B_CD7725CE50B1_.wvu.FilterData" localSheetId="4" hidden="1">'Sch-1'!$A$18:$IV$95</definedName>
    <definedName name="Z_8BA4A88A_5522_45F5_A82B_CD7725CE50B1_.wvu.FilterData" localSheetId="5" hidden="1">'Sch-2'!$A$16:$AF$95</definedName>
    <definedName name="Z_8BA4A88A_5522_45F5_A82B_CD7725CE50B1_.wvu.PrintArea" localSheetId="18" hidden="1">'Bid Form 2nd Envelope'!$A$1:$F$60</definedName>
    <definedName name="Z_8BA4A88A_5522_45F5_A82B_CD7725CE50B1_.wvu.PrintArea" localSheetId="1" hidden="1">Cover!$A$1:$F$15</definedName>
    <definedName name="Z_8BA4A88A_5522_45F5_A82B_CD7725CE50B1_.wvu.PrintArea" localSheetId="14" hidden="1">Discount!$A$2:$G$40</definedName>
    <definedName name="Z_8BA4A88A_5522_45F5_A82B_CD7725CE50B1_.wvu.PrintArea" localSheetId="16" hidden="1">'Entry Tax'!$A$1:$E$16</definedName>
    <definedName name="Z_8BA4A88A_5522_45F5_A82B_CD7725CE50B1_.wvu.PrintArea" localSheetId="2" hidden="1">Instructions!$A$1:$C$65</definedName>
    <definedName name="Z_8BA4A88A_5522_45F5_A82B_CD7725CE50B1_.wvu.PrintArea" localSheetId="3" hidden="1">'Names of Bidder'!$A$1:$F$23</definedName>
    <definedName name="Z_8BA4A88A_5522_45F5_A82B_CD7725CE50B1_.wvu.PrintArea" localSheetId="15" hidden="1">Octroi!$A$1:$E$16</definedName>
    <definedName name="Z_8BA4A88A_5522_45F5_A82B_CD7725CE50B1_.wvu.PrintArea" localSheetId="17" hidden="1">'Other Taxes &amp; Duties'!$A$1:$F$16</definedName>
    <definedName name="Z_8BA4A88A_5522_45F5_A82B_CD7725CE50B1_.wvu.PrintArea" localSheetId="4" hidden="1">'Sch-1'!$A$1:$N$104</definedName>
    <definedName name="Z_8BA4A88A_5522_45F5_A82B_CD7725CE50B1_.wvu.PrintArea" localSheetId="5" hidden="1">'Sch-2'!$A$1:$J$101</definedName>
    <definedName name="Z_8BA4A88A_5522_45F5_A82B_CD7725CE50B1_.wvu.PrintArea" localSheetId="6" hidden="1">'Sch-3'!$A$1:$P$55</definedName>
    <definedName name="Z_8BA4A88A_5522_45F5_A82B_CD7725CE50B1_.wvu.PrintArea" localSheetId="7" hidden="1">'Sch-4'!$A$1:$P$24</definedName>
    <definedName name="Z_8BA4A88A_5522_45F5_A82B_CD7725CE50B1_.wvu.PrintArea" localSheetId="8" hidden="1">'Sch-5'!$A$1:$E$23</definedName>
    <definedName name="Z_8BA4A88A_5522_45F5_A82B_CD7725CE50B1_.wvu.PrintArea" localSheetId="9" hidden="1">'Sch-5 after discount'!$A$1:$E$23</definedName>
    <definedName name="Z_8BA4A88A_5522_45F5_A82B_CD7725CE50B1_.wvu.PrintArea" localSheetId="10" hidden="1">'Sch-6'!$A$1:$D$32</definedName>
    <definedName name="Z_8BA4A88A_5522_45F5_A82B_CD7725CE50B1_.wvu.PrintArea" localSheetId="12" hidden="1">'Sch-6 (After Discount)'!$A$1:$D$32</definedName>
    <definedName name="Z_8BA4A88A_5522_45F5_A82B_CD7725CE50B1_.wvu.PrintArea" localSheetId="11" hidden="1">'Sch-6 After Discount'!$A$1:$D$31</definedName>
    <definedName name="Z_8BA4A88A_5522_45F5_A82B_CD7725CE50B1_.wvu.PrintArea" localSheetId="13" hidden="1">'Sch-7'!$A$1:$M$22</definedName>
    <definedName name="Z_8BA4A88A_5522_45F5_A82B_CD7725CE50B1_.wvu.PrintTitles" localSheetId="4" hidden="1">'Sch-1'!$15:$16</definedName>
    <definedName name="Z_8BA4A88A_5522_45F5_A82B_CD7725CE50B1_.wvu.PrintTitles" localSheetId="5" hidden="1">'Sch-2'!$15:$16</definedName>
    <definedName name="Z_8BA4A88A_5522_45F5_A82B_CD7725CE50B1_.wvu.PrintTitles" localSheetId="6" hidden="1">'Sch-3'!$15:$16</definedName>
    <definedName name="Z_8BA4A88A_5522_45F5_A82B_CD7725CE50B1_.wvu.PrintTitles" localSheetId="8" hidden="1">'Sch-5'!$3:$14</definedName>
    <definedName name="Z_8BA4A88A_5522_45F5_A82B_CD7725CE50B1_.wvu.PrintTitles" localSheetId="9" hidden="1">'Sch-5 after discount'!$3:$14</definedName>
    <definedName name="Z_8BA4A88A_5522_45F5_A82B_CD7725CE50B1_.wvu.PrintTitles" localSheetId="10" hidden="1">'Sch-6'!$3:$14</definedName>
    <definedName name="Z_8BA4A88A_5522_45F5_A82B_CD7725CE50B1_.wvu.PrintTitles" localSheetId="12" hidden="1">'Sch-6 (After Discount)'!$3:$14</definedName>
    <definedName name="Z_8BA4A88A_5522_45F5_A82B_CD7725CE50B1_.wvu.PrintTitles" localSheetId="11" hidden="1">'Sch-6 After Discount'!$3:$13</definedName>
    <definedName name="Z_8BA4A88A_5522_45F5_A82B_CD7725CE50B1_.wvu.Rows" localSheetId="1" hidden="1">Cover!$7:$7</definedName>
    <definedName name="Z_8BA4A88A_5522_45F5_A82B_CD7725CE50B1_.wvu.Rows" localSheetId="14" hidden="1">Discount!$21:$22,Discount!$27:$32</definedName>
    <definedName name="Z_8BA4A88A_5522_45F5_A82B_CD7725CE50B1_.wvu.Rows" localSheetId="3" hidden="1">'Names of Bidder'!$14:$17</definedName>
    <definedName name="Z_8BA4A88A_5522_45F5_A82B_CD7725CE50B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Envelope'!$A$1:$F$60</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'Sch-1'!$16:$100</definedName>
    <definedName name="Z_915C64AD_BD67_44F0_9117_5B9D998BA799_.wvu.FilterData" localSheetId="5" hidden="1">'Sch-2'!$A$16:$AF$98</definedName>
    <definedName name="Z_915C64AD_BD67_44F0_9117_5B9D998BA799_.wvu.PrintArea" localSheetId="18" hidden="1">'Bid Form 2nd Envelope'!$A$1:$F$60</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Instructions!$A$1:$C$65</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'Sch-1'!$A$1:$N$104</definedName>
    <definedName name="Z_915C64AD_BD67_44F0_9117_5B9D998BA799_.wvu.PrintArea" localSheetId="5" hidden="1">'Sch-2'!$A$1:$J$101</definedName>
    <definedName name="Z_915C64AD_BD67_44F0_9117_5B9D998BA799_.wvu.PrintArea" localSheetId="6" hidden="1">'Sch-3'!$A$1:$P$55</definedName>
    <definedName name="Z_915C64AD_BD67_44F0_9117_5B9D998BA799_.wvu.PrintArea" localSheetId="7" hidden="1">'Sch-4'!$A$1:$P$24</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'Sch-1'!$16:$100</definedName>
    <definedName name="Z_99CA2F10_F926_46DC_8609_4EAE5B9F3585_.wvu.FilterData" localSheetId="5" hidden="1">'Sch-2'!$A$16:$AF$98</definedName>
    <definedName name="Z_99CA2F10_F926_46DC_8609_4EAE5B9F3585_.wvu.FilterData" localSheetId="6" hidden="1">'Sch-3'!$A$16:$AE$49</definedName>
    <definedName name="Z_99CA2F10_F926_46DC_8609_4EAE5B9F3585_.wvu.PrintArea" localSheetId="18" hidden="1">'Bid Form 2nd Envelope'!$A$1:$F$60</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'Sch-1'!$A$1:$N$104</definedName>
    <definedName name="Z_99CA2F10_F926_46DC_8609_4EAE5B9F3585_.wvu.PrintArea" localSheetId="5" hidden="1">'Sch-2'!$A$1:$J$101</definedName>
    <definedName name="Z_99CA2F10_F926_46DC_8609_4EAE5B9F3585_.wvu.PrintArea" localSheetId="6" hidden="1">'Sch-3'!$A$1:$P$55</definedName>
    <definedName name="Z_99CA2F10_F926_46DC_8609_4EAE5B9F3585_.wvu.PrintArea" localSheetId="7" hidden="1">'Sch-4'!$A$1:$P$24</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'Sch-1'!$16:$100</definedName>
    <definedName name="Z_A58DB4DF_40C7_4BEB_B85E_6BD6F54941CF_.wvu.FilterData" localSheetId="5" hidden="1">'Sch-2'!$A$16:$AF$98</definedName>
    <definedName name="Z_A58DB4DF_40C7_4BEB_B85E_6BD6F54941CF_.wvu.PrintArea" localSheetId="18" hidden="1">'Bid Form 2nd Envelope'!$A$1:$F$60</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Instructions!$A$1:$C$65</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'Sch-1'!$A$1:$N$104</definedName>
    <definedName name="Z_A58DB4DF_40C7_4BEB_B85E_6BD6F54941CF_.wvu.PrintArea" localSheetId="5" hidden="1">'Sch-2'!$A$1:$J$101</definedName>
    <definedName name="Z_A58DB4DF_40C7_4BEB_B85E_6BD6F54941CF_.wvu.PrintArea" localSheetId="6" hidden="1">'Sch-3'!$A$1:$P$55</definedName>
    <definedName name="Z_A58DB4DF_40C7_4BEB_B85E_6BD6F54941CF_.wvu.PrintArea" localSheetId="7" hidden="1">'Sch-4'!$A$1:$P$24</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Envelope'!$A$1:$F$60</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Envelope'!$A$1:$F$60</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'Sch-1'!$C$1:$C$100</definedName>
    <definedName name="Z_B96E710B_6DD7_4DE1_95AB_C9EE060CD030_.wvu.FilterData" localSheetId="5" hidden="1">'Sch-2'!$C$1:$C$103</definedName>
    <definedName name="Z_B96E710B_6DD7_4DE1_95AB_C9EE060CD030_.wvu.FilterData" localSheetId="6" hidden="1">'Sch-3'!$C$1:$C$57</definedName>
    <definedName name="Z_B96E710B_6DD7_4DE1_95AB_C9EE060CD030_.wvu.PrintArea" localSheetId="18" hidden="1">'Bid Form 2nd Envelope'!$A$1:$F$60</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'Sch-1'!$A$1:$N$104</definedName>
    <definedName name="Z_B96E710B_6DD7_4DE1_95AB_C9EE060CD030_.wvu.PrintArea" localSheetId="5" hidden="1">'Sch-2'!$A$1:$J$103</definedName>
    <definedName name="Z_B96E710B_6DD7_4DE1_95AB_C9EE060CD030_.wvu.PrintArea" localSheetId="6" hidden="1">'Sch-3'!$A$1:$P$57</definedName>
    <definedName name="Z_B96E710B_6DD7_4DE1_95AB_C9EE060CD030_.wvu.PrintArea" localSheetId="7" hidden="1">'Sch-4'!$A$1:$P$24</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'Sch-1'!$16:$100</definedName>
    <definedName name="Z_CCA37BAE_906F_43D5_9FD9_B13563E4B9D7_.wvu.FilterData" localSheetId="5" hidden="1">'Sch-2'!$A$16:$AF$98</definedName>
    <definedName name="Z_CCA37BAE_906F_43D5_9FD9_B13563E4B9D7_.wvu.PrintArea" localSheetId="18" hidden="1">'Bid Form 2nd Envelope'!$A$1:$F$60</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'Sch-1'!$A$1:$N$104</definedName>
    <definedName name="Z_CCA37BAE_906F_43D5_9FD9_B13563E4B9D7_.wvu.PrintArea" localSheetId="5" hidden="1">'Sch-2'!$A$1:$J$101</definedName>
    <definedName name="Z_CCA37BAE_906F_43D5_9FD9_B13563E4B9D7_.wvu.PrintArea" localSheetId="6" hidden="1">'Sch-3'!$A$1:$P$55</definedName>
    <definedName name="Z_CCA37BAE_906F_43D5_9FD9_B13563E4B9D7_.wvu.PrintArea" localSheetId="7" hidden="1">'Sch-4'!$A$1:$P$24</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Envelope'!$A$1:$F$60</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Envelope'!$A$1:$F$60</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Adil Iqbal Khan {Adil Iqbal Khan} - Personal View" guid="{8BA4A88A-5522-45F5-A82B-CD7725CE50B1}" mergeInterval="0" personalView="1" maximized="1" xWindow="-9" yWindow="-9" windowWidth="1938" windowHeight="1048" tabRatio="607" activeSheetId="2"/>
    <customWorkbookView name="Samrat Jain {Samrat Jain} - Personal View" guid="{889C3D82-0A24-4765-A688-A80A782F5056}" mergeInterval="0" personalView="1" maximized="1" xWindow="-8" yWindow="-8" windowWidth="1936" windowHeight="1056" tabRatio="607" activeSheetId="2" showComments="commIndAndComment"/>
    <customWorkbookView name="Samrat Jain - Personal View" guid="{89CB4E6A-722E-4E39-885D-E2A6D0D08321}" mergeInterval="0" personalView="1" maximized="1" xWindow="1" yWindow="1" windowWidth="1366" windowHeight="538" tabRatio="607" activeSheetId="2" showComments="commIndAndComment"/>
    <customWorkbookView name="Satendra Singh Sengar {सतेन्द्र सिंह सेंगर} - Personal View" guid="{915C64AD-BD67-44F0-9117-5B9D998BA799}" mergeInterval="0" personalView="1" maximized="1" windowWidth="1916" windowHeight="854" tabRatio="847" activeSheetId="4"/>
    <customWorkbookView name="Ankit Vaishnav {Ankit Vaishnav} - Personal View" guid="{18EA11B4-BD82-47BF-99FA-7AB19BF74D0B}" mergeInterval="0" personalView="1" maximized="1" windowWidth="1436" windowHeight="674" tabRatio="847" activeSheetId="19"/>
    <customWorkbookView name="Umesh Kumar Yadav {उमेश कुमार यादव} - Personal View" guid="{CCA37BAE-906F-43D5-9FD9-B13563E4B9D7}" mergeInterval="0" personalView="1" maximized="1" windowWidth="1916" windowHeight="854" tabRatio="670" activeSheetId="19" showComments="commIndAndComment"/>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windowWidth="1916" windowHeight="814" tabRatio="786" activeSheetId="19"/>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60003018 - Personal View" guid="{A58DB4DF-40C7-4BEB-B85E-6BD6F54941CF}" mergeInterval="0" personalView="1" maximized="1" windowWidth="1362" windowHeight="522" tabRatio="847" activeSheetId="4"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7" l="1"/>
  <c r="B17" i="7"/>
  <c r="H95" i="6"/>
  <c r="G95" i="6"/>
  <c r="F95" i="6"/>
  <c r="E95" i="6"/>
  <c r="D95" i="6"/>
  <c r="C95" i="6"/>
  <c r="B95" i="6"/>
  <c r="H94" i="6"/>
  <c r="G94" i="6"/>
  <c r="F94" i="6"/>
  <c r="E94" i="6"/>
  <c r="D94" i="6"/>
  <c r="C94" i="6"/>
  <c r="B94" i="6"/>
  <c r="H93" i="6"/>
  <c r="G93" i="6"/>
  <c r="F93" i="6"/>
  <c r="E93" i="6"/>
  <c r="D93" i="6"/>
  <c r="C93" i="6"/>
  <c r="B93" i="6"/>
  <c r="H92" i="6"/>
  <c r="G92" i="6"/>
  <c r="F92" i="6"/>
  <c r="E92" i="6"/>
  <c r="D92" i="6"/>
  <c r="C92" i="6"/>
  <c r="B92" i="6"/>
  <c r="H91" i="6"/>
  <c r="G91" i="6"/>
  <c r="F91" i="6"/>
  <c r="E91" i="6"/>
  <c r="D91" i="6"/>
  <c r="C91" i="6"/>
  <c r="B91" i="6"/>
  <c r="H90" i="6"/>
  <c r="G90" i="6"/>
  <c r="F90" i="6"/>
  <c r="E90" i="6"/>
  <c r="D90" i="6"/>
  <c r="C90" i="6"/>
  <c r="B90" i="6"/>
  <c r="H89" i="6"/>
  <c r="G89" i="6"/>
  <c r="F89" i="6"/>
  <c r="E89" i="6"/>
  <c r="D89" i="6"/>
  <c r="C89" i="6"/>
  <c r="B89" i="6"/>
  <c r="H88" i="6"/>
  <c r="G88" i="6"/>
  <c r="F88" i="6"/>
  <c r="E88" i="6"/>
  <c r="D88" i="6"/>
  <c r="C88" i="6"/>
  <c r="B88" i="6"/>
  <c r="H87" i="6"/>
  <c r="G87" i="6"/>
  <c r="F87" i="6"/>
  <c r="E87" i="6"/>
  <c r="D87" i="6"/>
  <c r="C87" i="6"/>
  <c r="B87" i="6"/>
  <c r="H86" i="6"/>
  <c r="G86" i="6"/>
  <c r="F86" i="6"/>
  <c r="E86" i="6"/>
  <c r="D86" i="6"/>
  <c r="C86" i="6"/>
  <c r="B86" i="6"/>
  <c r="H85" i="6"/>
  <c r="G85" i="6"/>
  <c r="F85" i="6"/>
  <c r="E85" i="6"/>
  <c r="D85" i="6"/>
  <c r="C85" i="6"/>
  <c r="B85" i="6"/>
  <c r="H84" i="6"/>
  <c r="G84" i="6"/>
  <c r="F84" i="6"/>
  <c r="E84" i="6"/>
  <c r="D84" i="6"/>
  <c r="C84" i="6"/>
  <c r="B84" i="6"/>
  <c r="H83" i="6"/>
  <c r="G83" i="6"/>
  <c r="F83" i="6"/>
  <c r="E83" i="6"/>
  <c r="D83" i="6"/>
  <c r="C83" i="6"/>
  <c r="B83" i="6"/>
  <c r="H82" i="6"/>
  <c r="G82" i="6"/>
  <c r="F82" i="6"/>
  <c r="E82" i="6"/>
  <c r="D82" i="6"/>
  <c r="C82" i="6"/>
  <c r="B82" i="6"/>
  <c r="H81" i="6"/>
  <c r="G81" i="6"/>
  <c r="F81" i="6"/>
  <c r="E81" i="6"/>
  <c r="D81" i="6"/>
  <c r="C81" i="6"/>
  <c r="B81" i="6"/>
  <c r="H80" i="6"/>
  <c r="G80" i="6"/>
  <c r="F80" i="6"/>
  <c r="E80" i="6"/>
  <c r="D80" i="6"/>
  <c r="C80" i="6"/>
  <c r="B80" i="6"/>
  <c r="H79" i="6"/>
  <c r="G79" i="6"/>
  <c r="F79" i="6"/>
  <c r="E79" i="6"/>
  <c r="D79" i="6"/>
  <c r="C79" i="6"/>
  <c r="B79" i="6"/>
  <c r="H78" i="6"/>
  <c r="G78" i="6"/>
  <c r="F78" i="6"/>
  <c r="E78" i="6"/>
  <c r="D78" i="6"/>
  <c r="C78" i="6"/>
  <c r="B78" i="6"/>
  <c r="H77" i="6"/>
  <c r="G77" i="6"/>
  <c r="F77" i="6"/>
  <c r="E77" i="6"/>
  <c r="D77" i="6"/>
  <c r="C77" i="6"/>
  <c r="B77" i="6"/>
  <c r="H76" i="6"/>
  <c r="G76" i="6"/>
  <c r="F76" i="6"/>
  <c r="E76" i="6"/>
  <c r="D76" i="6"/>
  <c r="C76" i="6"/>
  <c r="B76" i="6"/>
  <c r="H75" i="6"/>
  <c r="G75" i="6"/>
  <c r="F75" i="6"/>
  <c r="E75" i="6"/>
  <c r="D75" i="6"/>
  <c r="C75" i="6"/>
  <c r="B75" i="6"/>
  <c r="H74" i="6"/>
  <c r="G74" i="6"/>
  <c r="F74" i="6"/>
  <c r="E74" i="6"/>
  <c r="D74" i="6"/>
  <c r="C74" i="6"/>
  <c r="B74" i="6"/>
  <c r="H73" i="6"/>
  <c r="G73" i="6"/>
  <c r="F73" i="6"/>
  <c r="E73" i="6"/>
  <c r="D73" i="6"/>
  <c r="C73" i="6"/>
  <c r="B73" i="6"/>
  <c r="H72" i="6"/>
  <c r="G72" i="6"/>
  <c r="F72" i="6"/>
  <c r="E72" i="6"/>
  <c r="D72" i="6"/>
  <c r="C72" i="6"/>
  <c r="B72" i="6"/>
  <c r="H71" i="6"/>
  <c r="G71" i="6"/>
  <c r="F71" i="6"/>
  <c r="E71" i="6"/>
  <c r="D71" i="6"/>
  <c r="C71" i="6"/>
  <c r="B71" i="6"/>
  <c r="H70" i="6"/>
  <c r="G70" i="6"/>
  <c r="F70" i="6"/>
  <c r="E70" i="6"/>
  <c r="D70" i="6"/>
  <c r="C70" i="6"/>
  <c r="B70" i="6"/>
  <c r="H69" i="6"/>
  <c r="G69" i="6"/>
  <c r="F69" i="6"/>
  <c r="E69" i="6"/>
  <c r="D69" i="6"/>
  <c r="C69" i="6"/>
  <c r="B69" i="6"/>
  <c r="H68" i="6"/>
  <c r="G68" i="6"/>
  <c r="F68" i="6"/>
  <c r="E68" i="6"/>
  <c r="D68" i="6"/>
  <c r="C68" i="6"/>
  <c r="B68" i="6"/>
  <c r="H67" i="6"/>
  <c r="G67" i="6"/>
  <c r="F67" i="6"/>
  <c r="E67" i="6"/>
  <c r="D67" i="6"/>
  <c r="C67" i="6"/>
  <c r="B67" i="6"/>
  <c r="H66" i="6"/>
  <c r="G66" i="6"/>
  <c r="F66" i="6"/>
  <c r="E66" i="6"/>
  <c r="D66" i="6"/>
  <c r="C66" i="6"/>
  <c r="B66" i="6"/>
  <c r="H65" i="6"/>
  <c r="G65" i="6"/>
  <c r="F65" i="6"/>
  <c r="E65" i="6"/>
  <c r="D65" i="6"/>
  <c r="C65" i="6"/>
  <c r="B65" i="6"/>
  <c r="H64" i="6"/>
  <c r="G64" i="6"/>
  <c r="F64" i="6"/>
  <c r="E64" i="6"/>
  <c r="D64" i="6"/>
  <c r="C64" i="6"/>
  <c r="B64" i="6"/>
  <c r="H63" i="6"/>
  <c r="G63" i="6"/>
  <c r="F63" i="6"/>
  <c r="E63" i="6"/>
  <c r="D63" i="6"/>
  <c r="C63" i="6"/>
  <c r="B63" i="6"/>
  <c r="H61" i="6"/>
  <c r="G61" i="6"/>
  <c r="F61" i="6"/>
  <c r="E61" i="6"/>
  <c r="D61" i="6"/>
  <c r="C61" i="6"/>
  <c r="B61" i="6"/>
  <c r="H60" i="6"/>
  <c r="G60" i="6"/>
  <c r="F60" i="6"/>
  <c r="E60" i="6"/>
  <c r="D60" i="6"/>
  <c r="C60" i="6"/>
  <c r="B60" i="6"/>
  <c r="H59" i="6"/>
  <c r="G59" i="6"/>
  <c r="F59" i="6"/>
  <c r="E59" i="6"/>
  <c r="D59" i="6"/>
  <c r="C59" i="6"/>
  <c r="B59" i="6"/>
  <c r="H58" i="6"/>
  <c r="G58" i="6"/>
  <c r="F58" i="6"/>
  <c r="E58" i="6"/>
  <c r="D58" i="6"/>
  <c r="C58" i="6"/>
  <c r="B58" i="6"/>
  <c r="H57" i="6"/>
  <c r="G57" i="6"/>
  <c r="F57" i="6"/>
  <c r="E57" i="6"/>
  <c r="D57" i="6"/>
  <c r="C57" i="6"/>
  <c r="B57" i="6"/>
  <c r="H56" i="6"/>
  <c r="G56" i="6"/>
  <c r="F56" i="6"/>
  <c r="E56" i="6"/>
  <c r="D56" i="6"/>
  <c r="C56" i="6"/>
  <c r="B56" i="6"/>
  <c r="H55" i="6"/>
  <c r="G55" i="6"/>
  <c r="F55" i="6"/>
  <c r="E55" i="6"/>
  <c r="D55" i="6"/>
  <c r="C55" i="6"/>
  <c r="B55" i="6"/>
  <c r="H54" i="6"/>
  <c r="G54" i="6"/>
  <c r="F54" i="6"/>
  <c r="E54" i="6"/>
  <c r="D54" i="6"/>
  <c r="C54" i="6"/>
  <c r="B54" i="6"/>
  <c r="H53" i="6"/>
  <c r="G53" i="6"/>
  <c r="F53" i="6"/>
  <c r="E53" i="6"/>
  <c r="D53" i="6"/>
  <c r="C53" i="6"/>
  <c r="B53" i="6"/>
  <c r="H52" i="6"/>
  <c r="G52" i="6"/>
  <c r="F52" i="6"/>
  <c r="E52" i="6"/>
  <c r="D52" i="6"/>
  <c r="C52" i="6"/>
  <c r="B52" i="6"/>
  <c r="H51" i="6"/>
  <c r="G51" i="6"/>
  <c r="F51" i="6"/>
  <c r="E51" i="6"/>
  <c r="D51" i="6"/>
  <c r="C51" i="6"/>
  <c r="B51" i="6"/>
  <c r="H50" i="6"/>
  <c r="G50" i="6"/>
  <c r="F50" i="6"/>
  <c r="E50" i="6"/>
  <c r="D50" i="6"/>
  <c r="C50" i="6"/>
  <c r="B50" i="6"/>
  <c r="H49" i="6"/>
  <c r="G49" i="6"/>
  <c r="F49" i="6"/>
  <c r="E49" i="6"/>
  <c r="D49" i="6"/>
  <c r="C49" i="6"/>
  <c r="B49" i="6"/>
  <c r="H48" i="6"/>
  <c r="G48" i="6"/>
  <c r="F48" i="6"/>
  <c r="E48" i="6"/>
  <c r="D48" i="6"/>
  <c r="C48" i="6"/>
  <c r="B48" i="6"/>
  <c r="H47" i="6"/>
  <c r="G47" i="6"/>
  <c r="F47" i="6"/>
  <c r="E47" i="6"/>
  <c r="D47" i="6"/>
  <c r="C47" i="6"/>
  <c r="B47" i="6"/>
  <c r="H46" i="6"/>
  <c r="G46" i="6"/>
  <c r="F46" i="6"/>
  <c r="E46" i="6"/>
  <c r="D46" i="6"/>
  <c r="C46" i="6"/>
  <c r="B46" i="6"/>
  <c r="H45" i="6"/>
  <c r="G45" i="6"/>
  <c r="F45" i="6"/>
  <c r="E45" i="6"/>
  <c r="D45" i="6"/>
  <c r="C45" i="6"/>
  <c r="B45" i="6"/>
  <c r="H44" i="6"/>
  <c r="G44" i="6"/>
  <c r="F44" i="6"/>
  <c r="E44" i="6"/>
  <c r="D44" i="6"/>
  <c r="C44" i="6"/>
  <c r="B44" i="6"/>
  <c r="H43" i="6"/>
  <c r="G43" i="6"/>
  <c r="F43" i="6"/>
  <c r="E43" i="6"/>
  <c r="D43" i="6"/>
  <c r="C43" i="6"/>
  <c r="B43" i="6"/>
  <c r="H42" i="6"/>
  <c r="G42" i="6"/>
  <c r="F42" i="6"/>
  <c r="E42" i="6"/>
  <c r="D42" i="6"/>
  <c r="C42" i="6"/>
  <c r="B42" i="6"/>
  <c r="H41" i="6"/>
  <c r="G41" i="6"/>
  <c r="F41" i="6"/>
  <c r="E41" i="6"/>
  <c r="D41" i="6"/>
  <c r="C41" i="6"/>
  <c r="B41" i="6"/>
  <c r="H40" i="6"/>
  <c r="G40" i="6"/>
  <c r="F40" i="6"/>
  <c r="E40" i="6"/>
  <c r="D40" i="6"/>
  <c r="C40" i="6"/>
  <c r="B40" i="6"/>
  <c r="H39" i="6"/>
  <c r="G39" i="6"/>
  <c r="F39" i="6"/>
  <c r="E39" i="6"/>
  <c r="D39" i="6"/>
  <c r="C39" i="6"/>
  <c r="B39" i="6"/>
  <c r="H38" i="6"/>
  <c r="G38" i="6"/>
  <c r="F38" i="6"/>
  <c r="E38" i="6"/>
  <c r="D38" i="6"/>
  <c r="C38" i="6"/>
  <c r="B38" i="6"/>
  <c r="H37" i="6"/>
  <c r="G37" i="6"/>
  <c r="F37" i="6"/>
  <c r="E37" i="6"/>
  <c r="D37" i="6"/>
  <c r="C37" i="6"/>
  <c r="B37" i="6"/>
  <c r="H36" i="6"/>
  <c r="G36" i="6"/>
  <c r="F36" i="6"/>
  <c r="E36" i="6"/>
  <c r="D36" i="6"/>
  <c r="C36" i="6"/>
  <c r="B36" i="6"/>
  <c r="H35" i="6"/>
  <c r="G35" i="6"/>
  <c r="F35" i="6"/>
  <c r="E35" i="6"/>
  <c r="D35" i="6"/>
  <c r="C35" i="6"/>
  <c r="B35" i="6"/>
  <c r="H34" i="6"/>
  <c r="G34" i="6"/>
  <c r="F34" i="6"/>
  <c r="E34" i="6"/>
  <c r="D34" i="6"/>
  <c r="C34" i="6"/>
  <c r="B34" i="6"/>
  <c r="H33" i="6"/>
  <c r="G33" i="6"/>
  <c r="F33" i="6"/>
  <c r="E33" i="6"/>
  <c r="D33" i="6"/>
  <c r="C33" i="6"/>
  <c r="B33" i="6"/>
  <c r="H32" i="6"/>
  <c r="G32" i="6"/>
  <c r="F32" i="6"/>
  <c r="E32" i="6"/>
  <c r="D32" i="6"/>
  <c r="C32" i="6"/>
  <c r="B32" i="6"/>
  <c r="H31" i="6"/>
  <c r="G31" i="6"/>
  <c r="F31" i="6"/>
  <c r="E31" i="6"/>
  <c r="D31" i="6"/>
  <c r="C31" i="6"/>
  <c r="B31" i="6"/>
  <c r="H30" i="6"/>
  <c r="G30" i="6"/>
  <c r="F30" i="6"/>
  <c r="E30" i="6"/>
  <c r="D30" i="6"/>
  <c r="C30" i="6"/>
  <c r="B30" i="6"/>
  <c r="H29" i="6"/>
  <c r="G29" i="6"/>
  <c r="F29" i="6"/>
  <c r="E29" i="6"/>
  <c r="D29" i="6"/>
  <c r="C29" i="6"/>
  <c r="B29" i="6"/>
  <c r="H28" i="6"/>
  <c r="G28" i="6"/>
  <c r="F28" i="6"/>
  <c r="E28" i="6"/>
  <c r="D28" i="6"/>
  <c r="C28" i="6"/>
  <c r="B28" i="6"/>
  <c r="H27" i="6"/>
  <c r="G27" i="6"/>
  <c r="F27" i="6"/>
  <c r="E27" i="6"/>
  <c r="D27" i="6"/>
  <c r="C27" i="6"/>
  <c r="B27" i="6"/>
  <c r="H26" i="6"/>
  <c r="G26" i="6"/>
  <c r="F26" i="6"/>
  <c r="E26" i="6"/>
  <c r="D26" i="6"/>
  <c r="C26" i="6"/>
  <c r="B26" i="6"/>
  <c r="H25" i="6"/>
  <c r="G25" i="6"/>
  <c r="F25" i="6"/>
  <c r="E25" i="6"/>
  <c r="D25" i="6"/>
  <c r="C25" i="6"/>
  <c r="B25" i="6"/>
  <c r="H24" i="6"/>
  <c r="G24" i="6"/>
  <c r="F24" i="6"/>
  <c r="E24" i="6"/>
  <c r="D24" i="6"/>
  <c r="C24" i="6"/>
  <c r="B24" i="6"/>
  <c r="H23" i="6"/>
  <c r="G23" i="6"/>
  <c r="F23" i="6"/>
  <c r="E23" i="6"/>
  <c r="D23" i="6"/>
  <c r="C23" i="6"/>
  <c r="B23" i="6"/>
  <c r="H22" i="6"/>
  <c r="G22" i="6"/>
  <c r="F22" i="6"/>
  <c r="E22" i="6"/>
  <c r="D22" i="6"/>
  <c r="C22" i="6"/>
  <c r="B22" i="6"/>
  <c r="H21" i="6"/>
  <c r="G21" i="6"/>
  <c r="F21" i="6"/>
  <c r="E21" i="6"/>
  <c r="D21" i="6"/>
  <c r="C21" i="6"/>
  <c r="B21" i="6"/>
  <c r="H20" i="6"/>
  <c r="G20" i="6"/>
  <c r="F20" i="6"/>
  <c r="E20" i="6"/>
  <c r="D20" i="6"/>
  <c r="C20" i="6"/>
  <c r="B20" i="6"/>
  <c r="H19" i="6"/>
  <c r="G19" i="6"/>
  <c r="F19" i="6"/>
  <c r="E19" i="6"/>
  <c r="D19" i="6"/>
  <c r="C19" i="6"/>
  <c r="B19" i="6"/>
  <c r="H18" i="6"/>
  <c r="G18" i="6"/>
  <c r="F18" i="6"/>
  <c r="E18" i="6"/>
  <c r="D18" i="6"/>
  <c r="C18" i="6"/>
  <c r="B18" i="6"/>
  <c r="V44" i="7"/>
  <c r="P44" i="7"/>
  <c r="R44" i="7" s="1"/>
  <c r="V40" i="7"/>
  <c r="P40" i="7"/>
  <c r="Q40" i="7" s="1"/>
  <c r="V36" i="7"/>
  <c r="P36" i="7"/>
  <c r="R36" i="7" s="1"/>
  <c r="V29" i="7"/>
  <c r="P29" i="7"/>
  <c r="Q29" i="7" s="1"/>
  <c r="V25" i="7"/>
  <c r="P25" i="7"/>
  <c r="R25" i="7" s="1"/>
  <c r="R40" i="7" l="1"/>
  <c r="R29" i="7"/>
  <c r="Q44" i="7"/>
  <c r="Q36" i="7"/>
  <c r="Q25" i="7"/>
  <c r="V34" i="7" l="1"/>
  <c r="P34" i="7"/>
  <c r="R34" i="7" s="1"/>
  <c r="V47" i="7"/>
  <c r="P47" i="7"/>
  <c r="R47" i="7" s="1"/>
  <c r="V46" i="7"/>
  <c r="P46" i="7"/>
  <c r="Q46" i="7" s="1"/>
  <c r="V45" i="7"/>
  <c r="P45" i="7"/>
  <c r="Q45" i="7" s="1"/>
  <c r="V43" i="7"/>
  <c r="P43" i="7"/>
  <c r="R43" i="7" s="1"/>
  <c r="V42" i="7"/>
  <c r="P42" i="7"/>
  <c r="R42" i="7" s="1"/>
  <c r="V41" i="7"/>
  <c r="P41" i="7"/>
  <c r="R41" i="7" s="1"/>
  <c r="V39" i="7"/>
  <c r="P39" i="7"/>
  <c r="Q39" i="7" s="1"/>
  <c r="V38" i="7"/>
  <c r="P38" i="7"/>
  <c r="R38" i="7" s="1"/>
  <c r="V37" i="7"/>
  <c r="P37" i="7"/>
  <c r="R37" i="7" s="1"/>
  <c r="V35" i="7"/>
  <c r="P35" i="7"/>
  <c r="R35" i="7" s="1"/>
  <c r="V33" i="7"/>
  <c r="P33" i="7"/>
  <c r="R33" i="7" s="1"/>
  <c r="V31" i="7"/>
  <c r="P31" i="7"/>
  <c r="R31" i="7" s="1"/>
  <c r="V30" i="7"/>
  <c r="P30" i="7"/>
  <c r="Q30" i="7" s="1"/>
  <c r="V28" i="7"/>
  <c r="P28" i="7"/>
  <c r="R28" i="7" s="1"/>
  <c r="V27" i="7"/>
  <c r="P27" i="7"/>
  <c r="R27" i="7" s="1"/>
  <c r="J95" i="6"/>
  <c r="J94" i="6"/>
  <c r="J93" i="6"/>
  <c r="J92" i="6"/>
  <c r="B62" i="6"/>
  <c r="A62" i="6"/>
  <c r="J43" i="6"/>
  <c r="J42" i="6"/>
  <c r="J41" i="6"/>
  <c r="J40" i="6"/>
  <c r="J39" i="6"/>
  <c r="J38" i="6"/>
  <c r="J37" i="6"/>
  <c r="J36" i="6"/>
  <c r="J35" i="6"/>
  <c r="J34" i="6"/>
  <c r="J33" i="6"/>
  <c r="J32" i="6"/>
  <c r="J31" i="6"/>
  <c r="J30" i="6"/>
  <c r="B17" i="6"/>
  <c r="T95" i="5"/>
  <c r="N95" i="5"/>
  <c r="P95" i="5" s="1"/>
  <c r="T94" i="5"/>
  <c r="N94" i="5"/>
  <c r="O94" i="5" s="1"/>
  <c r="T72" i="5"/>
  <c r="N72" i="5"/>
  <c r="P72" i="5" s="1"/>
  <c r="T71" i="5"/>
  <c r="N71" i="5"/>
  <c r="P71" i="5" s="1"/>
  <c r="T70" i="5"/>
  <c r="N70" i="5"/>
  <c r="P70" i="5" s="1"/>
  <c r="T69" i="5"/>
  <c r="N69" i="5"/>
  <c r="P69" i="5" s="1"/>
  <c r="T68" i="5"/>
  <c r="N68" i="5"/>
  <c r="P68" i="5" s="1"/>
  <c r="T67" i="5"/>
  <c r="N67" i="5"/>
  <c r="P67" i="5" s="1"/>
  <c r="T66" i="5"/>
  <c r="N66" i="5"/>
  <c r="O66" i="5" s="1"/>
  <c r="T65" i="5"/>
  <c r="N65" i="5"/>
  <c r="P65" i="5" s="1"/>
  <c r="T64" i="5"/>
  <c r="N64" i="5"/>
  <c r="O64" i="5" s="1"/>
  <c r="T63" i="5"/>
  <c r="N63" i="5"/>
  <c r="P63" i="5" s="1"/>
  <c r="T61" i="5"/>
  <c r="N61" i="5"/>
  <c r="P61" i="5" s="1"/>
  <c r="T60" i="5"/>
  <c r="N60" i="5"/>
  <c r="O60" i="5" s="1"/>
  <c r="T59" i="5"/>
  <c r="N59" i="5"/>
  <c r="O59" i="5" s="1"/>
  <c r="T58" i="5"/>
  <c r="N58" i="5"/>
  <c r="P58" i="5" s="1"/>
  <c r="T57" i="5"/>
  <c r="N57" i="5"/>
  <c r="P57" i="5" s="1"/>
  <c r="T56" i="5"/>
  <c r="N56" i="5"/>
  <c r="O56" i="5" s="1"/>
  <c r="T55" i="5"/>
  <c r="N55" i="5"/>
  <c r="P55" i="5" s="1"/>
  <c r="T54" i="5"/>
  <c r="N54" i="5"/>
  <c r="P54" i="5" s="1"/>
  <c r="T53" i="5"/>
  <c r="N53" i="5"/>
  <c r="P53" i="5" s="1"/>
  <c r="T52" i="5"/>
  <c r="N52" i="5"/>
  <c r="O52" i="5" s="1"/>
  <c r="T51" i="5"/>
  <c r="N51" i="5"/>
  <c r="P51" i="5" s="1"/>
  <c r="T50" i="5"/>
  <c r="N50" i="5"/>
  <c r="O50" i="5" s="1"/>
  <c r="T49" i="5"/>
  <c r="N49" i="5"/>
  <c r="P49" i="5" s="1"/>
  <c r="T48" i="5"/>
  <c r="N48" i="5"/>
  <c r="O48" i="5" s="1"/>
  <c r="T47" i="5"/>
  <c r="N47" i="5"/>
  <c r="P47" i="5" s="1"/>
  <c r="T46" i="5"/>
  <c r="N46" i="5"/>
  <c r="P46" i="5" s="1"/>
  <c r="T45" i="5"/>
  <c r="N45" i="5"/>
  <c r="P45" i="5" s="1"/>
  <c r="T44" i="5"/>
  <c r="N44" i="5"/>
  <c r="O44" i="5" s="1"/>
  <c r="T43" i="5"/>
  <c r="N43" i="5"/>
  <c r="P43" i="5" s="1"/>
  <c r="T42" i="5"/>
  <c r="N42" i="5"/>
  <c r="P42" i="5" s="1"/>
  <c r="T41" i="5"/>
  <c r="N41" i="5"/>
  <c r="P41" i="5" s="1"/>
  <c r="T40" i="5"/>
  <c r="N40" i="5"/>
  <c r="O40" i="5" s="1"/>
  <c r="T39" i="5"/>
  <c r="N39" i="5"/>
  <c r="P39" i="5" s="1"/>
  <c r="T38" i="5"/>
  <c r="N38" i="5"/>
  <c r="O38" i="5" s="1"/>
  <c r="T37" i="5"/>
  <c r="N37" i="5"/>
  <c r="P37" i="5" s="1"/>
  <c r="T36" i="5"/>
  <c r="N36" i="5"/>
  <c r="O36" i="5" s="1"/>
  <c r="T35" i="5"/>
  <c r="N35" i="5"/>
  <c r="O35" i="5" s="1"/>
  <c r="T34" i="5"/>
  <c r="N34" i="5"/>
  <c r="P34" i="5" s="1"/>
  <c r="T33" i="5"/>
  <c r="N33" i="5"/>
  <c r="P33" i="5" s="1"/>
  <c r="T32" i="5"/>
  <c r="N32" i="5"/>
  <c r="O32" i="5" s="1"/>
  <c r="T31" i="5"/>
  <c r="N31" i="5"/>
  <c r="O31" i="5" s="1"/>
  <c r="T30" i="5"/>
  <c r="N30" i="5"/>
  <c r="P30" i="5" s="1"/>
  <c r="P56" i="5" l="1"/>
  <c r="O55" i="5"/>
  <c r="O63" i="5"/>
  <c r="R39" i="7"/>
  <c r="Q34" i="7"/>
  <c r="P94" i="5"/>
  <c r="O72" i="5"/>
  <c r="O71" i="5"/>
  <c r="P64" i="5"/>
  <c r="P31" i="5"/>
  <c r="Q47" i="7"/>
  <c r="Q38" i="7"/>
  <c r="R46" i="7"/>
  <c r="Q43" i="7"/>
  <c r="R45" i="7"/>
  <c r="Q42" i="7"/>
  <c r="Q37" i="7"/>
  <c r="Q35" i="7"/>
  <c r="Q41" i="7"/>
  <c r="Q33" i="7"/>
  <c r="Q31" i="7"/>
  <c r="Q28" i="7"/>
  <c r="R30" i="7"/>
  <c r="Q27" i="7"/>
  <c r="O67" i="5"/>
  <c r="O68" i="5"/>
  <c r="O95" i="5"/>
  <c r="P59" i="5"/>
  <c r="O70" i="5"/>
  <c r="O69" i="5"/>
  <c r="O65" i="5"/>
  <c r="P66" i="5"/>
  <c r="O51" i="5"/>
  <c r="P52" i="5"/>
  <c r="P35" i="5"/>
  <c r="P40" i="5"/>
  <c r="O47" i="5"/>
  <c r="P48" i="5"/>
  <c r="P32" i="5"/>
  <c r="O39" i="5"/>
  <c r="P44" i="5"/>
  <c r="P60" i="5"/>
  <c r="O46" i="5"/>
  <c r="O54" i="5"/>
  <c r="O58" i="5"/>
  <c r="O45" i="5"/>
  <c r="O49" i="5"/>
  <c r="P50" i="5"/>
  <c r="O53" i="5"/>
  <c r="O57" i="5"/>
  <c r="O61" i="5"/>
  <c r="O43" i="5"/>
  <c r="P36" i="5"/>
  <c r="O30" i="5"/>
  <c r="O34" i="5"/>
  <c r="O42" i="5"/>
  <c r="O33" i="5"/>
  <c r="O37" i="5"/>
  <c r="P38" i="5"/>
  <c r="O41" i="5"/>
  <c r="J87" i="6" l="1"/>
  <c r="J86" i="6"/>
  <c r="J85" i="6"/>
  <c r="J84" i="6"/>
  <c r="J83" i="6"/>
  <c r="J82" i="6"/>
  <c r="J81" i="6"/>
  <c r="J80" i="6"/>
  <c r="J79" i="6"/>
  <c r="J78" i="6"/>
  <c r="J77" i="6"/>
  <c r="J76" i="6"/>
  <c r="J75" i="6"/>
  <c r="J74" i="6"/>
  <c r="J73" i="6"/>
  <c r="J72" i="6"/>
  <c r="J71" i="6"/>
  <c r="J70" i="6"/>
  <c r="J69" i="6"/>
  <c r="J68" i="6"/>
  <c r="J67" i="6"/>
  <c r="J66" i="6"/>
  <c r="J65" i="6"/>
  <c r="J64" i="6"/>
  <c r="J63" i="6"/>
  <c r="T93" i="5" l="1"/>
  <c r="N93" i="5"/>
  <c r="P93" i="5" s="1"/>
  <c r="T92" i="5"/>
  <c r="N92" i="5"/>
  <c r="P92" i="5" s="1"/>
  <c r="T91" i="5"/>
  <c r="N91" i="5"/>
  <c r="P91" i="5" s="1"/>
  <c r="T90" i="5"/>
  <c r="N90" i="5"/>
  <c r="P90" i="5" s="1"/>
  <c r="T89" i="5"/>
  <c r="N89" i="5"/>
  <c r="P89" i="5" s="1"/>
  <c r="T88" i="5"/>
  <c r="N88" i="5"/>
  <c r="P88" i="5" s="1"/>
  <c r="O92" i="5" l="1"/>
  <c r="O93" i="5"/>
  <c r="O91" i="5"/>
  <c r="O88" i="5"/>
  <c r="O89" i="5"/>
  <c r="O90" i="5"/>
  <c r="A17" i="7" l="1"/>
  <c r="A17" i="6"/>
  <c r="V48" i="7" l="1"/>
  <c r="Q48" i="7"/>
  <c r="R48" i="7" l="1"/>
  <c r="V19" i="7"/>
  <c r="V20" i="7"/>
  <c r="V21" i="7"/>
  <c r="V22" i="7"/>
  <c r="V23" i="7"/>
  <c r="V24" i="7"/>
  <c r="V26" i="7"/>
  <c r="V18" i="7"/>
  <c r="T19" i="5"/>
  <c r="T20" i="5"/>
  <c r="T21" i="5"/>
  <c r="T22" i="5"/>
  <c r="T23" i="5"/>
  <c r="T24" i="5"/>
  <c r="T25" i="5"/>
  <c r="T26" i="5"/>
  <c r="T27" i="5"/>
  <c r="T28" i="5"/>
  <c r="T29" i="5"/>
  <c r="T73" i="5"/>
  <c r="T74" i="5"/>
  <c r="T75" i="5"/>
  <c r="T76" i="5"/>
  <c r="T77" i="5"/>
  <c r="T78" i="5"/>
  <c r="T79" i="5"/>
  <c r="T80" i="5"/>
  <c r="T81" i="5"/>
  <c r="T82" i="5"/>
  <c r="T83" i="5"/>
  <c r="T84" i="5"/>
  <c r="T85" i="5"/>
  <c r="T86" i="5"/>
  <c r="T87" i="5"/>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5" i="20" s="1"/>
  <c r="H7" i="20" s="1"/>
  <c r="H4" i="20"/>
  <c r="H6" i="20"/>
  <c r="B14" i="20"/>
  <c r="B15" i="20"/>
  <c r="E15" i="20"/>
  <c r="G15" i="20"/>
  <c r="E16" i="20"/>
  <c r="K29" i="20"/>
  <c r="Z1" i="19"/>
  <c r="Z2" i="19"/>
  <c r="B6" i="19"/>
  <c r="AG6" i="19" s="1"/>
  <c r="A9" i="19"/>
  <c r="A10" i="19"/>
  <c r="A11" i="19"/>
  <c r="A12" i="19"/>
  <c r="A13" i="19"/>
  <c r="H25" i="19"/>
  <c r="A48" i="19" s="1"/>
  <c r="F43" i="19"/>
  <c r="A59"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8" i="7"/>
  <c r="P19" i="7"/>
  <c r="Q19" i="7" s="1"/>
  <c r="P20" i="7"/>
  <c r="Q20" i="7" s="1"/>
  <c r="P21" i="7"/>
  <c r="Q21" i="7" s="1"/>
  <c r="P22" i="7"/>
  <c r="Q22" i="7" s="1"/>
  <c r="P23" i="7"/>
  <c r="Q23" i="7" s="1"/>
  <c r="P24" i="7"/>
  <c r="R24" i="7" s="1"/>
  <c r="P26" i="7"/>
  <c r="Q26" i="7" s="1"/>
  <c r="A1" i="6"/>
  <c r="C9" i="6"/>
  <c r="C10" i="6"/>
  <c r="C11" i="6"/>
  <c r="C12" i="6"/>
  <c r="J18" i="6"/>
  <c r="J19" i="6"/>
  <c r="J20" i="6"/>
  <c r="J21" i="6"/>
  <c r="J22" i="6"/>
  <c r="J23" i="6"/>
  <c r="J24" i="6"/>
  <c r="J25" i="6"/>
  <c r="J26" i="6"/>
  <c r="J27" i="6"/>
  <c r="J28" i="6"/>
  <c r="J29" i="6"/>
  <c r="J44" i="6"/>
  <c r="J45" i="6"/>
  <c r="J46" i="6"/>
  <c r="J47" i="6"/>
  <c r="J48" i="6"/>
  <c r="J49" i="6"/>
  <c r="J50" i="6"/>
  <c r="J51" i="6"/>
  <c r="J52" i="6"/>
  <c r="J53" i="6"/>
  <c r="J54" i="6"/>
  <c r="J55" i="6"/>
  <c r="J56" i="6"/>
  <c r="J57" i="6"/>
  <c r="J58" i="6"/>
  <c r="J59" i="6"/>
  <c r="J60" i="6"/>
  <c r="J61" i="6"/>
  <c r="J88" i="6"/>
  <c r="J89" i="6"/>
  <c r="J90" i="6"/>
  <c r="J91" i="6"/>
  <c r="A1" i="5"/>
  <c r="Z8" i="5"/>
  <c r="C9" i="5"/>
  <c r="B8" i="12" s="1"/>
  <c r="Z9" i="5"/>
  <c r="C10" i="5"/>
  <c r="C10" i="14" s="1"/>
  <c r="C11" i="5"/>
  <c r="B10" i="12" s="1"/>
  <c r="C12" i="5"/>
  <c r="B11" i="12" s="1"/>
  <c r="IV16" i="5"/>
  <c r="N18" i="5"/>
  <c r="N19" i="5"/>
  <c r="P19" i="5" s="1"/>
  <c r="N20" i="5"/>
  <c r="O20" i="5" s="1"/>
  <c r="N21" i="5"/>
  <c r="O21" i="5" s="1"/>
  <c r="N22" i="5"/>
  <c r="O22" i="5" s="1"/>
  <c r="N23" i="5"/>
  <c r="P23" i="5" s="1"/>
  <c r="N24" i="5"/>
  <c r="P24" i="5" s="1"/>
  <c r="N25" i="5"/>
  <c r="O25" i="5" s="1"/>
  <c r="N26" i="5"/>
  <c r="O26" i="5" s="1"/>
  <c r="N27" i="5"/>
  <c r="P27" i="5" s="1"/>
  <c r="N28" i="5"/>
  <c r="O28" i="5" s="1"/>
  <c r="N29" i="5"/>
  <c r="O29" i="5" s="1"/>
  <c r="N73" i="5"/>
  <c r="O73" i="5" s="1"/>
  <c r="N74" i="5"/>
  <c r="O74" i="5" s="1"/>
  <c r="N75" i="5"/>
  <c r="O75" i="5" s="1"/>
  <c r="N76" i="5"/>
  <c r="P76" i="5" s="1"/>
  <c r="N77" i="5"/>
  <c r="P77" i="5" s="1"/>
  <c r="N78" i="5"/>
  <c r="O78" i="5" s="1"/>
  <c r="N79" i="5"/>
  <c r="O79" i="5" s="1"/>
  <c r="N80" i="5"/>
  <c r="P80" i="5" s="1"/>
  <c r="N81" i="5"/>
  <c r="O81" i="5" s="1"/>
  <c r="N82" i="5"/>
  <c r="O82" i="5" s="1"/>
  <c r="N83" i="5"/>
  <c r="P83" i="5" s="1"/>
  <c r="N84" i="5"/>
  <c r="O84" i="5" s="1"/>
  <c r="N85" i="5"/>
  <c r="P85" i="5" s="1"/>
  <c r="N86" i="5"/>
  <c r="P86" i="5" s="1"/>
  <c r="N87" i="5"/>
  <c r="O87" i="5" s="1"/>
  <c r="N98" i="5"/>
  <c r="C102" i="5"/>
  <c r="C100" i="6" s="1"/>
  <c r="K102" i="5"/>
  <c r="O54" i="7" s="1"/>
  <c r="N22" i="8" s="1"/>
  <c r="C103" i="5"/>
  <c r="C55" i="7" s="1"/>
  <c r="C22" i="8" s="1"/>
  <c r="K103" i="5"/>
  <c r="O55" i="7" s="1"/>
  <c r="N23" i="8" s="1"/>
  <c r="J6" i="4"/>
  <c r="Z7" i="5" s="1"/>
  <c r="Z6" i="4"/>
  <c r="A7" i="4"/>
  <c r="A9" i="4"/>
  <c r="A8" i="6" s="1"/>
  <c r="A10" i="4"/>
  <c r="G22" i="4"/>
  <c r="F22" i="4" s="1"/>
  <c r="B2" i="2"/>
  <c r="A3" i="13" s="1"/>
  <c r="B3" i="2"/>
  <c r="A1" i="7" s="1"/>
  <c r="V49" i="7" l="1"/>
  <c r="Q18" i="7"/>
  <c r="P49" i="7"/>
  <c r="J8" i="15" s="1"/>
  <c r="J26" i="15" s="1"/>
  <c r="J97" i="6"/>
  <c r="J7" i="15" s="1"/>
  <c r="I25" i="15" s="1"/>
  <c r="O18" i="5"/>
  <c r="N97" i="5"/>
  <c r="T97" i="5"/>
  <c r="B9" i="12"/>
  <c r="Z10" i="5"/>
  <c r="A3" i="10"/>
  <c r="A3" i="12"/>
  <c r="R20" i="7"/>
  <c r="P74" i="5"/>
  <c r="P26" i="5"/>
  <c r="R22" i="7"/>
  <c r="R21" i="7"/>
  <c r="O19" i="5"/>
  <c r="O23" i="5"/>
  <c r="C12" i="14"/>
  <c r="P20" i="5"/>
  <c r="O85" i="5"/>
  <c r="O27" i="5"/>
  <c r="P75" i="5"/>
  <c r="P73" i="5"/>
  <c r="I101" i="6"/>
  <c r="O80" i="5"/>
  <c r="A8" i="8"/>
  <c r="A8" i="10"/>
  <c r="A3" i="7"/>
  <c r="A3" i="8"/>
  <c r="C12" i="15"/>
  <c r="A3" i="6"/>
  <c r="P29" i="5"/>
  <c r="P21" i="5"/>
  <c r="E16" i="17"/>
  <c r="F16" i="18"/>
  <c r="C11" i="14"/>
  <c r="O76" i="5"/>
  <c r="P25" i="5"/>
  <c r="P79" i="5"/>
  <c r="R18" i="7"/>
  <c r="A7" i="5"/>
  <c r="A7" i="9" s="1"/>
  <c r="E16" i="16"/>
  <c r="A8" i="11"/>
  <c r="A8" i="13"/>
  <c r="A3" i="9"/>
  <c r="A3" i="11"/>
  <c r="A3" i="5"/>
  <c r="A1" i="13"/>
  <c r="C15" i="19"/>
  <c r="A1" i="4"/>
  <c r="A3" i="14"/>
  <c r="A64" i="14" s="1"/>
  <c r="A1" i="11"/>
  <c r="A2" i="15"/>
  <c r="C22" i="14"/>
  <c r="C40" i="15" s="1"/>
  <c r="B46" i="19" s="1"/>
  <c r="B32" i="13"/>
  <c r="C9" i="14"/>
  <c r="R19" i="7"/>
  <c r="A2" i="4"/>
  <c r="A1" i="10"/>
  <c r="A1" i="14"/>
  <c r="A62" i="14" s="1"/>
  <c r="A8" i="7"/>
  <c r="I100" i="6"/>
  <c r="A8" i="9"/>
  <c r="P81" i="5"/>
  <c r="A1" i="9"/>
  <c r="A1" i="12"/>
  <c r="AG7" i="19"/>
  <c r="AG8" i="19" s="1"/>
  <c r="C54" i="7"/>
  <c r="C21" i="8" s="1"/>
  <c r="A1" i="19"/>
  <c r="C101" i="6"/>
  <c r="O24" i="5"/>
  <c r="P18" i="5"/>
  <c r="A1" i="8"/>
  <c r="A8" i="5"/>
  <c r="AG9" i="19"/>
  <c r="O83" i="5"/>
  <c r="R26" i="7"/>
  <c r="Q24" i="7"/>
  <c r="R23" i="7"/>
  <c r="O86" i="5"/>
  <c r="P87" i="5"/>
  <c r="P84" i="5"/>
  <c r="P82" i="5"/>
  <c r="P78" i="5"/>
  <c r="O77" i="5"/>
  <c r="P28" i="5"/>
  <c r="P22" i="5"/>
  <c r="R49" i="7" l="1"/>
  <c r="D17" i="9" s="1"/>
  <c r="P97" i="5"/>
  <c r="D15" i="9" s="1"/>
  <c r="A7" i="11"/>
  <c r="A7" i="10"/>
  <c r="B7" i="14"/>
  <c r="A7" i="8"/>
  <c r="A7" i="13"/>
  <c r="A7" i="6"/>
  <c r="A7" i="7"/>
  <c r="B40" i="19"/>
  <c r="B8" i="14"/>
  <c r="A7" i="12"/>
  <c r="I16" i="15"/>
  <c r="D17" i="11"/>
  <c r="E17" i="13" s="1"/>
  <c r="D19" i="11"/>
  <c r="E19" i="13" s="1"/>
  <c r="J16" i="15"/>
  <c r="P59" i="7"/>
  <c r="N99" i="5"/>
  <c r="J6" i="15"/>
  <c r="D15" i="11"/>
  <c r="E15" i="13" s="1"/>
  <c r="D19" i="9" l="1"/>
  <c r="D23" i="11" s="1"/>
  <c r="D28" i="11" s="1"/>
  <c r="H16" i="15"/>
  <c r="J9" i="15"/>
  <c r="J15" i="15" s="1"/>
  <c r="H24" i="15"/>
  <c r="J31" i="15" l="1"/>
  <c r="J32" i="15" s="1"/>
  <c r="J35" i="15"/>
  <c r="J36" i="15" s="1"/>
  <c r="H15" i="15"/>
  <c r="H31" i="15" s="1"/>
  <c r="H32" i="15" s="1"/>
  <c r="I15" i="15"/>
  <c r="S44" i="7" l="1"/>
  <c r="T44" i="7" s="1"/>
  <c r="U44" i="7" s="1"/>
  <c r="S36" i="7"/>
  <c r="T36" i="7" s="1"/>
  <c r="U36" i="7" s="1"/>
  <c r="S40" i="7"/>
  <c r="T40" i="7" s="1"/>
  <c r="U40" i="7" s="1"/>
  <c r="S29" i="7"/>
  <c r="T29" i="7" s="1"/>
  <c r="U29" i="7" s="1"/>
  <c r="S34" i="7"/>
  <c r="T34" i="7" s="1"/>
  <c r="U34" i="7" s="1"/>
  <c r="S25" i="7"/>
  <c r="T25" i="7" s="1"/>
  <c r="U25" i="7" s="1"/>
  <c r="S46" i="7"/>
  <c r="T46" i="7" s="1"/>
  <c r="U46" i="7" s="1"/>
  <c r="S47" i="7"/>
  <c r="T47" i="7" s="1"/>
  <c r="U47" i="7" s="1"/>
  <c r="S42" i="7"/>
  <c r="T42" i="7" s="1"/>
  <c r="U42" i="7" s="1"/>
  <c r="S43" i="7"/>
  <c r="T43" i="7" s="1"/>
  <c r="U43" i="7" s="1"/>
  <c r="S45" i="7"/>
  <c r="T45" i="7" s="1"/>
  <c r="U45" i="7" s="1"/>
  <c r="S38" i="7"/>
  <c r="T38" i="7" s="1"/>
  <c r="U38" i="7" s="1"/>
  <c r="S39" i="7"/>
  <c r="T39" i="7" s="1"/>
  <c r="U39" i="7" s="1"/>
  <c r="S41" i="7"/>
  <c r="T41" i="7" s="1"/>
  <c r="U41" i="7" s="1"/>
  <c r="S33" i="7"/>
  <c r="T33" i="7" s="1"/>
  <c r="U33" i="7" s="1"/>
  <c r="S35" i="7"/>
  <c r="T35" i="7" s="1"/>
  <c r="U35" i="7" s="1"/>
  <c r="S37" i="7"/>
  <c r="T37" i="7" s="1"/>
  <c r="U37" i="7" s="1"/>
  <c r="S31" i="7"/>
  <c r="T31" i="7" s="1"/>
  <c r="U31" i="7" s="1"/>
  <c r="S27" i="7"/>
  <c r="T27" i="7" s="1"/>
  <c r="U27" i="7" s="1"/>
  <c r="S28" i="7"/>
  <c r="T28" i="7" s="1"/>
  <c r="U28" i="7" s="1"/>
  <c r="S30" i="7"/>
  <c r="T30" i="7" s="1"/>
  <c r="U30" i="7" s="1"/>
  <c r="S48" i="7"/>
  <c r="T48" i="7" s="1"/>
  <c r="U48" i="7" s="1"/>
  <c r="F19" i="13"/>
  <c r="D19" i="13" s="1"/>
  <c r="S20" i="7"/>
  <c r="T20" i="7" s="1"/>
  <c r="U20" i="7" s="1"/>
  <c r="S19" i="7"/>
  <c r="T19" i="7" s="1"/>
  <c r="U19" i="7" s="1"/>
  <c r="S22" i="7"/>
  <c r="T22" i="7" s="1"/>
  <c r="U22" i="7" s="1"/>
  <c r="S23" i="7"/>
  <c r="T23" i="7" s="1"/>
  <c r="U23" i="7" s="1"/>
  <c r="S24" i="7"/>
  <c r="T24" i="7" s="1"/>
  <c r="U24" i="7" s="1"/>
  <c r="S18" i="7"/>
  <c r="T18" i="7" s="1"/>
  <c r="U18" i="7" s="1"/>
  <c r="S21" i="7"/>
  <c r="T21" i="7" s="1"/>
  <c r="U21" i="7" s="1"/>
  <c r="S26" i="7"/>
  <c r="T26" i="7" s="1"/>
  <c r="U26" i="7" s="1"/>
  <c r="I35" i="15"/>
  <c r="I36" i="15" s="1"/>
  <c r="F17" i="13" s="1"/>
  <c r="D17" i="13" s="1"/>
  <c r="I31" i="15"/>
  <c r="I32" i="15" s="1"/>
  <c r="H35" i="15"/>
  <c r="H36" i="15" s="1"/>
  <c r="Q95" i="5" l="1"/>
  <c r="R95" i="5" s="1"/>
  <c r="S95" i="5" s="1"/>
  <c r="Q94" i="5"/>
  <c r="R94" i="5" s="1"/>
  <c r="S94" i="5" s="1"/>
  <c r="Q69" i="5"/>
  <c r="R69" i="5" s="1"/>
  <c r="S69" i="5" s="1"/>
  <c r="Q68" i="5"/>
  <c r="R68" i="5" s="1"/>
  <c r="S68" i="5" s="1"/>
  <c r="Q70" i="5"/>
  <c r="R70" i="5" s="1"/>
  <c r="S70" i="5" s="1"/>
  <c r="Q71" i="5"/>
  <c r="R71" i="5" s="1"/>
  <c r="S71" i="5" s="1"/>
  <c r="Q72" i="5"/>
  <c r="R72" i="5" s="1"/>
  <c r="S72" i="5" s="1"/>
  <c r="Q66" i="5"/>
  <c r="R66" i="5" s="1"/>
  <c r="S66" i="5" s="1"/>
  <c r="Q67" i="5"/>
  <c r="R67" i="5" s="1"/>
  <c r="S67" i="5" s="1"/>
  <c r="Q63" i="5"/>
  <c r="R63" i="5" s="1"/>
  <c r="S63" i="5" s="1"/>
  <c r="Q64" i="5"/>
  <c r="R64" i="5" s="1"/>
  <c r="S64" i="5" s="1"/>
  <c r="Q65" i="5"/>
  <c r="R65" i="5" s="1"/>
  <c r="S65" i="5" s="1"/>
  <c r="Q60" i="5"/>
  <c r="R60" i="5" s="1"/>
  <c r="S60" i="5" s="1"/>
  <c r="Q48" i="5"/>
  <c r="R48" i="5" s="1"/>
  <c r="S48" i="5" s="1"/>
  <c r="Q44" i="5"/>
  <c r="R44" i="5" s="1"/>
  <c r="S44" i="5" s="1"/>
  <c r="Q61" i="5"/>
  <c r="R61" i="5" s="1"/>
  <c r="S61" i="5" s="1"/>
  <c r="Q57" i="5"/>
  <c r="R57" i="5" s="1"/>
  <c r="S57" i="5" s="1"/>
  <c r="Q45" i="5"/>
  <c r="R45" i="5" s="1"/>
  <c r="S45" i="5" s="1"/>
  <c r="Q58" i="5"/>
  <c r="R58" i="5" s="1"/>
  <c r="S58" i="5" s="1"/>
  <c r="Q54" i="5"/>
  <c r="R54" i="5" s="1"/>
  <c r="S54" i="5" s="1"/>
  <c r="Q50" i="5"/>
  <c r="R50" i="5" s="1"/>
  <c r="S50" i="5" s="1"/>
  <c r="Q46" i="5"/>
  <c r="R46" i="5" s="1"/>
  <c r="S46" i="5" s="1"/>
  <c r="Q59" i="5"/>
  <c r="R59" i="5" s="1"/>
  <c r="S59" i="5" s="1"/>
  <c r="Q55" i="5"/>
  <c r="R55" i="5" s="1"/>
  <c r="S55" i="5" s="1"/>
  <c r="Q51" i="5"/>
  <c r="R51" i="5" s="1"/>
  <c r="S51" i="5" s="1"/>
  <c r="Q47" i="5"/>
  <c r="R47" i="5" s="1"/>
  <c r="S47" i="5" s="1"/>
  <c r="Q56" i="5"/>
  <c r="R56" i="5" s="1"/>
  <c r="S56" i="5" s="1"/>
  <c r="Q52" i="5"/>
  <c r="R52" i="5" s="1"/>
  <c r="S52" i="5" s="1"/>
  <c r="Q53" i="5"/>
  <c r="R53" i="5" s="1"/>
  <c r="S53" i="5" s="1"/>
  <c r="Q49" i="5"/>
  <c r="R49" i="5" s="1"/>
  <c r="S49" i="5" s="1"/>
  <c r="Q36" i="5"/>
  <c r="R36" i="5" s="1"/>
  <c r="S36" i="5" s="1"/>
  <c r="Q42" i="5"/>
  <c r="R42" i="5" s="1"/>
  <c r="S42" i="5" s="1"/>
  <c r="Q38" i="5"/>
  <c r="R38" i="5" s="1"/>
  <c r="S38" i="5" s="1"/>
  <c r="Q34" i="5"/>
  <c r="R34" i="5" s="1"/>
  <c r="S34" i="5" s="1"/>
  <c r="Q30" i="5"/>
  <c r="R30" i="5" s="1"/>
  <c r="S30" i="5" s="1"/>
  <c r="Q43" i="5"/>
  <c r="R43" i="5" s="1"/>
  <c r="S43" i="5" s="1"/>
  <c r="Q39" i="5"/>
  <c r="R39" i="5" s="1"/>
  <c r="S39" i="5" s="1"/>
  <c r="Q35" i="5"/>
  <c r="R35" i="5" s="1"/>
  <c r="S35" i="5" s="1"/>
  <c r="Q31" i="5"/>
  <c r="R31" i="5" s="1"/>
  <c r="S31" i="5" s="1"/>
  <c r="Q40" i="5"/>
  <c r="R40" i="5" s="1"/>
  <c r="S40" i="5" s="1"/>
  <c r="Q32" i="5"/>
  <c r="R32" i="5" s="1"/>
  <c r="S32" i="5" s="1"/>
  <c r="Q41" i="5"/>
  <c r="R41" i="5" s="1"/>
  <c r="S41" i="5" s="1"/>
  <c r="Q37" i="5"/>
  <c r="R37" i="5" s="1"/>
  <c r="S37" i="5" s="1"/>
  <c r="Q33" i="5"/>
  <c r="R33" i="5" s="1"/>
  <c r="S33" i="5" s="1"/>
  <c r="Q90" i="5"/>
  <c r="R90" i="5" s="1"/>
  <c r="S90" i="5" s="1"/>
  <c r="Q93" i="5"/>
  <c r="R93" i="5" s="1"/>
  <c r="S93" i="5" s="1"/>
  <c r="Q91" i="5"/>
  <c r="R91" i="5" s="1"/>
  <c r="S91" i="5" s="1"/>
  <c r="Q92" i="5"/>
  <c r="R92" i="5" s="1"/>
  <c r="S92" i="5" s="1"/>
  <c r="Q88" i="5"/>
  <c r="R88" i="5" s="1"/>
  <c r="S88" i="5" s="1"/>
  <c r="Q89" i="5"/>
  <c r="R89" i="5" s="1"/>
  <c r="S89" i="5" s="1"/>
  <c r="U49" i="7"/>
  <c r="D17" i="10" s="1"/>
  <c r="Q83" i="5"/>
  <c r="R83" i="5" s="1"/>
  <c r="S83" i="5" s="1"/>
  <c r="Q86" i="5"/>
  <c r="R86" i="5" s="1"/>
  <c r="S86" i="5" s="1"/>
  <c r="Q23" i="5"/>
  <c r="R23" i="5" s="1"/>
  <c r="S23" i="5" s="1"/>
  <c r="F15" i="13"/>
  <c r="D15" i="13" s="1"/>
  <c r="Q26" i="5"/>
  <c r="R26" i="5" s="1"/>
  <c r="S26" i="5" s="1"/>
  <c r="Q85" i="5"/>
  <c r="R85" i="5" s="1"/>
  <c r="S85" i="5" s="1"/>
  <c r="Q76" i="5"/>
  <c r="R76" i="5" s="1"/>
  <c r="S76" i="5" s="1"/>
  <c r="Q24" i="5"/>
  <c r="R24" i="5" s="1"/>
  <c r="S24" i="5" s="1"/>
  <c r="Q22" i="5"/>
  <c r="R22" i="5" s="1"/>
  <c r="S22" i="5" s="1"/>
  <c r="Q25" i="5"/>
  <c r="R25" i="5" s="1"/>
  <c r="S25" i="5" s="1"/>
  <c r="Q20" i="5"/>
  <c r="R20" i="5" s="1"/>
  <c r="S20" i="5" s="1"/>
  <c r="Q19" i="5"/>
  <c r="R19" i="5" s="1"/>
  <c r="S19" i="5" s="1"/>
  <c r="Q18" i="5"/>
  <c r="R18" i="5" s="1"/>
  <c r="Q82" i="5"/>
  <c r="R82" i="5" s="1"/>
  <c r="S82" i="5" s="1"/>
  <c r="Q84" i="5"/>
  <c r="R84" i="5" s="1"/>
  <c r="S84" i="5" s="1"/>
  <c r="Q29" i="5"/>
  <c r="R29" i="5" s="1"/>
  <c r="S29" i="5" s="1"/>
  <c r="Q78" i="5"/>
  <c r="R78" i="5" s="1"/>
  <c r="S78" i="5" s="1"/>
  <c r="Q28" i="5"/>
  <c r="R28" i="5" s="1"/>
  <c r="S28" i="5" s="1"/>
  <c r="Q80" i="5"/>
  <c r="R80" i="5" s="1"/>
  <c r="S80" i="5" s="1"/>
  <c r="Q74" i="5"/>
  <c r="R74" i="5" s="1"/>
  <c r="S74" i="5" s="1"/>
  <c r="Q79" i="5"/>
  <c r="R79" i="5" s="1"/>
  <c r="S79" i="5" s="1"/>
  <c r="Q73" i="5"/>
  <c r="R73" i="5" s="1"/>
  <c r="S73" i="5" s="1"/>
  <c r="Q21" i="5"/>
  <c r="R21" i="5" s="1"/>
  <c r="S21" i="5" s="1"/>
  <c r="Q27" i="5"/>
  <c r="R27" i="5" s="1"/>
  <c r="S27" i="5" s="1"/>
  <c r="Q75" i="5"/>
  <c r="R75" i="5" s="1"/>
  <c r="S75" i="5" s="1"/>
  <c r="Q87" i="5"/>
  <c r="R87" i="5" s="1"/>
  <c r="S87" i="5" s="1"/>
  <c r="Q77" i="5"/>
  <c r="R77" i="5" s="1"/>
  <c r="S77" i="5" s="1"/>
  <c r="Q81" i="5"/>
  <c r="R81" i="5" s="1"/>
  <c r="S81" i="5" s="1"/>
  <c r="S18" i="5" l="1"/>
  <c r="S97" i="5" s="1"/>
  <c r="D15" i="10" s="1"/>
  <c r="D19" i="10" s="1"/>
  <c r="D23" i="13" s="1"/>
  <c r="D28" i="13" s="1"/>
  <c r="H18" i="19" s="1"/>
  <c r="R97" i="5"/>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<sst xmlns="http://schemas.openxmlformats.org/spreadsheetml/2006/main" count="1528" uniqueCount="593">
  <si>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</si>
  <si>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</si>
  <si>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</si>
  <si>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</si>
  <si>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</si>
  <si>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</si>
  <si>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</si>
  <si>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</si>
  <si>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</si>
  <si>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</si>
  <si>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</si>
  <si>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</si>
  <si>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</si>
  <si>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</si>
  <si>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</si>
  <si>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</si>
  <si>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</si>
  <si>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</si>
  <si>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</si>
  <si>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</si>
  <si>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</si>
  <si>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</si>
  <si>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</si>
  <si>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</si>
  <si>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</si>
  <si>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</si>
  <si>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</si>
  <si>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</si>
  <si>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</si>
  <si>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</si>
  <si>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</si>
  <si>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</si>
  <si>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</si>
  <si>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</si>
  <si>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</si>
  <si>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</si>
  <si>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</si>
  <si>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</si>
  <si>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</si>
  <si>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</si>
  <si>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</si>
  <si>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</si>
  <si>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</si>
  <si>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</si>
  <si>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</si>
  <si>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</si>
  <si>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</si>
  <si>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</si>
  <si>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</si>
  <si>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</si>
  <si>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</si>
  <si>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</si>
  <si>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</si>
  <si>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</si>
  <si>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</si>
  <si>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</si>
  <si>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</si>
  <si>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</si>
  <si>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</si>
  <si>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</si>
  <si>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</si>
  <si>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</si>
  <si>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</si>
  <si>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</si>
  <si>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</si>
  <si>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</si>
  <si>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</si>
  <si>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</si>
  <si>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</si>
  <si>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</si>
  <si>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</si>
  <si>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</si>
  <si>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</si>
  <si>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</si>
  <si>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</si>
  <si>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</si>
  <si>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</si>
  <si>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</si>
  <si>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</si>
  <si>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</si>
  <si>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</si>
  <si>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</si>
  <si>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</si>
  <si>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</si>
  <si>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</si>
  <si>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</si>
  <si>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</si>
  <si>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</si>
  <si>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</si>
  <si>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</si>
  <si>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</si>
  <si>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</si>
  <si>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</si>
  <si>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</si>
  <si>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</si>
  <si>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</si>
  <si>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</si>
  <si>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</si>
  <si>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</si>
  <si>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</si>
  <si>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</si>
  <si>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</si>
  <si>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</si>
  <si>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</si>
  <si>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</si>
  <si>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</si>
  <si>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</si>
  <si>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</si>
  <si>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</si>
  <si>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</si>
  <si>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</si>
  <si>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</si>
  <si>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</si>
  <si>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</si>
  <si>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</si>
  <si>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</si>
  <si>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</si>
  <si>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</si>
  <si>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</si>
  <si>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</si>
  <si>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</si>
  <si>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</si>
  <si>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</si>
  <si>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</si>
  <si>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</si>
  <si>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</si>
  <si>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</si>
  <si>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</si>
  <si>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</si>
  <si>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</si>
  <si>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</si>
  <si>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</si>
  <si>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</si>
  <si>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</si>
  <si>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</si>
  <si>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</si>
  <si>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</si>
  <si>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</si>
  <si>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</si>
  <si>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</si>
  <si>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</si>
  <si>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</si>
  <si>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</si>
  <si>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</si>
  <si>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</si>
  <si>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</si>
  <si>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</si>
  <si>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</si>
  <si>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</si>
  <si>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</si>
  <si>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</si>
  <si>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</si>
  <si>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</si>
  <si>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</si>
  <si>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</si>
  <si>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</si>
  <si>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</si>
  <si>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</si>
  <si>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</si>
  <si>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</si>
  <si>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</si>
  <si>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</si>
  <si>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</si>
  <si>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</si>
  <si>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</si>
  <si>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</si>
  <si>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</si>
  <si>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</si>
  <si>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</si>
  <si>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</si>
  <si>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</si>
  <si>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</si>
  <si>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</si>
  <si>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</si>
  <si>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</si>
  <si>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</si>
  <si>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</si>
  <si>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</si>
  <si>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</si>
  <si>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</si>
  <si>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</si>
  <si>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</si>
  <si>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</si>
  <si>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</si>
  <si>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</si>
  <si>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</si>
  <si>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</si>
  <si>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</si>
  <si>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</si>
  <si>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</si>
  <si>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</si>
  <si>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</si>
  <si>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</si>
  <si>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</si>
  <si>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</si>
  <si>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</si>
  <si>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</si>
  <si>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</si>
  <si>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</si>
  <si>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</si>
  <si>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</si>
  <si>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</si>
  <si>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</si>
  <si>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</si>
  <si>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</si>
  <si>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</si>
  <si>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</si>
  <si>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</si>
  <si>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</si>
  <si>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</si>
  <si>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</si>
  <si>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</si>
  <si>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</si>
  <si>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</si>
  <si>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</si>
  <si>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</si>
  <si>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</si>
  <si>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</si>
  <si>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</si>
  <si>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</si>
  <si>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</si>
  <si>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</si>
  <si>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</si>
  <si>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</si>
  <si>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</si>
  <si>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</si>
  <si>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</si>
  <si>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</si>
  <si>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</si>
  <si>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</si>
  <si>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</si>
  <si>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</si>
  <si>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</si>
  <si>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</si>
  <si>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</si>
  <si>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</si>
  <si>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</si>
  <si>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</si>
  <si>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Schedule 5</t>
  </si>
  <si>
    <t>Schedule 6</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</si>
  <si>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</si>
  <si>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</si>
  <si>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</si>
  <si>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</si>
  <si>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</si>
  <si>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</si>
  <si>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</si>
  <si>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</si>
  <si>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</si>
  <si>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</si>
  <si>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</si>
  <si>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</si>
  <si>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</si>
  <si>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</si>
  <si>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</si>
  <si>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</si>
  <si>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</si>
  <si>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</si>
  <si>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</si>
  <si>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</si>
  <si>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</si>
  <si>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</si>
  <si>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</si>
  <si>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</si>
  <si>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</si>
  <si>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</si>
  <si>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</si>
  <si>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</si>
  <si>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</si>
  <si>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</si>
  <si>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</si>
  <si>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</si>
  <si>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</si>
  <si>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</si>
  <si>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</si>
  <si>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</si>
  <si>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</si>
  <si>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</si>
  <si>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</si>
  <si>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</si>
  <si>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</si>
  <si>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</si>
  <si>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</si>
  <si>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</si>
  <si>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</si>
  <si>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</si>
  <si>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</si>
  <si>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</si>
  <si>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</si>
  <si>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</si>
  <si>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</si>
  <si>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</si>
  <si>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</si>
  <si>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</si>
  <si>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</si>
  <si>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</si>
  <si>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</si>
  <si>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</si>
  <si>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</si>
  <si>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</si>
  <si>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</si>
  <si>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</si>
  <si>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</si>
  <si>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</si>
  <si>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</si>
  <si>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</si>
  <si>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</si>
  <si>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</si>
  <si>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</si>
  <si>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</si>
  <si>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</si>
  <si>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</si>
  <si>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</si>
  <si>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</si>
  <si>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</si>
  <si>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</si>
  <si>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</si>
  <si>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</si>
  <si>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</si>
  <si>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</si>
  <si>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</si>
  <si>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</si>
  <si>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</si>
  <si>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</si>
  <si>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</si>
  <si>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</si>
  <si>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</si>
  <si>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</si>
  <si>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</si>
  <si>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</si>
  <si>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</si>
  <si>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</si>
  <si>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</si>
  <si>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</si>
  <si>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</si>
  <si>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</si>
  <si>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</si>
  <si>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</si>
  <si>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</si>
  <si>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</si>
  <si>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</si>
  <si>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</si>
  <si>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</si>
  <si>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</si>
  <si>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</si>
  <si>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</si>
  <si>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</si>
  <si>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</si>
  <si>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</si>
  <si>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</si>
  <si>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</si>
  <si>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</si>
  <si>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</si>
  <si>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</si>
  <si>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</si>
  <si>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</si>
  <si>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</si>
  <si>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</si>
  <si>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</si>
  <si>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</si>
  <si>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</si>
  <si>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</si>
  <si>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</si>
  <si>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</si>
  <si>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</si>
  <si>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</si>
  <si>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</si>
  <si>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</si>
  <si>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</si>
  <si>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</si>
  <si>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</si>
  <si>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</si>
  <si>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</si>
  <si>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</si>
  <si>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</si>
  <si>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</si>
  <si>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</si>
  <si>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</si>
  <si>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</si>
  <si>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</si>
  <si>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</si>
  <si>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</si>
  <si>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</si>
  <si>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</si>
  <si>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</si>
  <si>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</si>
  <si>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</si>
  <si>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</si>
  <si>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</si>
  <si>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</si>
  <si>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</si>
  <si>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</si>
  <si>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</si>
  <si>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</si>
  <si>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</si>
  <si>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</si>
  <si>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</si>
  <si>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</si>
  <si>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</si>
  <si>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</si>
  <si>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</si>
  <si>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</si>
  <si>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</si>
  <si>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</si>
  <si>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</si>
  <si>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</si>
  <si>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</si>
  <si>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</si>
  <si>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</si>
  <si>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</si>
  <si>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</si>
  <si>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</si>
  <si>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</si>
  <si>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</si>
  <si>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</si>
  <si>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</si>
  <si>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</si>
  <si>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</si>
  <si>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</si>
  <si>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</si>
  <si>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</si>
  <si>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</si>
  <si>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</si>
  <si>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</si>
  <si>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</si>
  <si>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</si>
  <si>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</si>
  <si>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</si>
  <si>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</si>
  <si>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</si>
  <si>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</si>
  <si>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</si>
  <si>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</si>
  <si>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</si>
  <si>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</si>
  <si>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</si>
  <si>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</si>
  <si>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</si>
  <si>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</si>
  <si>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</si>
  <si>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</si>
  <si>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</si>
  <si>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</si>
  <si>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</si>
  <si>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</si>
  <si>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</si>
  <si>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</si>
  <si>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</si>
  <si>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</si>
  <si>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</si>
  <si>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</si>
  <si>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</si>
  <si>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</si>
  <si>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</si>
  <si>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</si>
  <si>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</si>
  <si>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</si>
  <si>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</si>
  <si>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</si>
  <si>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</si>
  <si>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</si>
  <si>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</si>
  <si>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</si>
  <si>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</si>
  <si>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rate of GST in column ‘10’ is confirmed. If not  indicate applicable rate of GST #</t>
  </si>
  <si>
    <t>Whether SAC in column ‘8’ is confirmed. If not  indicate applicable the SAC #</t>
  </si>
  <si>
    <t>Total of Schedule-3</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</si>
  <si>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</si>
  <si>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Training charges for training to be imparted (Not Applicable)</t>
  </si>
  <si>
    <t>Taxes and Duties not included in Schedule 1 &amp; 3</t>
  </si>
  <si>
    <t>(SUMMARY OF TAXES &amp; DUTIES not included in Schedule 1 &amp; 3)</t>
  </si>
  <si>
    <t>Break-up of Type Test Charges (Not Applicable)</t>
  </si>
  <si>
    <t>Type tests :</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</si>
  <si>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</si>
  <si>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</si>
  <si>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TOTAL FOR Local Transportation, In-transit Insurance, Loading and Unloading</t>
  </si>
  <si>
    <t xml:space="preserve">EA </t>
  </si>
  <si>
    <t xml:space="preserve">KM </t>
  </si>
  <si>
    <t xml:space="preserve">LS </t>
  </si>
  <si>
    <t>SET</t>
  </si>
  <si>
    <t xml:space="preserve">MT </t>
  </si>
  <si>
    <t xml:space="preserve">M3 </t>
  </si>
  <si>
    <t>Concreting (including all associated works related to foundation not covered in excavation and reinforcemt steel works : concreting(1:1.5:3)</t>
  </si>
  <si>
    <t>Concreting (including all associated works related to foundation not covered in excavation and reinforcemt steel works : LeanConcrete (1:3:6)</t>
  </si>
  <si>
    <t>OH-01</t>
  </si>
  <si>
    <t xml:space="preserve">Reconductoring Package- OH01 </t>
  </si>
  <si>
    <t>Phase Plate (Set of three)</t>
  </si>
  <si>
    <t>SUPPLY OF ASSORTED TOWER MEMBERS HT</t>
  </si>
  <si>
    <t>SUPPLY OF ASSORTED TOWER MEMBERS MS</t>
  </si>
  <si>
    <t>Profiling of existing line route covering ground profile, locating towers, verification of sag profile of high capacity conductor atmaximum operating temperature &amp; varification of clearances etc. employing Total Stations &amp; PLSS CAD software.</t>
  </si>
  <si>
    <t>Fixing of Asrt Tower parts in Erct Tower</t>
  </si>
  <si>
    <t xml:space="preserve">WORK ASSOCIATED WITH TOWER FOUNDATION   </t>
  </si>
  <si>
    <t xml:space="preserve">ERECTION                                </t>
  </si>
  <si>
    <t xml:space="preserve">INSTALLATION OF TOWER ACCESSORIES       </t>
  </si>
  <si>
    <t>Excavation : Dry Soil</t>
  </si>
  <si>
    <t>Reinforcement Steel : Supply and placement</t>
  </si>
  <si>
    <t>Installation of stub including bolts and nuts : For Normal Towers</t>
  </si>
  <si>
    <t>Erection of various types of towers, tower extensions (complete), bolts &amp; nuts, hangers, d-shackles, step bolts, pack washers etc.including tack welding &amp; supply &amp; application of zinc rich paint : Normal towers</t>
  </si>
  <si>
    <t>Installation of tower accessories : Danger  Plate</t>
  </si>
  <si>
    <t>Installation of tower accessories: Number  Plate</t>
  </si>
  <si>
    <t>Installation of tower accessories: Phase Plate (Set of three)</t>
  </si>
  <si>
    <t>Installation of tower accessories: Anti-Climbing Devices</t>
  </si>
  <si>
    <t>Installation of tower accessories: Bird Guard (Set of Three)</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</si>
  <si>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</si>
  <si>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Grand Summary [Schedule 1 to 5]</t>
  </si>
  <si>
    <t>CC/NT/W-COND/DOM/A04/24/05656</t>
  </si>
  <si>
    <t>Reconductoring Package - OH01 for (i) Reconductoring of 220kV Hisar (PG)-Hisar (IA) D/c line associated with ‘Reconductoring of 220kV Hisar (PG) – Hisar (IA) S/c line’; and (ii) Reconductoring of 400 kV S/c (TWIN ACSR MOOSE) Raichur – Veltoor (Mahabubnagar) line with TWIN HTLS conductor associated with ‘Reconductoring of Raichur – Veltoor (Mahabubnagar) 400kV S/c line with HTLS conductor’.</t>
  </si>
  <si>
    <t xml:space="preserve">Re-conductoring Raichur-Veltoor TL      </t>
  </si>
  <si>
    <t xml:space="preserve">Conductor                               </t>
  </si>
  <si>
    <t xml:space="preserve">HTLS CLAMPS &amp; FITTINGS                  </t>
  </si>
  <si>
    <t xml:space="preserve">Conductor Accessories                   </t>
  </si>
  <si>
    <t xml:space="preserve">SPARE- HTLS CONDUCTOR                   </t>
  </si>
  <si>
    <t xml:space="preserve">SPARE- CLAMP FITTINGS                   </t>
  </si>
  <si>
    <t xml:space="preserve">SPARE-CONDUCTOR ACCESSORIES             </t>
  </si>
  <si>
    <t xml:space="preserve">FABRICATION &amp; SUPPLY (ASSORTED MEMBERS) </t>
  </si>
  <si>
    <t xml:space="preserve">SHIELDWIRE EARTHING                     </t>
  </si>
  <si>
    <t xml:space="preserve">COMPOSITE LONG ROD INSULATOR            </t>
  </si>
  <si>
    <t xml:space="preserve">SPARE- CLR INSULATOR                    </t>
  </si>
  <si>
    <t xml:space="preserve">SUPPLY OF TOWER ACCESSORIES             </t>
  </si>
  <si>
    <t xml:space="preserve">EARTHWIRE                               </t>
  </si>
  <si>
    <t xml:space="preserve">ACCESSORIES FOR EARTHWIRE               </t>
  </si>
  <si>
    <t xml:space="preserve">FABRICATION &amp; SUPPLY (LADDER RC TOWER)  </t>
  </si>
  <si>
    <t xml:space="preserve">SPECIAL TOOLS &amp; TACKLES FOR HTLS        </t>
  </si>
  <si>
    <t>HTLS  CONDUCTOR FOR 400KV TL</t>
  </si>
  <si>
    <t>SUSPENSION  CLAMP  (FREE CENTRE TYPE SUSPENSION CLAMP ALONG WITHPREFORMED ARMOUR RODS OR ARMOUR GRIP SUSPENSION CLAMP) SUITABLE FORSUSPENSION INSULATOR STRING FOR HTLS CONDUCTOR FOR 400KV TL</t>
  </si>
  <si>
    <t>SUSPENSION  CLAMP SUITABLE FOR SUSPENSION PILOT INSULATOR STRING FORHTLS CONDUCTOR FOR 400KV TL</t>
  </si>
  <si>
    <t>DEAD END CLAMP SUITABLE FOR TENSION INSULATOR STRING FOR  HTLSCONDUCTOR FOR  400KV TL</t>
  </si>
  <si>
    <t>Hardware Fittings for Twin HTLS Conductor-Single "I" Suspension String(without clamps)</t>
  </si>
  <si>
    <t>Hardware Fittings for Twin HTLS Conductor-Single I Suspension String(Pilot)(without clamps)</t>
  </si>
  <si>
    <t>Hardware Fittings for Twin HTLS Conductor-Double TensionString(without clamps)</t>
  </si>
  <si>
    <t>MID SPAN COMPRESSION JOINT FOR HTLS CONDUCTOR FOR  400KV TL</t>
  </si>
  <si>
    <t>REPAIR SLEEVE FOR HTLS CONDUCTOR FOR  400KV TL</t>
  </si>
  <si>
    <t>SPACER DAMPER FOR HTLS CONDUCTOR-FOR  400KV TL</t>
  </si>
  <si>
    <t>RIGID SPACER FOR HTLS CONDUCTOR-FOR  400KV TL</t>
  </si>
  <si>
    <t>T-CONNECTOR FOR HTLS CONDUCTOR-FOR  400KV TL</t>
  </si>
  <si>
    <t>Supply of Hexagonal Bolts &amp; Nuts fortowers including Step Bolts,SpringWashers etc.</t>
  </si>
  <si>
    <t>Supply of Shieldwire EarthingincludingPG clamps, downlead clampsbutexcluding Earthwire bits for Pipetypeearthing</t>
  </si>
  <si>
    <t>Composite long rod Insulators for 400kV Transmission Line-160 KN(Length-3910 mm, Creepage-13020 mm)</t>
  </si>
  <si>
    <t>Composite long rod Insulators for 400kV Transmission Line-120 KN(Length-3335 mm, Creepage-13020 mm)</t>
  </si>
  <si>
    <t>Danger  Plate for 400kV</t>
  </si>
  <si>
    <t>Number  Plate for 400kV</t>
  </si>
  <si>
    <t>Supply of Anti-Climbing Devices ofBarbedWire Type</t>
  </si>
  <si>
    <t>Bird Guard (Set of Three)</t>
  </si>
  <si>
    <t>7/3.66 G.S. EARTHWIRE</t>
  </si>
  <si>
    <t>Mid Span Compression Joint -7/3.66mmEarth Wire</t>
  </si>
  <si>
    <t>FLEXIBLE ALUMUNIUM BOND</t>
  </si>
  <si>
    <t>Vibration damper -7/3.66mm Earth Wire</t>
  </si>
  <si>
    <t>Suspension clamp assembly -7/3.66mmEarth Wire</t>
  </si>
  <si>
    <t>Tension clamp assembly-7/3.66mm EarthWire</t>
  </si>
  <si>
    <t>Assorted MS Angles</t>
  </si>
  <si>
    <t xml:space="preserve">KG </t>
  </si>
  <si>
    <t>SUPPLY OF ONE SET OF ALL THE SPECIAL TOOLS &amp; TACKLES REQUIRED FORSTRINGING OF THE OFFERED HTLS CONDUCTOR</t>
  </si>
  <si>
    <t xml:space="preserve">Re-conductoring Hisar-Hisar TL      </t>
  </si>
  <si>
    <t xml:space="preserve">SPARE- HTLS CLAMPS &amp; FITTINGS           </t>
  </si>
  <si>
    <t xml:space="preserve">FABRICATION &amp; SUPPLY                    </t>
  </si>
  <si>
    <t xml:space="preserve">HTLS CONDUCTOR (for Sub-Station)        </t>
  </si>
  <si>
    <t>HTLS  CONDUCTOR FOR 220KV TL</t>
  </si>
  <si>
    <t>SUSPENSION  CLAMP  (FREE CENTRE TYPE SUSPENSION CLAMP ALONG WITHPREFORMED ARMOUR RODS OR ARMOUR GRIP SUSPENSION CLAMP) SUITABLE FORSUSPENSION INSULATOR STRING FOR HTLS CONDUCTOR FOR 220KV TL</t>
  </si>
  <si>
    <t>SUSPENSION  CLAMP SUITABLE FOR SUSPENSION PILOT INSULATOR STRING FORHTLS CONDUCTOR FOR 220KV TL</t>
  </si>
  <si>
    <t>DEAD END CLAMP SUITABLE FOR TENSION INSULATOR STRING FOR  HTLSCONDUCTOR FOR  220KV TL</t>
  </si>
  <si>
    <t>Single  'I' suspension hardware fittings (except clamps) Hardwarefittings suitable for HTLS conductor</t>
  </si>
  <si>
    <t>Single  'I' suspension Pilot hardware fittings (except clamps)Hardwarefittings suitable for HTLS conductorHardware fittings suitable forHTLS conductor</t>
  </si>
  <si>
    <t>Single tension hardware fitiings (except clamps)Hardware fittingssuitable for HTLS conductor</t>
  </si>
  <si>
    <t>MID SPAN COMPRESSION JOINT FOR HTLS CONDUCTOR FOR  220KV TL</t>
  </si>
  <si>
    <t>REPAIR SLEEVE FOR HTLS CONDUCTOR FOR  220KV TL</t>
  </si>
  <si>
    <t>VIBRATION DAMPER FOR HTLS CONDUCTOR-FOR  220KV TL</t>
  </si>
  <si>
    <t>Fabrication, galvanising &amp; supply ofvarious types of towers &amp; towerparts,tower/leg extensions (complete)excluding step bolt, stubs andbolts &amp;nuts but including hangers, D-Shackles,pack washers etc.-HTSteel for NormalTowers</t>
  </si>
  <si>
    <t>Fabrication, galvanising &amp; supply ofvarious types of towers &amp; towerparts,tower/leg extensions (complete)excluding step bolt, stubs andbolts &amp;nuts but including hangers, D-Shackles,pack washers etc.-MSSteel for NormalTowers</t>
  </si>
  <si>
    <t>Fabrication, galvanising &amp; supply ofstubs with cleats for varioustypes oftowers and tower extensions(complete)with packwashers excluding supply ofbolts &amp; nuts-HT Steel for Normal Towers</t>
  </si>
  <si>
    <t>Fabrication, galvanising &amp; supply ofstubs with cleats for varioustypes oftowers and tower extensions(complete)with packwashers excluding supply ofbolts &amp; nuts-MS Steel for Normal Towers</t>
  </si>
  <si>
    <t>Supply of Bolts &amp; Nuts for Stubsincluding Spring Washers etc.</t>
  </si>
  <si>
    <t>Composite long rod Insulators for 220kV Transmission Line-120 KN (Length-2175 mm, Creepage-7595 mm)</t>
  </si>
  <si>
    <t xml:space="preserve">PROFILING-EXISTING LINE                 </t>
  </si>
  <si>
    <t xml:space="preserve">DESTRINGING                             </t>
  </si>
  <si>
    <t xml:space="preserve">STRINGING                               </t>
  </si>
  <si>
    <t xml:space="preserve">INSTALLATION SHIELDWIRE EARTHING        </t>
  </si>
  <si>
    <t>POWERLINE CROSSING UNDER LIVE LINE COND.</t>
  </si>
  <si>
    <t xml:space="preserve">PAINTING (STUB)                         </t>
  </si>
  <si>
    <t>Destringing of existing 400kV S/C line and transportation to store</t>
  </si>
  <si>
    <t>De-Stringing of ACSR Twin MOOSE conductor  (one circuit only of D/C tower) and winding of Conductor on the empty drum andtransportation of condutor Drums as well as hardware &amp; accessories of existing line to the designated stores</t>
  </si>
  <si>
    <t>Installation of necessary hardware, hoisting of insulator Strings, Installing and Stringing of Twin High capacity conductorincluding fixing of conductor accessories,Installing &amp; stringing of earthwire/OPGW including fixing of earthwire/OPGW accessoriesfor reconductoring of existing line -Single circuit tower</t>
  </si>
  <si>
    <t>Installation of necessary hardware, hoisting of insulator Strings, Installing and Stringing of Twin High capacity conductorincluding fixing of conductor accessories for reconductoring of existing line-Single circuit on Double circuit towers</t>
  </si>
  <si>
    <t>Installation of Shieldwire Earthingincluding PG clamps, Downlead clampsand  Earthwire bits i.e Shield wireearthing (Pipe Type/counterpoise type)shall be an addition to earthing oftowers (Pipe type/ counterpoisetype)-Pipe type</t>
  </si>
  <si>
    <t>Installation of insulator strings complete with arcing horns and necessary hardware, installation and stringing of conductorincluding fixing of conductor accessories, installation and stringing of earthwire/OPGW including fixing of earthwire/OPGWaccessories for powerline crossing location under live line condition.</t>
  </si>
  <si>
    <t>PAINTING OF TOWER LEGS </t>
  </si>
  <si>
    <t>Destringing of existing 220kV D/C line W/O EW/OPGW and transportation to store</t>
  </si>
  <si>
    <t xml:space="preserve"> Installation of necessary hardware, hoisting of insulator Strings, Installing and Stringing of High capacity conductor includingfixing of conductor accessories. : 220 kV D/C Tower (Route Length)</t>
  </si>
  <si>
    <t>Dismantling of existing tower and transportation to stores</t>
  </si>
  <si>
    <t>Dismantling of Existing Stub up to 1.5 Meter including Blasting, Reaming, and levelling</t>
  </si>
  <si>
    <t>Excavation: Wet Soil</t>
  </si>
  <si>
    <t xml:space="preserve">DISMANTLING OF TOWER                    </t>
  </si>
  <si>
    <t xml:space="preserve">DISMANTLING OF STUB                     </t>
  </si>
  <si>
    <t xml:space="preserve">POWERLINE CROSSING - LIVELINE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</si>
</sst>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96">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b/>
      <i/>
      <sz val="11"/>
      <color theme="1"/>
      <name val="Book Antiqua"/>
      <family val="1"/>
    </font>
    <font>
      <b/>
      <sz val="12"/>
      <color rgb="FFFF0000"/>
      <name val="Arial"/>
      <family val="2"/>
    </font>
    <font>
      <b/>
      <sz val="12"/>
      <name val="Aptos"/>
      <family val="2"/>
    </font>
    <font>
      <sz val="12"/>
      <name val="Aptos"/>
      <family val="2"/>
    </font>
    <font>
      <sz val="12"/>
      <color theme="1"/>
      <name val="Aptos"/>
      <family val="2"/>
    </font>
    <font>
      <b/>
      <sz val="14"/>
      <name val="Aptos"/>
      <family val="2"/>
    </font>
    <font>
      <b/>
      <sz val="12"/>
      <color indexed="9"/>
      <name val="Aptos"/>
      <family val="2"/>
    </font>
    <font>
      <b/>
      <u/>
      <sz val="12"/>
      <name val="Aptos"/>
      <family val="2"/>
    </font>
    <font>
      <sz val="12"/>
      <color theme="0"/>
      <name val="Aptos"/>
      <family val="2"/>
    </font>
    <font>
      <b/>
      <sz val="12"/>
      <color theme="1"/>
      <name val="Aptos"/>
      <family val="2"/>
    </font>
    <font>
      <b/>
      <i/>
      <sz val="12"/>
      <name val="Aptos"/>
      <family val="2"/>
    </font>
    <font>
      <i/>
      <sz val="12"/>
      <color theme="1"/>
      <name val="Aptos"/>
      <family val="2"/>
    </font>
    <font>
      <sz val="12"/>
      <color indexed="9"/>
      <name val="Aptos"/>
      <family val="2"/>
    </font>
    <font>
      <i/>
      <sz val="12"/>
      <color indexed="9"/>
      <name val="Aptos"/>
      <family val="2"/>
    </font>
    <font>
      <i/>
      <sz val="12"/>
      <name val="Aptos"/>
      <family val="2"/>
    </font>
    <font>
      <b/>
      <sz val="11"/>
      <color theme="1"/>
      <name val="Aptos"/>
      <family val="2"/>
    </font>
    <font>
      <b/>
      <sz val="13"/>
      <name val="Aptos"/>
      <family val="2"/>
    </font>
    <font>
      <sz val="11"/>
      <color theme="1"/>
      <name val="Aptos"/>
      <family val="2"/>
    </font>
    <font>
      <sz val="11"/>
      <name val="Aptos"/>
      <family val="2"/>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00B0F0"/>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69"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966">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5" fillId="0" borderId="0" xfId="0" applyFont="1" applyAlignment="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69"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43"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70" fillId="0" borderId="0" xfId="114" applyFont="1" applyAlignment="1" applyProtection="1">
      <alignment vertical="top"/>
      <protection hidden="1"/>
    </xf>
    <xf numFmtId="0" fontId="71" fillId="0" borderId="0" xfId="114" applyFont="1" applyAlignment="1" applyProtection="1">
      <alignment vertical="top"/>
      <protection hidden="1"/>
    </xf>
    <xf numFmtId="2" fontId="71" fillId="0" borderId="0" xfId="114" applyNumberFormat="1" applyFont="1" applyAlignment="1" applyProtection="1">
      <alignment vertical="top"/>
      <protection hidden="1"/>
    </xf>
    <xf numFmtId="174" fontId="70"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2" fillId="0" borderId="0" xfId="115" applyFont="1" applyAlignment="1" applyProtection="1">
      <alignment vertical="center" wrapText="1"/>
      <protection hidden="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xf>
    <xf numFmtId="0" fontId="4" fillId="0" borderId="9" xfId="0" applyFont="1" applyBorder="1" applyAlignment="1" applyProtection="1">
      <alignment horizontal="center" vertical="center"/>
      <protection locked="0"/>
    </xf>
    <xf numFmtId="0" fontId="1" fillId="0" borderId="0" xfId="0" applyFont="1" applyAlignment="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72"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37" fontId="37" fillId="0" borderId="0" xfId="113" applyNumberFormat="1" applyFont="1" applyFill="1" applyBorder="1" applyAlignment="1" applyProtection="1">
      <alignment vertical="top"/>
      <protection hidden="1"/>
    </xf>
    <xf numFmtId="4" fontId="7" fillId="0" borderId="0" xfId="106" applyNumberFormat="1" applyFont="1" applyAlignment="1">
      <alignment horizontal="left" vertical="center" indent="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3" fillId="0" borderId="9" xfId="0" applyFont="1" applyBorder="1" applyAlignment="1">
      <alignment horizontal="center" vertical="center" wrapText="1"/>
    </xf>
    <xf numFmtId="0" fontId="73" fillId="0" borderId="0" xfId="0" applyFont="1" applyAlignment="1" applyProtection="1">
      <alignment horizontal="center" vertical="center"/>
      <protection locked="0"/>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2" fillId="0" borderId="9" xfId="0" applyFont="1" applyBorder="1" applyAlignment="1">
      <alignment vertical="center"/>
    </xf>
    <xf numFmtId="0" fontId="72" fillId="0" borderId="9" xfId="0" applyFont="1" applyBorder="1"/>
    <xf numFmtId="0" fontId="75" fillId="0" borderId="9" xfId="0" applyFont="1" applyBorder="1" applyAlignment="1">
      <alignment horizontal="center" vertical="center"/>
    </xf>
    <xf numFmtId="0" fontId="72" fillId="0" borderId="0" xfId="0" applyFont="1" applyAlignment="1" applyProtection="1">
      <alignment horizontal="center" vertical="center"/>
      <protection locked="0"/>
    </xf>
    <xf numFmtId="0" fontId="72"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4" fillId="11" borderId="9" xfId="0" applyFont="1" applyFill="1" applyBorder="1" applyAlignment="1">
      <alignment horizontal="center" vertical="top" wrapText="1"/>
    </xf>
    <xf numFmtId="0" fontId="74"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4" fillId="0" borderId="9" xfId="0" applyFont="1" applyBorder="1" applyAlignment="1">
      <alignment horizontal="center" vertical="top" wrapText="1"/>
    </xf>
    <xf numFmtId="0" fontId="74" fillId="0" borderId="9" xfId="0" applyFont="1" applyBorder="1" applyAlignment="1">
      <alignment vertical="top" wrapText="1"/>
    </xf>
    <xf numFmtId="0" fontId="73"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6" fillId="0" borderId="9" xfId="0" applyFont="1" applyBorder="1" applyAlignment="1">
      <alignment horizontal="center" vertical="center"/>
    </xf>
    <xf numFmtId="0" fontId="73" fillId="0" borderId="9" xfId="0" applyFont="1" applyBorder="1"/>
    <xf numFmtId="0" fontId="7" fillId="0" borderId="0" xfId="113" applyFont="1" applyAlignment="1" applyProtection="1">
      <alignment vertical="top"/>
      <protection hidden="1"/>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2"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5" fillId="0" borderId="9" xfId="0" applyFont="1" applyBorder="1" applyAlignment="1">
      <alignment horizontal="right" vertical="center"/>
    </xf>
    <xf numFmtId="0" fontId="54" fillId="11" borderId="9" xfId="0" applyFont="1" applyFill="1" applyBorder="1" applyAlignment="1">
      <alignment horizontal="center" vertical="center"/>
    </xf>
    <xf numFmtId="0" fontId="77"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2" fillId="0" borderId="0" xfId="112" applyNumberFormat="1" applyFont="1" applyFill="1" applyBorder="1" applyAlignment="1" applyProtection="1">
      <alignment horizontal="center" vertical="top"/>
      <protection hidden="1"/>
    </xf>
    <xf numFmtId="0" fontId="63"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4"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69"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4" fontId="59" fillId="0" borderId="41" xfId="114" applyNumberFormat="1" applyFont="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6"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8"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51" fillId="0" borderId="9" xfId="8" applyNumberFormat="1" applyFont="1" applyFill="1" applyBorder="1" applyAlignment="1" applyProtection="1">
      <alignment vertical="top"/>
      <protection hidden="1"/>
    </xf>
    <xf numFmtId="4" fontId="64" fillId="0" borderId="9" xfId="8" applyNumberFormat="1" applyFont="1" applyFill="1" applyBorder="1" applyAlignment="1" applyProtection="1">
      <alignment vertical="top"/>
      <protection hidden="1"/>
    </xf>
    <xf numFmtId="0" fontId="7" fillId="0" borderId="9" xfId="114" applyFont="1" applyBorder="1" applyAlignment="1" applyProtection="1">
      <alignment horizontal="left" vertical="center" wrapText="1"/>
      <protection hidden="1"/>
    </xf>
    <xf numFmtId="0" fontId="78" fillId="0" borderId="0" xfId="114" applyFont="1" applyAlignment="1" applyProtection="1">
      <alignment vertical="center"/>
      <protection hidden="1"/>
    </xf>
    <xf numFmtId="22" fontId="20" fillId="0" borderId="0" xfId="114" applyNumberFormat="1" applyFont="1" applyAlignment="1" applyProtection="1">
      <alignment vertical="center"/>
      <protection hidden="1"/>
    </xf>
    <xf numFmtId="0" fontId="2" fillId="0" borderId="0" xfId="73" applyFont="1" applyAlignment="1" applyProtection="1">
      <alignment horizontal="justify" vertical="top" wrapText="1"/>
      <protection hidden="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3" borderId="30" xfId="114" applyFont="1" applyFill="1" applyBorder="1" applyAlignment="1" applyProtection="1">
      <alignment horizontal="center" vertical="center" wrapText="1"/>
      <protection hidden="1"/>
    </xf>
    <xf numFmtId="0" fontId="22" fillId="13" borderId="59" xfId="114" applyFont="1" applyFill="1" applyBorder="1" applyAlignment="1" applyProtection="1">
      <alignment horizontal="center" vertical="center" wrapText="1"/>
      <protection hidden="1"/>
    </xf>
    <xf numFmtId="0" fontId="22" fillId="13" borderId="31" xfId="114" applyFont="1" applyFill="1" applyBorder="1" applyAlignment="1" applyProtection="1">
      <alignment horizontal="center" vertical="center" wrapText="1"/>
      <protection hidden="1"/>
    </xf>
    <xf numFmtId="0" fontId="23" fillId="14" borderId="11" xfId="114" applyFont="1" applyFill="1" applyBorder="1" applyAlignment="1" applyProtection="1">
      <alignment horizontal="center" vertical="center"/>
      <protection hidden="1"/>
    </xf>
    <xf numFmtId="0" fontId="23" fillId="14" borderId="22" xfId="114" applyFont="1" applyFill="1" applyBorder="1" applyAlignment="1" applyProtection="1">
      <alignment horizontal="center" vertical="center"/>
      <protection hidden="1"/>
    </xf>
    <xf numFmtId="0" fontId="23" fillId="14" borderId="20" xfId="114" applyFont="1" applyFill="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Alignment="1" applyProtection="1">
      <alignment horizontal="center" vertical="top"/>
      <protection hidden="1"/>
    </xf>
    <xf numFmtId="0" fontId="72" fillId="3" borderId="30" xfId="109" applyFont="1" applyFill="1" applyBorder="1" applyAlignment="1" applyProtection="1">
      <alignment horizontal="left" vertical="center"/>
      <protection locked="0"/>
    </xf>
    <xf numFmtId="0" fontId="72" fillId="3" borderId="59" xfId="109" applyFont="1" applyFill="1" applyBorder="1" applyAlignment="1" applyProtection="1">
      <alignment horizontal="left" vertical="center"/>
      <protection locked="0"/>
    </xf>
    <xf numFmtId="0" fontId="72"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72" fillId="3" borderId="24" xfId="109" applyFont="1" applyFill="1" applyBorder="1" applyAlignment="1" applyProtection="1">
      <alignment horizontal="left" vertical="center"/>
      <protection locked="0"/>
    </xf>
    <xf numFmtId="0" fontId="72" fillId="3" borderId="3" xfId="109" applyFont="1" applyFill="1" applyBorder="1" applyAlignment="1" applyProtection="1">
      <alignment horizontal="left" vertical="center"/>
      <protection locked="0"/>
    </xf>
    <xf numFmtId="0" fontId="72" fillId="3" borderId="25" xfId="109" applyFont="1" applyFill="1" applyBorder="1" applyAlignment="1" applyProtection="1">
      <alignment horizontal="left" vertical="center"/>
      <protection locked="0"/>
    </xf>
    <xf numFmtId="0" fontId="24" fillId="13" borderId="5" xfId="109" applyFont="1" applyFill="1" applyBorder="1" applyAlignment="1" applyProtection="1">
      <alignment horizontal="justify" vertical="center" wrapText="1"/>
      <protection hidden="1"/>
    </xf>
    <xf numFmtId="0" fontId="1" fillId="14"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23" fillId="0" borderId="0" xfId="0" applyFont="1" applyAlignment="1">
      <alignment horizontal="left" vertical="center"/>
    </xf>
    <xf numFmtId="0" fontId="23" fillId="0" borderId="0" xfId="0" applyFont="1" applyAlignment="1">
      <alignment horizontal="left" vertical="center" wrapText="1"/>
    </xf>
    <xf numFmtId="0" fontId="2" fillId="0" borderId="0" xfId="115" applyFont="1" applyAlignment="1">
      <alignment horizontal="left" vertical="center"/>
    </xf>
    <xf numFmtId="0" fontId="1" fillId="0" borderId="0" xfId="115" applyFont="1" applyAlignment="1">
      <alignment horizontal="left" vertical="center"/>
    </xf>
    <xf numFmtId="0" fontId="2" fillId="0" borderId="0" xfId="0" applyFont="1" applyAlignment="1">
      <alignment horizontal="left" vertical="center" wrapText="1"/>
    </xf>
    <xf numFmtId="0" fontId="33" fillId="13" borderId="0" xfId="0" applyFont="1" applyFill="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72" fillId="0" borderId="0" xfId="0" applyFont="1" applyAlignment="1" applyProtection="1">
      <alignment horizontal="left" vertical="center"/>
      <protection locked="0"/>
    </xf>
    <xf numFmtId="0" fontId="72" fillId="0" borderId="24" xfId="109" applyFont="1" applyBorder="1" applyAlignment="1" applyProtection="1">
      <alignment horizontal="left" vertical="center" wrapText="1"/>
      <protection hidden="1"/>
    </xf>
    <xf numFmtId="0" fontId="72" fillId="0" borderId="25" xfId="109" applyFont="1" applyBorder="1" applyAlignment="1" applyProtection="1">
      <alignment horizontal="left" vertical="center" wrapText="1"/>
      <protection hidden="1"/>
    </xf>
    <xf numFmtId="1" fontId="72" fillId="0" borderId="24" xfId="109" applyNumberFormat="1" applyFont="1" applyBorder="1" applyAlignment="1" applyProtection="1">
      <alignment horizontal="left" vertical="center" wrapText="1"/>
      <protection hidden="1"/>
    </xf>
    <xf numFmtId="0" fontId="72" fillId="9" borderId="0" xfId="109" applyFont="1" applyFill="1" applyAlignment="1">
      <alignment horizontal="left" vertical="center"/>
    </xf>
    <xf numFmtId="0" fontId="75" fillId="0" borderId="24" xfId="0" applyFont="1" applyBorder="1" applyAlignment="1">
      <alignment horizontal="center" vertical="center"/>
    </xf>
    <xf numFmtId="0" fontId="75" fillId="0" borderId="3" xfId="0" applyFont="1" applyBorder="1" applyAlignment="1">
      <alignment horizontal="center" vertical="center"/>
    </xf>
    <xf numFmtId="0" fontId="75" fillId="0" borderId="25" xfId="0" applyFont="1" applyBorder="1" applyAlignment="1">
      <alignment horizontal="center" vertical="center"/>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0" fontId="59" fillId="13" borderId="0" xfId="114" applyFont="1" applyFill="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3" fillId="0" borderId="0" xfId="114" applyFont="1" applyAlignment="1" applyProtection="1">
      <alignment horizontal="center" vertical="top"/>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1" fillId="0" borderId="0" xfId="114" applyFont="1" applyAlignment="1" applyProtection="1">
      <alignment horizontal="center" vertical="top"/>
      <protection hidden="1"/>
    </xf>
    <xf numFmtId="49" fontId="7" fillId="9" borderId="9" xfId="114" applyNumberFormat="1" applyFont="1" applyFill="1" applyBorder="1" applyAlignment="1">
      <alignment horizontal="left" vertical="center" wrapText="1"/>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5" fillId="0" borderId="40" xfId="114" applyFont="1" applyBorder="1" applyAlignment="1" applyProtection="1">
      <alignment horizontal="center" vertical="center"/>
      <protection hidden="1"/>
    </xf>
    <xf numFmtId="0" fontId="65"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59" fillId="13" borderId="0" xfId="115" applyFont="1" applyFill="1" applyAlignment="1">
      <alignment horizontal="center" vertical="center" wrapText="1"/>
    </xf>
    <xf numFmtId="0" fontId="8" fillId="6" borderId="0" xfId="0" applyFont="1" applyFill="1" applyAlignment="1">
      <alignment horizontal="center" vertical="center"/>
    </xf>
    <xf numFmtId="49" fontId="73" fillId="9" borderId="9" xfId="109" applyNumberFormat="1" applyFont="1" applyFill="1" applyBorder="1" applyAlignment="1" applyProtection="1">
      <alignment horizontal="left" vertical="center"/>
      <protection locked="0"/>
    </xf>
    <xf numFmtId="49" fontId="73" fillId="0" borderId="24" xfId="109" applyNumberFormat="1"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0" fontId="73"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3" fillId="0" borderId="24" xfId="109" applyNumberFormat="1"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Alignment="1" applyProtection="1">
      <alignment horizontal="right"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166" fontId="8" fillId="0" borderId="0" xfId="0" applyNumberFormat="1" applyFont="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3"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69"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69"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lignment horizontal="center" vertical="top"/>
    </xf>
    <xf numFmtId="0" fontId="4" fillId="0" borderId="0" xfId="106" applyFont="1" applyAlignment="1">
      <alignment horizontal="justify" vertical="top"/>
    </xf>
    <xf numFmtId="0" fontId="4" fillId="0" borderId="0" xfId="106" applyFont="1" applyAlignment="1">
      <alignment horizontal="left" vertical="top" wrapText="1"/>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4" fillId="0" borderId="0" xfId="106" applyFont="1" applyAlignment="1" applyProtection="1">
      <alignment horizontal="left" vertical="center"/>
      <protection hidden="1"/>
    </xf>
    <xf numFmtId="0" fontId="59" fillId="13" borderId="0" xfId="106" applyFont="1" applyFill="1" applyAlignment="1">
      <alignment horizontal="justify" vertical="top"/>
    </xf>
    <xf numFmtId="49" fontId="4" fillId="0" borderId="0" xfId="106" applyNumberFormat="1" applyFont="1" applyAlignment="1" applyProtection="1">
      <alignment horizontal="left" vertical="center"/>
      <protection hidden="1"/>
    </xf>
    <xf numFmtId="0" fontId="4" fillId="3" borderId="22" xfId="73" applyFill="1" applyBorder="1" applyAlignment="1" applyProtection="1">
      <alignment horizontal="left" vertical="center"/>
      <protection locked="0"/>
    </xf>
    <xf numFmtId="0" fontId="4" fillId="0" borderId="0" xfId="73" applyAlignment="1">
      <alignment horizontal="left" vertical="center" wrapText="1" indent="2"/>
    </xf>
    <xf numFmtId="0" fontId="4" fillId="0" borderId="0" xfId="73" applyAlignment="1">
      <alignment horizontal="left" vertical="center" indent="2"/>
    </xf>
    <xf numFmtId="0" fontId="4" fillId="0" borderId="61" xfId="73" applyBorder="1" applyAlignment="1">
      <alignment horizontal="left" vertical="center" indent="2"/>
    </xf>
    <xf numFmtId="10" fontId="4" fillId="0" borderId="0" xfId="106" applyNumberFormat="1" applyFont="1" applyAlignment="1" applyProtection="1">
      <alignment horizontal="left" vertical="center"/>
      <protection hidden="1"/>
    </xf>
    <xf numFmtId="0" fontId="4" fillId="0" borderId="22" xfId="73" applyBorder="1" applyAlignment="1">
      <alignment horizontal="left" vertical="center" indent="2"/>
    </xf>
    <xf numFmtId="0" fontId="4" fillId="0" borderId="69" xfId="73" applyBorder="1" applyAlignment="1">
      <alignment horizontal="left" vertical="center" indent="2"/>
    </xf>
    <xf numFmtId="0" fontId="33" fillId="0" borderId="0" xfId="106" quotePrefix="1" applyFont="1" applyAlignment="1">
      <alignment horizontal="center" vertical="center"/>
    </xf>
    <xf numFmtId="0" fontId="4" fillId="0" borderId="69" xfId="73" applyBorder="1" applyAlignment="1">
      <alignment horizontal="justify" vertical="center" wrapText="1"/>
    </xf>
    <xf numFmtId="0" fontId="7" fillId="0" borderId="13" xfId="0" applyFont="1" applyBorder="1" applyAlignment="1" applyProtection="1">
      <alignment horizontal="left" vertical="center" wrapText="1"/>
      <protection hidden="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53" fillId="0" borderId="0" xfId="0" applyFont="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2" fillId="0" borderId="0" xfId="0" applyFont="1" applyAlignment="1">
      <alignment horizontal="left" vertical="top" wrapText="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7"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xf numFmtId="0" fontId="72" fillId="3" borderId="9" xfId="109" applyFont="1" applyFill="1" applyBorder="1" applyAlignment="1" applyProtection="1">
      <alignment horizontal="left" vertical="center"/>
      <protection locked="0"/>
    </xf>
    <xf numFmtId="0" fontId="2" fillId="3" borderId="9" xfId="109" applyFont="1" applyFill="1" applyBorder="1" applyAlignment="1" applyProtection="1">
      <alignment horizontal="left" vertical="center"/>
      <protection locked="0"/>
    </xf>
    <xf numFmtId="0" fontId="79" fillId="0" borderId="0" xfId="0" applyFont="1" applyAlignment="1">
      <alignment horizontal="left" vertical="center"/>
    </xf>
    <xf numFmtId="0" fontId="79" fillId="0" borderId="0" xfId="0" applyFont="1" applyAlignment="1">
      <alignment horizontal="center" vertical="center"/>
    </xf>
    <xf numFmtId="0" fontId="79" fillId="0" borderId="0" xfId="0" applyFont="1" applyAlignment="1">
      <alignment horizontal="center" vertical="center" wrapText="1"/>
    </xf>
    <xf numFmtId="0" fontId="80" fillId="0" borderId="0" xfId="0" applyFont="1" applyAlignment="1">
      <alignment horizontal="center" vertical="center" wrapText="1"/>
    </xf>
    <xf numFmtId="0" fontId="81" fillId="0" borderId="0" xfId="0" applyFont="1" applyAlignment="1">
      <alignment horizontal="center" vertical="center"/>
    </xf>
    <xf numFmtId="0" fontId="80" fillId="0" borderId="0" xfId="0" applyFont="1" applyAlignment="1">
      <alignment horizontal="center" vertical="center"/>
    </xf>
    <xf numFmtId="0" fontId="82" fillId="13" borderId="9" xfId="0" applyFont="1" applyFill="1" applyBorder="1" applyAlignment="1">
      <alignment horizontal="center" vertical="top" wrapText="1"/>
    </xf>
    <xf numFmtId="0" fontId="83" fillId="6" borderId="9" xfId="0" applyFont="1" applyFill="1" applyBorder="1" applyAlignment="1">
      <alignment horizontal="center" vertical="center"/>
    </xf>
    <xf numFmtId="0" fontId="83" fillId="0" borderId="0" xfId="0" applyFont="1" applyAlignment="1">
      <alignment horizontal="center" vertical="center"/>
    </xf>
    <xf numFmtId="0" fontId="84" fillId="0" borderId="0" xfId="0" applyFont="1" applyAlignment="1">
      <alignment horizontal="left" vertical="center"/>
    </xf>
    <xf numFmtId="0" fontId="79" fillId="0" borderId="0" xfId="115" applyFont="1" applyAlignment="1">
      <alignment horizontal="left" vertical="center"/>
    </xf>
    <xf numFmtId="0" fontId="80" fillId="0" borderId="0" xfId="115" applyFont="1" applyAlignment="1">
      <alignment horizontal="center" vertical="center" wrapText="1"/>
    </xf>
    <xf numFmtId="0" fontId="80" fillId="0" borderId="0" xfId="0" applyFont="1" applyAlignment="1">
      <alignment horizontal="left" vertical="center"/>
    </xf>
    <xf numFmtId="0" fontId="79" fillId="0" borderId="0" xfId="115" applyFont="1" applyAlignment="1">
      <alignment horizontal="center" vertical="center"/>
    </xf>
    <xf numFmtId="0" fontId="84" fillId="0" borderId="0" xfId="0" applyFont="1" applyAlignment="1">
      <alignment horizontal="left" vertical="center" wrapText="1"/>
    </xf>
    <xf numFmtId="0" fontId="79" fillId="0" borderId="0" xfId="0" applyFont="1" applyAlignment="1">
      <alignment vertical="center" wrapText="1"/>
    </xf>
    <xf numFmtId="0" fontId="80" fillId="0" borderId="0" xfId="115" applyFont="1" applyAlignment="1">
      <alignment horizontal="left" vertical="center"/>
    </xf>
    <xf numFmtId="0" fontId="85" fillId="0" borderId="0" xfId="0" applyFont="1" applyAlignment="1">
      <alignment horizontal="center" vertical="center"/>
    </xf>
    <xf numFmtId="0" fontId="81" fillId="0" borderId="0" xfId="0" applyFont="1" applyAlignment="1">
      <alignment horizontal="left" vertical="center"/>
    </xf>
    <xf numFmtId="0" fontId="79" fillId="0" borderId="0" xfId="115" applyFont="1" applyAlignment="1">
      <alignment horizontal="left" vertical="center"/>
    </xf>
    <xf numFmtId="0" fontId="80" fillId="0" borderId="0" xfId="115" applyFont="1" applyAlignment="1">
      <alignment horizontal="center" vertical="center"/>
    </xf>
    <xf numFmtId="0" fontId="80" fillId="0" borderId="0" xfId="115" applyFont="1" applyAlignment="1">
      <alignment horizontal="left" vertical="center"/>
    </xf>
    <xf numFmtId="0" fontId="79" fillId="0" borderId="0" xfId="0" applyFont="1" applyAlignment="1">
      <alignment horizontal="left" vertical="center" wrapText="1"/>
    </xf>
    <xf numFmtId="0" fontId="86" fillId="0" borderId="0" xfId="0" applyFont="1" applyAlignment="1">
      <alignment horizontal="center" vertical="center"/>
    </xf>
    <xf numFmtId="0" fontId="87" fillId="0" borderId="0" xfId="0" applyFont="1" applyAlignment="1">
      <alignment horizontal="right" vertical="center"/>
    </xf>
    <xf numFmtId="0" fontId="79" fillId="0" borderId="9" xfId="0" applyFont="1" applyBorder="1" applyAlignment="1">
      <alignment horizontal="center" vertical="center" wrapText="1"/>
    </xf>
    <xf numFmtId="0" fontId="79" fillId="0" borderId="9" xfId="0" applyFont="1" applyBorder="1" applyAlignment="1">
      <alignment horizontal="center" vertical="center"/>
    </xf>
    <xf numFmtId="0" fontId="87" fillId="0" borderId="9" xfId="0" applyFont="1" applyBorder="1" applyAlignment="1">
      <alignment horizontal="center" vertical="center"/>
    </xf>
    <xf numFmtId="0" fontId="87" fillId="0" borderId="9" xfId="0" applyFont="1" applyBorder="1" applyAlignment="1">
      <alignment horizontal="center" vertical="center" wrapText="1"/>
    </xf>
    <xf numFmtId="0" fontId="88" fillId="0" borderId="0" xfId="0" applyFont="1" applyAlignment="1">
      <alignment horizontal="center" vertical="center"/>
    </xf>
    <xf numFmtId="0" fontId="82" fillId="15" borderId="9" xfId="0" applyFont="1" applyFill="1" applyBorder="1" applyAlignment="1">
      <alignment horizontal="center" vertical="top"/>
    </xf>
    <xf numFmtId="0" fontId="82" fillId="15" borderId="9" xfId="0" applyFont="1" applyFill="1" applyBorder="1" applyAlignment="1">
      <alignment vertical="top"/>
    </xf>
    <xf numFmtId="0" fontId="82" fillId="15" borderId="9" xfId="0" applyFont="1" applyFill="1" applyBorder="1" applyAlignment="1">
      <alignment vertical="center"/>
    </xf>
    <xf numFmtId="0" fontId="80" fillId="0" borderId="9" xfId="0" applyFont="1" applyBorder="1" applyAlignment="1">
      <alignment horizontal="center" vertical="center"/>
    </xf>
    <xf numFmtId="0" fontId="81" fillId="0" borderId="9" xfId="0" applyFont="1" applyBorder="1" applyAlignment="1">
      <alignment horizontal="center" vertical="top" wrapText="1"/>
    </xf>
    <xf numFmtId="0" fontId="81" fillId="3" borderId="9" xfId="109" applyFont="1" applyFill="1" applyBorder="1" applyAlignment="1" applyProtection="1">
      <alignment vertical="top" wrapText="1"/>
      <protection locked="0"/>
    </xf>
    <xf numFmtId="10" fontId="80" fillId="0" borderId="9" xfId="111" applyNumberFormat="1" applyFont="1" applyFill="1" applyBorder="1" applyAlignment="1" applyProtection="1">
      <alignment horizontal="center" vertical="top" wrapText="1"/>
      <protection locked="0" hidden="1"/>
    </xf>
    <xf numFmtId="0" fontId="81" fillId="0" borderId="9" xfId="0" applyFont="1" applyBorder="1" applyAlignment="1">
      <alignment vertical="top" wrapText="1"/>
    </xf>
    <xf numFmtId="164" fontId="81" fillId="3" borderId="9" xfId="8" applyFont="1" applyFill="1" applyBorder="1" applyAlignment="1" applyProtection="1">
      <alignment horizontal="center" vertical="top" wrapText="1"/>
      <protection locked="0"/>
    </xf>
    <xf numFmtId="164" fontId="81" fillId="9" borderId="9" xfId="8" applyFont="1" applyFill="1" applyBorder="1" applyAlignment="1" applyProtection="1">
      <alignment horizontal="right" vertical="top" wrapText="1"/>
    </xf>
    <xf numFmtId="0" fontId="81" fillId="0" borderId="0" xfId="0" applyFont="1" applyAlignment="1" applyProtection="1">
      <alignment horizontal="right" vertical="center"/>
      <protection locked="0"/>
    </xf>
    <xf numFmtId="2" fontId="81" fillId="0" borderId="0" xfId="0" applyNumberFormat="1" applyFont="1" applyAlignment="1" applyProtection="1">
      <alignment horizontal="right" vertical="center"/>
      <protection locked="0"/>
    </xf>
    <xf numFmtId="43" fontId="81" fillId="0" borderId="0" xfId="0" applyNumberFormat="1" applyFont="1" applyAlignment="1">
      <alignment horizontal="center" vertical="center"/>
    </xf>
    <xf numFmtId="0" fontId="82" fillId="15" borderId="9" xfId="0" applyFont="1" applyFill="1" applyBorder="1" applyAlignment="1">
      <alignment horizontal="left" vertical="top"/>
    </xf>
    <xf numFmtId="0" fontId="80" fillId="0" borderId="9" xfId="0" applyFont="1" applyBorder="1" applyAlignment="1">
      <alignment horizontal="center" vertical="center"/>
    </xf>
    <xf numFmtId="0" fontId="86" fillId="12" borderId="9" xfId="0" applyFont="1" applyFill="1" applyBorder="1" applyAlignment="1">
      <alignment horizontal="left" vertical="center"/>
    </xf>
    <xf numFmtId="4" fontId="79" fillId="12" borderId="9" xfId="8" applyNumberFormat="1" applyFont="1" applyFill="1" applyBorder="1" applyAlignment="1" applyProtection="1">
      <alignment horizontal="right" vertical="center"/>
    </xf>
    <xf numFmtId="164" fontId="81" fillId="0" borderId="0" xfId="8" applyFont="1" applyBorder="1" applyAlignment="1">
      <alignment horizontal="right" vertical="center"/>
    </xf>
    <xf numFmtId="164" fontId="86" fillId="0" borderId="0" xfId="8" applyFont="1" applyBorder="1" applyAlignment="1">
      <alignment horizontal="right" vertical="center"/>
    </xf>
    <xf numFmtId="164" fontId="81" fillId="0" borderId="0" xfId="8" applyFont="1" applyBorder="1" applyAlignment="1" applyProtection="1">
      <alignment horizontal="right" vertical="center"/>
      <protection locked="0"/>
    </xf>
    <xf numFmtId="4" fontId="86" fillId="0" borderId="0" xfId="8" applyNumberFormat="1" applyFont="1" applyBorder="1" applyAlignment="1" applyProtection="1">
      <alignment horizontal="right" vertical="center"/>
      <protection locked="0"/>
    </xf>
    <xf numFmtId="164" fontId="86" fillId="0" borderId="0" xfId="8" applyFont="1" applyBorder="1" applyAlignment="1" applyProtection="1">
      <alignment horizontal="right" vertical="center"/>
      <protection locked="0"/>
    </xf>
    <xf numFmtId="0" fontId="81" fillId="0" borderId="0" xfId="0" applyFont="1" applyAlignment="1" applyProtection="1">
      <alignment horizontal="center" vertical="center"/>
      <protection locked="0"/>
    </xf>
    <xf numFmtId="0" fontId="86" fillId="12" borderId="17" xfId="0" applyFont="1" applyFill="1" applyBorder="1" applyAlignment="1">
      <alignment horizontal="left" vertical="center"/>
    </xf>
    <xf numFmtId="4" fontId="79" fillId="12" borderId="17" xfId="8" applyNumberFormat="1" applyFont="1" applyFill="1" applyBorder="1" applyAlignment="1" applyProtection="1">
      <alignment horizontal="right" vertical="center"/>
    </xf>
    <xf numFmtId="0" fontId="81" fillId="0" borderId="60" xfId="0" applyFont="1" applyBorder="1" applyAlignment="1">
      <alignment horizontal="center" vertical="center"/>
    </xf>
    <xf numFmtId="0" fontId="79" fillId="0" borderId="16" xfId="0" applyFont="1" applyBorder="1" applyAlignment="1">
      <alignment horizontal="left" vertical="top" wrapText="1"/>
    </xf>
    <xf numFmtId="0" fontId="79" fillId="0" borderId="55" xfId="0" applyFont="1" applyBorder="1" applyAlignment="1">
      <alignment horizontal="left" vertical="top" wrapText="1"/>
    </xf>
    <xf numFmtId="0" fontId="81" fillId="0" borderId="0" xfId="0" applyFont="1" applyAlignment="1">
      <alignment horizontal="center" vertical="center" wrapText="1"/>
    </xf>
    <xf numFmtId="1" fontId="86" fillId="9" borderId="0" xfId="109" applyNumberFormat="1" applyFont="1" applyFill="1" applyAlignment="1">
      <alignment horizontal="left" vertical="center" wrapText="1"/>
    </xf>
    <xf numFmtId="0" fontId="86" fillId="9" borderId="0" xfId="109" applyFont="1" applyFill="1" applyAlignment="1">
      <alignment horizontal="left" vertical="center" wrapText="1"/>
    </xf>
    <xf numFmtId="0" fontId="81" fillId="0" borderId="0" xfId="0" applyFont="1" applyAlignment="1">
      <alignment vertical="center"/>
    </xf>
    <xf numFmtId="0" fontId="81" fillId="0" borderId="0" xfId="0" applyFont="1" applyAlignment="1">
      <alignment horizontal="right" vertical="center"/>
    </xf>
    <xf numFmtId="0" fontId="86" fillId="0" borderId="0" xfId="0" applyFont="1" applyAlignment="1">
      <alignment horizontal="left" vertical="center"/>
    </xf>
    <xf numFmtId="0" fontId="79" fillId="0" borderId="5" xfId="0" applyFont="1" applyBorder="1" applyAlignment="1">
      <alignment vertical="center"/>
    </xf>
    <xf numFmtId="0" fontId="79" fillId="0" borderId="5" xfId="0" applyFont="1" applyBorder="1" applyAlignment="1">
      <alignment horizontal="left" vertical="center" wrapText="1"/>
    </xf>
    <xf numFmtId="0" fontId="79" fillId="0" borderId="5" xfId="0" applyFont="1" applyBorder="1" applyAlignment="1">
      <alignment horizontal="center" vertical="center" wrapText="1"/>
    </xf>
    <xf numFmtId="0" fontId="79" fillId="0" borderId="5" xfId="0" applyFont="1" applyBorder="1" applyAlignment="1">
      <alignment vertical="center" wrapText="1"/>
    </xf>
    <xf numFmtId="0" fontId="79" fillId="0" borderId="5" xfId="0" applyFont="1" applyBorder="1" applyAlignment="1">
      <alignment horizontal="right" vertical="center" wrapText="1"/>
    </xf>
    <xf numFmtId="0" fontId="89" fillId="0" borderId="0" xfId="0" applyFont="1" applyAlignment="1">
      <alignment vertical="center" wrapText="1"/>
    </xf>
    <xf numFmtId="0" fontId="80" fillId="0" borderId="0" xfId="0" applyFont="1" applyAlignment="1">
      <alignment vertical="center" wrapText="1"/>
    </xf>
    <xf numFmtId="0" fontId="80" fillId="0" borderId="0" xfId="0" applyFont="1" applyAlignment="1">
      <alignment horizontal="left" vertical="center" wrapText="1"/>
    </xf>
    <xf numFmtId="0" fontId="82" fillId="13" borderId="0" xfId="0" applyFont="1" applyFill="1" applyAlignment="1">
      <alignment horizontal="center" vertical="top" wrapText="1"/>
    </xf>
    <xf numFmtId="0" fontId="89" fillId="0" borderId="0" xfId="0" applyFont="1" applyAlignment="1">
      <alignment horizontal="left" vertical="center" wrapText="1"/>
    </xf>
    <xf numFmtId="0" fontId="89" fillId="0" borderId="0" xfId="0" applyFont="1" applyAlignment="1">
      <alignment horizontal="center" vertical="center" wrapText="1"/>
    </xf>
    <xf numFmtId="0" fontId="83" fillId="6" borderId="0" xfId="0" applyFont="1" applyFill="1" applyAlignment="1">
      <alignment horizontal="center" vertical="center" wrapText="1"/>
    </xf>
    <xf numFmtId="0" fontId="80" fillId="0" borderId="0" xfId="111" applyNumberFormat="1" applyFont="1" applyFill="1" applyBorder="1" applyAlignment="1" applyProtection="1">
      <alignment horizontal="center" vertical="center" wrapText="1"/>
    </xf>
    <xf numFmtId="0" fontId="80" fillId="0" borderId="0" xfId="111" applyNumberFormat="1" applyFont="1" applyFill="1" applyBorder="1" applyAlignment="1" applyProtection="1">
      <alignment horizontal="left" vertical="center" wrapText="1"/>
    </xf>
    <xf numFmtId="0" fontId="80" fillId="0" borderId="0" xfId="111" applyNumberFormat="1" applyFont="1" applyFill="1" applyBorder="1" applyAlignment="1" applyProtection="1">
      <alignment vertical="center" wrapText="1"/>
    </xf>
    <xf numFmtId="0" fontId="79" fillId="0" borderId="0" xfId="115" applyFont="1" applyAlignment="1">
      <alignment vertical="center"/>
    </xf>
    <xf numFmtId="0" fontId="80" fillId="0" borderId="0" xfId="115" applyFont="1" applyAlignment="1">
      <alignment vertical="center" wrapText="1"/>
    </xf>
    <xf numFmtId="0" fontId="79" fillId="0" borderId="0" xfId="115" applyFont="1" applyAlignment="1" applyProtection="1">
      <alignment vertical="center" wrapText="1"/>
      <protection hidden="1"/>
    </xf>
    <xf numFmtId="0" fontId="83" fillId="0" borderId="0" xfId="0" applyFont="1" applyAlignment="1">
      <alignment vertical="center" wrapText="1"/>
    </xf>
    <xf numFmtId="0" fontId="80" fillId="0" borderId="0" xfId="115" applyFont="1" applyAlignment="1" applyProtection="1">
      <alignment vertical="center" wrapText="1"/>
      <protection hidden="1"/>
    </xf>
    <xf numFmtId="0" fontId="79" fillId="0" borderId="0" xfId="115" applyFont="1" applyAlignment="1" applyProtection="1">
      <alignment horizontal="left" vertical="center" wrapText="1"/>
      <protection hidden="1"/>
    </xf>
    <xf numFmtId="0" fontId="79" fillId="0" borderId="0" xfId="115" applyFont="1" applyAlignment="1" applyProtection="1">
      <alignment horizontal="center" vertical="center" wrapText="1"/>
      <protection hidden="1"/>
    </xf>
    <xf numFmtId="0" fontId="87" fillId="0" borderId="51" xfId="0" applyFont="1" applyBorder="1" applyAlignment="1">
      <alignment horizontal="right" vertical="center"/>
    </xf>
    <xf numFmtId="0" fontId="79" fillId="0" borderId="6" xfId="111" applyNumberFormat="1" applyFont="1" applyFill="1" applyBorder="1" applyAlignment="1" applyProtection="1">
      <alignment vertical="center" wrapText="1"/>
    </xf>
    <xf numFmtId="0" fontId="79" fillId="0" borderId="10" xfId="111" applyNumberFormat="1" applyFont="1" applyFill="1" applyBorder="1" applyAlignment="1" applyProtection="1">
      <alignment vertical="center" wrapText="1"/>
    </xf>
    <xf numFmtId="0" fontId="79" fillId="0" borderId="7" xfId="111" applyNumberFormat="1" applyFont="1" applyFill="1" applyBorder="1" applyAlignment="1" applyProtection="1">
      <alignment horizontal="center" vertical="center" wrapText="1"/>
    </xf>
    <xf numFmtId="0" fontId="79" fillId="0" borderId="8" xfId="111" applyNumberFormat="1" applyFont="1" applyFill="1" applyBorder="1" applyAlignment="1" applyProtection="1">
      <alignment horizontal="center" vertical="center" wrapText="1"/>
    </xf>
    <xf numFmtId="0" fontId="90" fillId="0" borderId="0" xfId="0" applyFont="1" applyAlignment="1">
      <alignment vertical="center" wrapText="1"/>
    </xf>
    <xf numFmtId="0" fontId="91" fillId="0" borderId="0" xfId="0" applyFont="1" applyAlignment="1">
      <alignment vertical="center" wrapText="1"/>
    </xf>
    <xf numFmtId="0" fontId="79" fillId="15" borderId="9" xfId="0" applyFont="1" applyFill="1" applyBorder="1" applyAlignment="1">
      <alignment horizontal="center" vertical="top" wrapText="1"/>
    </xf>
    <xf numFmtId="0" fontId="79" fillId="15" borderId="24" xfId="0" applyFont="1" applyFill="1" applyBorder="1" applyAlignment="1">
      <alignment vertical="top"/>
    </xf>
    <xf numFmtId="0" fontId="79" fillId="15" borderId="3" xfId="0" applyFont="1" applyFill="1" applyBorder="1" applyAlignment="1">
      <alignment vertical="center"/>
    </xf>
    <xf numFmtId="0" fontId="79" fillId="15" borderId="25" xfId="0" applyFont="1" applyFill="1" applyBorder="1" applyAlignment="1">
      <alignment vertical="center"/>
    </xf>
    <xf numFmtId="0" fontId="79" fillId="15" borderId="9" xfId="0" applyFont="1" applyFill="1" applyBorder="1" applyAlignment="1">
      <alignment vertical="center" wrapText="1"/>
    </xf>
    <xf numFmtId="0" fontId="89" fillId="15" borderId="0" xfId="0" applyFont="1" applyFill="1" applyAlignment="1">
      <alignment vertical="center" wrapText="1"/>
    </xf>
    <xf numFmtId="0" fontId="80" fillId="15" borderId="0" xfId="0" applyFont="1" applyFill="1" applyAlignment="1">
      <alignment vertical="center" wrapText="1"/>
    </xf>
    <xf numFmtId="0" fontId="80" fillId="0" borderId="9" xfId="111" applyNumberFormat="1" applyFont="1" applyFill="1" applyBorder="1" applyAlignment="1" applyProtection="1">
      <alignment horizontal="center" vertical="center" wrapText="1"/>
    </xf>
    <xf numFmtId="164" fontId="81" fillId="3" borderId="18" xfId="8" applyFont="1" applyFill="1" applyBorder="1" applyAlignment="1" applyProtection="1">
      <alignment horizontal="right" vertical="top" wrapText="1"/>
      <protection locked="0"/>
    </xf>
    <xf numFmtId="0" fontId="80" fillId="0" borderId="24" xfId="111" applyNumberFormat="1" applyFont="1" applyFill="1" applyBorder="1" applyAlignment="1" applyProtection="1">
      <alignment horizontal="center" vertical="center" wrapText="1"/>
    </xf>
    <xf numFmtId="0" fontId="80" fillId="0" borderId="3" xfId="111" applyNumberFormat="1" applyFont="1" applyFill="1" applyBorder="1" applyAlignment="1" applyProtection="1">
      <alignment horizontal="center" vertical="center" wrapText="1"/>
    </xf>
    <xf numFmtId="0" fontId="80" fillId="0" borderId="25" xfId="111" applyNumberFormat="1" applyFont="1" applyFill="1" applyBorder="1" applyAlignment="1" applyProtection="1">
      <alignment horizontal="center" vertical="center" wrapText="1"/>
    </xf>
    <xf numFmtId="0" fontId="80" fillId="10" borderId="9" xfId="111" applyNumberFormat="1" applyFont="1" applyFill="1" applyBorder="1" applyAlignment="1" applyProtection="1">
      <alignment horizontal="center" vertical="center" wrapText="1"/>
      <protection locked="0"/>
    </xf>
    <xf numFmtId="0" fontId="86" fillId="10" borderId="24" xfId="0" applyFont="1" applyFill="1" applyBorder="1" applyAlignment="1">
      <alignment horizontal="center" vertical="center" wrapText="1"/>
    </xf>
    <xf numFmtId="0" fontId="86" fillId="10" borderId="3" xfId="0" applyFont="1" applyFill="1" applyBorder="1" applyAlignment="1">
      <alignment horizontal="center" vertical="center" wrapText="1"/>
    </xf>
    <xf numFmtId="0" fontId="86" fillId="10" borderId="25" xfId="0" applyFont="1" applyFill="1" applyBorder="1" applyAlignment="1">
      <alignment horizontal="center" vertical="center" wrapText="1"/>
    </xf>
    <xf numFmtId="0" fontId="81" fillId="10" borderId="9" xfId="0" applyFont="1" applyFill="1" applyBorder="1" applyAlignment="1">
      <alignment vertical="center" wrapText="1"/>
    </xf>
    <xf numFmtId="4" fontId="86" fillId="10" borderId="9" xfId="8" applyNumberFormat="1" applyFont="1" applyFill="1" applyBorder="1" applyAlignment="1" applyProtection="1">
      <alignment horizontal="right" vertical="center" wrapText="1"/>
    </xf>
    <xf numFmtId="0" fontId="81" fillId="0" borderId="0" xfId="0" applyFont="1" applyAlignment="1">
      <alignment vertical="center" wrapText="1"/>
    </xf>
    <xf numFmtId="0" fontId="80" fillId="0" borderId="0" xfId="111" applyNumberFormat="1" applyFont="1" applyFill="1" applyBorder="1" applyAlignment="1" applyProtection="1">
      <alignment horizontal="center" vertical="center" wrapText="1"/>
      <protection locked="0"/>
    </xf>
    <xf numFmtId="0" fontId="80" fillId="0" borderId="0" xfId="0" applyFont="1" applyAlignment="1">
      <alignment horizontal="left" vertical="center" wrapText="1"/>
    </xf>
    <xf numFmtId="0" fontId="81" fillId="0" borderId="0" xfId="0" applyFont="1" applyAlignment="1">
      <alignment horizontal="left" vertical="center"/>
    </xf>
    <xf numFmtId="0" fontId="81" fillId="0" borderId="0" xfId="0" applyFont="1" applyAlignment="1">
      <alignment horizontal="right" vertical="center"/>
    </xf>
    <xf numFmtId="0" fontId="79" fillId="0" borderId="0" xfId="0" applyFont="1" applyAlignment="1">
      <alignment horizontal="justify" vertical="center" wrapText="1"/>
    </xf>
    <xf numFmtId="175" fontId="79" fillId="0" borderId="0" xfId="0" applyNumberFormat="1" applyFont="1" applyAlignment="1">
      <alignment horizontal="justify" vertical="center" wrapText="1"/>
    </xf>
    <xf numFmtId="0" fontId="79" fillId="0" borderId="0" xfId="0" applyFont="1" applyAlignment="1">
      <alignment horizontal="right" vertical="center" wrapText="1"/>
    </xf>
    <xf numFmtId="0" fontId="79" fillId="0" borderId="0" xfId="0" applyFont="1" applyAlignment="1">
      <alignment horizontal="left" vertical="center" wrapText="1"/>
    </xf>
    <xf numFmtId="0" fontId="89" fillId="0" borderId="0" xfId="0" applyFont="1" applyAlignment="1">
      <alignment horizontal="center" vertical="center" wrapText="1"/>
    </xf>
    <xf numFmtId="0" fontId="89" fillId="0" borderId="0" xfId="0" applyFont="1" applyAlignment="1">
      <alignment horizontal="justify" vertical="center" wrapText="1"/>
    </xf>
    <xf numFmtId="165" fontId="79" fillId="0" borderId="5" xfId="0" applyNumberFormat="1" applyFont="1" applyBorder="1" applyAlignment="1">
      <alignment horizontal="left" vertical="center"/>
    </xf>
    <xf numFmtId="165" fontId="79" fillId="0" borderId="5" xfId="0" applyNumberFormat="1" applyFont="1" applyBorder="1" applyAlignment="1">
      <alignment horizontal="left" vertical="center" wrapText="1"/>
    </xf>
    <xf numFmtId="0" fontId="79" fillId="0" borderId="5" xfId="0" applyFont="1" applyBorder="1" applyAlignment="1">
      <alignment horizontal="justify" vertical="center" wrapText="1"/>
    </xf>
    <xf numFmtId="0" fontId="79" fillId="0" borderId="5" xfId="0" applyFont="1" applyBorder="1" applyAlignment="1">
      <alignment horizontal="center" vertical="center"/>
    </xf>
    <xf numFmtId="0" fontId="79" fillId="0" borderId="5" xfId="0" applyFont="1" applyBorder="1" applyAlignment="1">
      <alignment horizontal="right" vertical="center"/>
    </xf>
    <xf numFmtId="0" fontId="89" fillId="0" borderId="0" xfId="0" applyFont="1" applyAlignment="1">
      <alignment vertical="center"/>
    </xf>
    <xf numFmtId="0" fontId="80" fillId="0" borderId="0" xfId="0" applyFont="1" applyAlignment="1">
      <alignment vertical="center"/>
    </xf>
    <xf numFmtId="165" fontId="80" fillId="0" borderId="0" xfId="0" applyNumberFormat="1" applyFont="1" applyAlignment="1">
      <alignment horizontal="left" vertical="center"/>
    </xf>
    <xf numFmtId="165" fontId="80" fillId="0" borderId="0" xfId="0" applyNumberFormat="1" applyFont="1" applyAlignment="1">
      <alignment horizontal="left" vertical="center" wrapText="1"/>
    </xf>
    <xf numFmtId="0" fontId="80" fillId="0" borderId="0" xfId="0" applyFont="1" applyAlignment="1">
      <alignment horizontal="justify" vertical="center" wrapText="1"/>
    </xf>
    <xf numFmtId="0" fontId="83" fillId="6" borderId="0" xfId="0" applyFont="1" applyFill="1" applyAlignment="1">
      <alignment horizontal="center" vertical="center"/>
    </xf>
    <xf numFmtId="165" fontId="80" fillId="0" borderId="0" xfId="111" applyNumberFormat="1" applyFont="1" applyFill="1" applyBorder="1" applyAlignment="1" applyProtection="1">
      <alignment vertical="center" wrapText="1"/>
    </xf>
    <xf numFmtId="0" fontId="80" fillId="0" borderId="0" xfId="111" applyNumberFormat="1" applyFont="1" applyFill="1" applyBorder="1" applyAlignment="1" applyProtection="1">
      <alignment vertical="center"/>
    </xf>
    <xf numFmtId="0" fontId="80" fillId="0" borderId="0" xfId="111" applyNumberFormat="1" applyFont="1" applyFill="1" applyBorder="1" applyAlignment="1" applyProtection="1">
      <alignment horizontal="center" vertical="center"/>
    </xf>
    <xf numFmtId="165" fontId="79" fillId="0" borderId="0" xfId="115" applyNumberFormat="1" applyFont="1" applyAlignment="1" applyProtection="1">
      <alignment vertical="center" wrapText="1"/>
      <protection hidden="1"/>
    </xf>
    <xf numFmtId="0" fontId="80" fillId="0" borderId="0" xfId="0" applyFont="1" applyAlignment="1" applyProtection="1">
      <alignment horizontal="left" vertical="center"/>
      <protection hidden="1"/>
    </xf>
    <xf numFmtId="0" fontId="80" fillId="0" borderId="0" xfId="115" applyFont="1" applyAlignment="1" applyProtection="1">
      <alignment horizontal="center" vertical="center"/>
      <protection hidden="1"/>
    </xf>
    <xf numFmtId="0" fontId="79" fillId="0" borderId="0" xfId="111" applyNumberFormat="1" applyFont="1" applyFill="1" applyBorder="1" applyAlignment="1" applyProtection="1">
      <alignment vertical="center" wrapText="1"/>
    </xf>
    <xf numFmtId="0" fontId="80" fillId="0" borderId="0" xfId="115" applyFont="1" applyAlignment="1" applyProtection="1">
      <alignment horizontal="left" vertical="center"/>
      <protection hidden="1"/>
    </xf>
    <xf numFmtId="0" fontId="80" fillId="0" borderId="0" xfId="115" applyFont="1" applyAlignment="1">
      <alignment horizontal="left" vertical="center" wrapText="1"/>
    </xf>
    <xf numFmtId="165" fontId="80" fillId="0" borderId="0" xfId="115" applyNumberFormat="1" applyFont="1" applyAlignment="1" applyProtection="1">
      <alignment vertical="center"/>
      <protection hidden="1"/>
    </xf>
    <xf numFmtId="165" fontId="80" fillId="0" borderId="0" xfId="115" applyNumberFormat="1" applyFont="1" applyAlignment="1" applyProtection="1">
      <alignment vertical="center" wrapText="1"/>
      <protection hidden="1"/>
    </xf>
    <xf numFmtId="165" fontId="79" fillId="0" borderId="5" xfId="115" applyNumberFormat="1" applyFont="1" applyBorder="1" applyAlignment="1" applyProtection="1">
      <alignment vertical="center"/>
      <protection hidden="1"/>
    </xf>
    <xf numFmtId="165" fontId="79" fillId="0" borderId="9" xfId="111" applyNumberFormat="1" applyFont="1" applyFill="1" applyBorder="1" applyAlignment="1" applyProtection="1">
      <alignment vertical="center" wrapText="1"/>
    </xf>
    <xf numFmtId="0" fontId="79" fillId="0" borderId="9" xfId="111" applyNumberFormat="1" applyFont="1" applyFill="1" applyBorder="1" applyAlignment="1" applyProtection="1">
      <alignment vertical="center" wrapText="1"/>
    </xf>
    <xf numFmtId="0" fontId="92" fillId="0" borderId="9" xfId="0" applyFont="1" applyBorder="1" applyAlignment="1">
      <alignment horizontal="center" vertical="center" wrapText="1"/>
    </xf>
    <xf numFmtId="0" fontId="92" fillId="0" borderId="9" xfId="0" applyFont="1" applyBorder="1" applyAlignment="1">
      <alignment vertical="center" wrapText="1"/>
    </xf>
    <xf numFmtId="0" fontId="79" fillId="0" borderId="9" xfId="111" applyNumberFormat="1" applyFont="1" applyFill="1" applyBorder="1" applyAlignment="1" applyProtection="1">
      <alignment horizontal="center" vertical="center" wrapText="1"/>
    </xf>
    <xf numFmtId="0" fontId="79" fillId="0" borderId="9" xfId="111" applyNumberFormat="1" applyFont="1" applyFill="1" applyBorder="1" applyAlignment="1" applyProtection="1">
      <alignment horizontal="center" vertical="center"/>
    </xf>
    <xf numFmtId="0" fontId="89" fillId="10" borderId="0" xfId="0" applyFont="1" applyFill="1" applyAlignment="1">
      <alignment vertical="center"/>
    </xf>
    <xf numFmtId="0" fontId="93" fillId="8" borderId="9" xfId="0" applyFont="1" applyFill="1" applyBorder="1" applyAlignment="1" applyProtection="1">
      <alignment horizontal="center" vertical="center" wrapText="1"/>
      <protection locked="0"/>
    </xf>
    <xf numFmtId="0" fontId="93" fillId="8" borderId="9" xfId="0" applyFont="1" applyFill="1" applyBorder="1" applyAlignment="1" applyProtection="1">
      <alignment horizontal="center" vertical="center"/>
      <protection locked="0"/>
    </xf>
    <xf numFmtId="0" fontId="80" fillId="10" borderId="0" xfId="0" applyFont="1" applyFill="1" applyAlignment="1">
      <alignment vertical="center"/>
    </xf>
    <xf numFmtId="0" fontId="79" fillId="15" borderId="9" xfId="0" applyFont="1" applyFill="1" applyBorder="1" applyAlignment="1">
      <alignment horizontal="center" vertical="top"/>
    </xf>
    <xf numFmtId="0" fontId="79" fillId="15" borderId="24" xfId="0" applyFont="1" applyFill="1" applyBorder="1" applyAlignment="1">
      <alignment horizontal="left" vertical="top"/>
    </xf>
    <xf numFmtId="0" fontId="79" fillId="15" borderId="3" xfId="0" applyFont="1" applyFill="1" applyBorder="1" applyAlignment="1">
      <alignment horizontal="left" vertical="top"/>
    </xf>
    <xf numFmtId="0" fontId="79" fillId="15" borderId="25" xfId="0" applyFont="1" applyFill="1" applyBorder="1" applyAlignment="1">
      <alignment horizontal="left" vertical="top"/>
    </xf>
    <xf numFmtId="0" fontId="79" fillId="15" borderId="9" xfId="0" applyFont="1" applyFill="1" applyBorder="1" applyAlignment="1">
      <alignment vertical="top"/>
    </xf>
    <xf numFmtId="0" fontId="89" fillId="10" borderId="0" xfId="0" applyFont="1" applyFill="1" applyAlignment="1">
      <alignment vertical="top"/>
    </xf>
    <xf numFmtId="0" fontId="80" fillId="10" borderId="0" xfId="0" applyFont="1" applyFill="1" applyAlignment="1">
      <alignment vertical="top"/>
    </xf>
    <xf numFmtId="1" fontId="80" fillId="0" borderId="9" xfId="111" applyNumberFormat="1" applyFont="1" applyFill="1" applyBorder="1" applyAlignment="1" applyProtection="1">
      <alignment horizontal="center" vertical="top" wrapText="1"/>
    </xf>
    <xf numFmtId="0" fontId="81" fillId="0" borderId="9" xfId="0" applyFont="1" applyBorder="1" applyAlignment="1">
      <alignment horizontal="left" vertical="top" wrapText="1"/>
    </xf>
    <xf numFmtId="0" fontId="81" fillId="3" borderId="9" xfId="109" applyFont="1" applyFill="1" applyBorder="1" applyAlignment="1" applyProtection="1">
      <alignment horizontal="center" vertical="top" wrapText="1"/>
      <protection locked="0"/>
    </xf>
    <xf numFmtId="2" fontId="80" fillId="0" borderId="9" xfId="111" applyNumberFormat="1" applyFont="1" applyFill="1" applyBorder="1" applyAlignment="1" applyProtection="1">
      <alignment horizontal="right" vertical="top" wrapText="1"/>
    </xf>
    <xf numFmtId="0" fontId="80" fillId="0" borderId="9" xfId="0" applyFont="1" applyBorder="1" applyAlignment="1" applyProtection="1">
      <alignment horizontal="center" vertical="center"/>
      <protection locked="0"/>
    </xf>
    <xf numFmtId="178" fontId="80" fillId="0" borderId="9" xfId="0" applyNumberFormat="1" applyFont="1" applyBorder="1" applyAlignment="1" applyProtection="1">
      <alignment vertical="center"/>
      <protection locked="0"/>
    </xf>
    <xf numFmtId="0" fontId="80" fillId="0" borderId="9" xfId="0" applyFont="1" applyBorder="1" applyAlignment="1" applyProtection="1">
      <alignment vertical="center"/>
      <protection locked="0"/>
    </xf>
    <xf numFmtId="43" fontId="89" fillId="0" borderId="0" xfId="0" applyNumberFormat="1" applyFont="1" applyAlignment="1" applyProtection="1">
      <alignment vertical="center"/>
      <protection locked="0"/>
    </xf>
    <xf numFmtId="0" fontId="89" fillId="0" borderId="0" xfId="0" applyFont="1" applyAlignment="1" applyProtection="1">
      <alignment vertical="center"/>
      <protection locked="0"/>
    </xf>
    <xf numFmtId="1" fontId="80" fillId="0" borderId="24" xfId="111" applyNumberFormat="1" applyFont="1" applyFill="1" applyBorder="1" applyAlignment="1" applyProtection="1">
      <alignment horizontal="center" vertical="top" wrapText="1"/>
    </xf>
    <xf numFmtId="1" fontId="80" fillId="0" borderId="3" xfId="111" applyNumberFormat="1" applyFont="1" applyFill="1" applyBorder="1" applyAlignment="1" applyProtection="1">
      <alignment horizontal="center" vertical="top" wrapText="1"/>
    </xf>
    <xf numFmtId="1" fontId="80" fillId="0" borderId="25" xfId="111" applyNumberFormat="1" applyFont="1" applyFill="1" applyBorder="1" applyAlignment="1" applyProtection="1">
      <alignment horizontal="center" vertical="top" wrapText="1"/>
    </xf>
    <xf numFmtId="165" fontId="82" fillId="10" borderId="18" xfId="111" applyNumberFormat="1" applyFont="1" applyFill="1" applyBorder="1" applyAlignment="1" applyProtection="1">
      <alignment vertical="center" wrapText="1"/>
      <protection locked="0"/>
    </xf>
    <xf numFmtId="2" fontId="82" fillId="10" borderId="24" xfId="0" applyNumberFormat="1" applyFont="1" applyFill="1" applyBorder="1" applyAlignment="1">
      <alignment horizontal="center" vertical="center" wrapText="1"/>
    </xf>
    <xf numFmtId="2" fontId="82" fillId="10" borderId="3" xfId="0" applyNumberFormat="1" applyFont="1" applyFill="1" applyBorder="1" applyAlignment="1">
      <alignment horizontal="center" vertical="center" wrapText="1"/>
    </xf>
    <xf numFmtId="2" fontId="82" fillId="10" borderId="25" xfId="0" applyNumberFormat="1" applyFont="1" applyFill="1" applyBorder="1" applyAlignment="1">
      <alignment horizontal="center" vertical="center" wrapText="1"/>
    </xf>
    <xf numFmtId="2" fontId="82" fillId="10" borderId="18" xfId="0" applyNumberFormat="1" applyFont="1" applyFill="1" applyBorder="1" applyAlignment="1">
      <alignment horizontal="right" vertical="center" wrapText="1"/>
    </xf>
    <xf numFmtId="2" fontId="82" fillId="10" borderId="18" xfId="0" applyNumberFormat="1" applyFont="1" applyFill="1" applyBorder="1" applyAlignment="1">
      <alignment horizontal="center" vertical="center" wrapText="1"/>
    </xf>
    <xf numFmtId="39" fontId="82" fillId="10" borderId="18" xfId="8" applyNumberFormat="1" applyFont="1" applyFill="1" applyBorder="1" applyAlignment="1" applyProtection="1">
      <alignment horizontal="right" vertical="center" wrapText="1"/>
    </xf>
    <xf numFmtId="164" fontId="79" fillId="0" borderId="0" xfId="8" applyFont="1" applyAlignment="1" applyProtection="1">
      <alignment vertical="center"/>
      <protection locked="0"/>
    </xf>
    <xf numFmtId="0" fontId="80" fillId="0" borderId="0" xfId="0" applyFont="1" applyAlignment="1" applyProtection="1">
      <alignment vertical="center"/>
      <protection locked="0"/>
    </xf>
    <xf numFmtId="0" fontId="80" fillId="0" borderId="0" xfId="0" applyFont="1" applyAlignment="1" applyProtection="1">
      <alignment horizontal="center" vertical="center"/>
      <protection locked="0"/>
    </xf>
    <xf numFmtId="165" fontId="80" fillId="0" borderId="0" xfId="111" applyNumberFormat="1" applyFont="1" applyFill="1" applyBorder="1" applyAlignment="1" applyProtection="1">
      <alignment vertical="center"/>
    </xf>
    <xf numFmtId="0" fontId="81" fillId="0" borderId="16" xfId="0" applyFont="1" applyBorder="1"/>
    <xf numFmtId="0" fontId="94" fillId="0" borderId="16" xfId="0" applyFont="1" applyBorder="1"/>
    <xf numFmtId="0" fontId="94" fillId="0" borderId="0" xfId="0" applyFont="1" applyAlignment="1">
      <alignment vertical="center"/>
    </xf>
    <xf numFmtId="0" fontId="94" fillId="0" borderId="0" xfId="0" applyFont="1" applyAlignment="1">
      <alignment horizontal="center" vertical="center"/>
    </xf>
    <xf numFmtId="0" fontId="92" fillId="0" borderId="0" xfId="0" applyFont="1" applyAlignment="1">
      <alignment horizontal="center" vertical="center"/>
    </xf>
    <xf numFmtId="165" fontId="79" fillId="0" borderId="0" xfId="0" applyNumberFormat="1" applyFont="1" applyAlignment="1">
      <alignment horizontal="left" vertical="center"/>
    </xf>
    <xf numFmtId="0" fontId="92" fillId="0" borderId="0" xfId="0" applyFont="1" applyAlignment="1">
      <alignment vertical="center"/>
    </xf>
    <xf numFmtId="165" fontId="79" fillId="0" borderId="0" xfId="0" applyNumberFormat="1" applyFont="1" applyAlignment="1">
      <alignment horizontal="justify" vertical="center"/>
    </xf>
    <xf numFmtId="175" fontId="79" fillId="0" borderId="0" xfId="0" applyNumberFormat="1" applyFont="1" applyAlignment="1">
      <alignment horizontal="justify" vertical="center"/>
    </xf>
    <xf numFmtId="14" fontId="80" fillId="0" borderId="0" xfId="0" applyNumberFormat="1" applyFont="1" applyAlignment="1">
      <alignment horizontal="left" vertical="center"/>
    </xf>
    <xf numFmtId="0" fontId="79" fillId="0" borderId="0" xfId="0" applyFont="1" applyAlignment="1">
      <alignment horizontal="right" vertical="center"/>
    </xf>
    <xf numFmtId="0" fontId="92" fillId="0" borderId="0" xfId="0" applyFont="1" applyAlignment="1">
      <alignment horizontal="left" vertical="center"/>
    </xf>
    <xf numFmtId="1" fontId="92" fillId="9" borderId="0" xfId="109" applyNumberFormat="1" applyFont="1" applyFill="1" applyAlignment="1">
      <alignment horizontal="left" vertical="center" wrapText="1"/>
    </xf>
    <xf numFmtId="0" fontId="92" fillId="0" borderId="0" xfId="0" applyFont="1" applyAlignment="1">
      <alignment horizontal="left" vertical="center"/>
    </xf>
    <xf numFmtId="0" fontId="92" fillId="9" borderId="0" xfId="109" applyFont="1" applyFill="1" applyAlignment="1">
      <alignment horizontal="left" vertical="center"/>
    </xf>
    <xf numFmtId="0" fontId="95" fillId="0" borderId="0" xfId="0" applyFont="1" applyAlignment="1">
      <alignment horizontal="center" vertical="center"/>
    </xf>
    <xf numFmtId="0" fontId="92" fillId="9" borderId="0" xfId="109" applyFont="1" applyFill="1" applyAlignment="1">
      <alignment horizontal="left" vertical="center" wrapText="1"/>
    </xf>
    <xf numFmtId="165" fontId="89" fillId="0" borderId="0" xfId="0" applyNumberFormat="1" applyFont="1" applyAlignment="1">
      <alignment horizontal="center" vertical="center"/>
    </xf>
    <xf numFmtId="0" fontId="89" fillId="0" borderId="0" xfId="0" applyFont="1" applyAlignment="1">
      <alignment horizontal="justify" vertical="center"/>
    </xf>
    <xf numFmtId="43" fontId="80" fillId="0" borderId="0" xfId="111" applyNumberFormat="1" applyFont="1" applyFill="1" applyBorder="1" applyAlignment="1" applyProtection="1">
      <alignment vertical="center"/>
    </xf>
    <xf numFmtId="0" fontId="1" fillId="13" borderId="0" xfId="114" applyFont="1" applyFill="1" applyAlignment="1" applyProtection="1">
      <alignment horizontal="center" vertical="center" wrapText="1"/>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15">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453804" y="104775"/>
          <a:ext cx="455734" cy="792040"/>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7141845"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086600" y="47625"/>
          <a:ext cx="571500" cy="1520734"/>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1771429" y="283029"/>
          <a:ext cx="0" cy="1379764"/>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567530" y="47625"/>
          <a:ext cx="0" cy="607529"/>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774430" y="47625"/>
          <a:ext cx="1127760" cy="60388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609010" y="19050"/>
          <a:ext cx="1128346"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606665" y="19050"/>
          <a:ext cx="112776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33044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25.bin"/><Relationship Id="rId13" Type="http://schemas.openxmlformats.org/officeDocument/2006/relationships/drawing" Target="../drawings/drawing6.xml"/><Relationship Id="rId3" Type="http://schemas.openxmlformats.org/officeDocument/2006/relationships/printerSettings" Target="../printerSettings/printerSettings120.bin"/><Relationship Id="rId7" Type="http://schemas.openxmlformats.org/officeDocument/2006/relationships/printerSettings" Target="../printerSettings/printerSettings124.bin"/><Relationship Id="rId12" Type="http://schemas.openxmlformats.org/officeDocument/2006/relationships/printerSettings" Target="../printerSettings/printerSettings129.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6" Type="http://schemas.openxmlformats.org/officeDocument/2006/relationships/printerSettings" Target="../printerSettings/printerSettings123.bin"/><Relationship Id="rId11" Type="http://schemas.openxmlformats.org/officeDocument/2006/relationships/printerSettings" Target="../printerSettings/printerSettings128.bin"/><Relationship Id="rId5" Type="http://schemas.openxmlformats.org/officeDocument/2006/relationships/printerSettings" Target="../printerSettings/printerSettings122.bin"/><Relationship Id="rId10" Type="http://schemas.openxmlformats.org/officeDocument/2006/relationships/printerSettings" Target="../printerSettings/printerSettings127.bin"/><Relationship Id="rId4" Type="http://schemas.openxmlformats.org/officeDocument/2006/relationships/printerSettings" Target="../printerSettings/printerSettings121.bin"/><Relationship Id="rId9" Type="http://schemas.openxmlformats.org/officeDocument/2006/relationships/printerSettings" Target="../printerSettings/printerSettings12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37.bin"/><Relationship Id="rId13" Type="http://schemas.openxmlformats.org/officeDocument/2006/relationships/printerSettings" Target="../printerSettings/printerSettings142.bin"/><Relationship Id="rId3" Type="http://schemas.openxmlformats.org/officeDocument/2006/relationships/printerSettings" Target="../printerSettings/printerSettings132.bin"/><Relationship Id="rId7" Type="http://schemas.openxmlformats.org/officeDocument/2006/relationships/printerSettings" Target="../printerSettings/printerSettings136.bin"/><Relationship Id="rId12" Type="http://schemas.openxmlformats.org/officeDocument/2006/relationships/printerSettings" Target="../printerSettings/printerSettings141.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6" Type="http://schemas.openxmlformats.org/officeDocument/2006/relationships/printerSettings" Target="../printerSettings/printerSettings135.bin"/><Relationship Id="rId11" Type="http://schemas.openxmlformats.org/officeDocument/2006/relationships/printerSettings" Target="../printerSettings/printerSettings140.bin"/><Relationship Id="rId5" Type="http://schemas.openxmlformats.org/officeDocument/2006/relationships/printerSettings" Target="../printerSettings/printerSettings134.bin"/><Relationship Id="rId10" Type="http://schemas.openxmlformats.org/officeDocument/2006/relationships/printerSettings" Target="../printerSettings/printerSettings139.bin"/><Relationship Id="rId4" Type="http://schemas.openxmlformats.org/officeDocument/2006/relationships/printerSettings" Target="../printerSettings/printerSettings133.bin"/><Relationship Id="rId9" Type="http://schemas.openxmlformats.org/officeDocument/2006/relationships/printerSettings" Target="../printerSettings/printerSettings138.bin"/><Relationship Id="rId14"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50.bin"/><Relationship Id="rId13" Type="http://schemas.openxmlformats.org/officeDocument/2006/relationships/printerSettings" Target="../printerSettings/printerSettings155.bin"/><Relationship Id="rId3" Type="http://schemas.openxmlformats.org/officeDocument/2006/relationships/printerSettings" Target="../printerSettings/printerSettings145.bin"/><Relationship Id="rId7" Type="http://schemas.openxmlformats.org/officeDocument/2006/relationships/printerSettings" Target="../printerSettings/printerSettings149.bin"/><Relationship Id="rId12" Type="http://schemas.openxmlformats.org/officeDocument/2006/relationships/printerSettings" Target="../printerSettings/printerSettings154.bin"/><Relationship Id="rId2" Type="http://schemas.openxmlformats.org/officeDocument/2006/relationships/printerSettings" Target="../printerSettings/printerSettings144.bin"/><Relationship Id="rId1" Type="http://schemas.openxmlformats.org/officeDocument/2006/relationships/printerSettings" Target="../printerSettings/printerSettings143.bin"/><Relationship Id="rId6" Type="http://schemas.openxmlformats.org/officeDocument/2006/relationships/printerSettings" Target="../printerSettings/printerSettings148.bin"/><Relationship Id="rId11" Type="http://schemas.openxmlformats.org/officeDocument/2006/relationships/printerSettings" Target="../printerSettings/printerSettings153.bin"/><Relationship Id="rId5" Type="http://schemas.openxmlformats.org/officeDocument/2006/relationships/printerSettings" Target="../printerSettings/printerSettings147.bin"/><Relationship Id="rId10" Type="http://schemas.openxmlformats.org/officeDocument/2006/relationships/printerSettings" Target="../printerSettings/printerSettings152.bin"/><Relationship Id="rId4" Type="http://schemas.openxmlformats.org/officeDocument/2006/relationships/printerSettings" Target="../printerSettings/printerSettings146.bin"/><Relationship Id="rId9" Type="http://schemas.openxmlformats.org/officeDocument/2006/relationships/printerSettings" Target="../printerSettings/printerSettings151.bin"/><Relationship Id="rId14"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63.bin"/><Relationship Id="rId13" Type="http://schemas.openxmlformats.org/officeDocument/2006/relationships/drawing" Target="../drawings/drawing9.xml"/><Relationship Id="rId3" Type="http://schemas.openxmlformats.org/officeDocument/2006/relationships/printerSettings" Target="../printerSettings/printerSettings158.bin"/><Relationship Id="rId7" Type="http://schemas.openxmlformats.org/officeDocument/2006/relationships/printerSettings" Target="../printerSettings/printerSettings162.bin"/><Relationship Id="rId12" Type="http://schemas.openxmlformats.org/officeDocument/2006/relationships/printerSettings" Target="../printerSettings/printerSettings167.bin"/><Relationship Id="rId2" Type="http://schemas.openxmlformats.org/officeDocument/2006/relationships/printerSettings" Target="../printerSettings/printerSettings157.bin"/><Relationship Id="rId1" Type="http://schemas.openxmlformats.org/officeDocument/2006/relationships/printerSettings" Target="../printerSettings/printerSettings156.bin"/><Relationship Id="rId6" Type="http://schemas.openxmlformats.org/officeDocument/2006/relationships/printerSettings" Target="../printerSettings/printerSettings161.bin"/><Relationship Id="rId11" Type="http://schemas.openxmlformats.org/officeDocument/2006/relationships/printerSettings" Target="../printerSettings/printerSettings166.bin"/><Relationship Id="rId5" Type="http://schemas.openxmlformats.org/officeDocument/2006/relationships/printerSettings" Target="../printerSettings/printerSettings160.bin"/><Relationship Id="rId10" Type="http://schemas.openxmlformats.org/officeDocument/2006/relationships/printerSettings" Target="../printerSettings/printerSettings165.bin"/><Relationship Id="rId4" Type="http://schemas.openxmlformats.org/officeDocument/2006/relationships/printerSettings" Target="../printerSettings/printerSettings159.bin"/><Relationship Id="rId9" Type="http://schemas.openxmlformats.org/officeDocument/2006/relationships/printerSettings" Target="../printerSettings/printerSettings164.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01.bin"/><Relationship Id="rId13" Type="http://schemas.openxmlformats.org/officeDocument/2006/relationships/printerSettings" Target="../printerSettings/printerSettings206.bin"/><Relationship Id="rId3" Type="http://schemas.openxmlformats.org/officeDocument/2006/relationships/printerSettings" Target="../printerSettings/printerSettings196.bin"/><Relationship Id="rId7" Type="http://schemas.openxmlformats.org/officeDocument/2006/relationships/printerSettings" Target="../printerSettings/printerSettings200.bin"/><Relationship Id="rId12" Type="http://schemas.openxmlformats.org/officeDocument/2006/relationships/printerSettings" Target="../printerSettings/printerSettings205.bin"/><Relationship Id="rId2" Type="http://schemas.openxmlformats.org/officeDocument/2006/relationships/printerSettings" Target="../printerSettings/printerSettings195.bin"/><Relationship Id="rId1" Type="http://schemas.openxmlformats.org/officeDocument/2006/relationships/printerSettings" Target="../printerSettings/printerSettings194.bin"/><Relationship Id="rId6" Type="http://schemas.openxmlformats.org/officeDocument/2006/relationships/printerSettings" Target="../printerSettings/printerSettings199.bin"/><Relationship Id="rId11" Type="http://schemas.openxmlformats.org/officeDocument/2006/relationships/printerSettings" Target="../printerSettings/printerSettings204.bin"/><Relationship Id="rId5" Type="http://schemas.openxmlformats.org/officeDocument/2006/relationships/printerSettings" Target="../printerSettings/printerSettings198.bin"/><Relationship Id="rId10" Type="http://schemas.openxmlformats.org/officeDocument/2006/relationships/printerSettings" Target="../printerSettings/printerSettings203.bin"/><Relationship Id="rId4" Type="http://schemas.openxmlformats.org/officeDocument/2006/relationships/printerSettings" Target="../printerSettings/printerSettings197.bin"/><Relationship Id="rId9" Type="http://schemas.openxmlformats.org/officeDocument/2006/relationships/printerSettings" Target="../printerSettings/printerSettings202.bin"/><Relationship Id="rId14"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14.bin"/><Relationship Id="rId13" Type="http://schemas.openxmlformats.org/officeDocument/2006/relationships/printerSettings" Target="../printerSettings/printerSettings219.bin"/><Relationship Id="rId3" Type="http://schemas.openxmlformats.org/officeDocument/2006/relationships/printerSettings" Target="../printerSettings/printerSettings209.bin"/><Relationship Id="rId7" Type="http://schemas.openxmlformats.org/officeDocument/2006/relationships/printerSettings" Target="../printerSettings/printerSettings213.bin"/><Relationship Id="rId12" Type="http://schemas.openxmlformats.org/officeDocument/2006/relationships/printerSettings" Target="../printerSettings/printerSettings218.bin"/><Relationship Id="rId2" Type="http://schemas.openxmlformats.org/officeDocument/2006/relationships/printerSettings" Target="../printerSettings/printerSettings208.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11" Type="http://schemas.openxmlformats.org/officeDocument/2006/relationships/printerSettings" Target="../printerSettings/printerSettings217.bin"/><Relationship Id="rId5" Type="http://schemas.openxmlformats.org/officeDocument/2006/relationships/printerSettings" Target="../printerSettings/printerSettings211.bin"/><Relationship Id="rId10" Type="http://schemas.openxmlformats.org/officeDocument/2006/relationships/printerSettings" Target="../printerSettings/printerSettings216.bin"/><Relationship Id="rId4" Type="http://schemas.openxmlformats.org/officeDocument/2006/relationships/printerSettings" Target="../printerSettings/printerSettings210.bin"/><Relationship Id="rId9" Type="http://schemas.openxmlformats.org/officeDocument/2006/relationships/printerSettings" Target="../printerSettings/printerSettings215.bin"/><Relationship Id="rId14"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27.bin"/><Relationship Id="rId13" Type="http://schemas.openxmlformats.org/officeDocument/2006/relationships/printerSettings" Target="../printerSettings/printerSettings232.bin"/><Relationship Id="rId3" Type="http://schemas.openxmlformats.org/officeDocument/2006/relationships/printerSettings" Target="../printerSettings/printerSettings222.bin"/><Relationship Id="rId7" Type="http://schemas.openxmlformats.org/officeDocument/2006/relationships/printerSettings" Target="../printerSettings/printerSettings226.bin"/><Relationship Id="rId12" Type="http://schemas.openxmlformats.org/officeDocument/2006/relationships/printerSettings" Target="../printerSettings/printerSettings231.bin"/><Relationship Id="rId2" Type="http://schemas.openxmlformats.org/officeDocument/2006/relationships/printerSettings" Target="../printerSettings/printerSettings221.bin"/><Relationship Id="rId1" Type="http://schemas.openxmlformats.org/officeDocument/2006/relationships/printerSettings" Target="../printerSettings/printerSettings220.bin"/><Relationship Id="rId6" Type="http://schemas.openxmlformats.org/officeDocument/2006/relationships/printerSettings" Target="../printerSettings/printerSettings225.bin"/><Relationship Id="rId11" Type="http://schemas.openxmlformats.org/officeDocument/2006/relationships/printerSettings" Target="../printerSettings/printerSettings230.bin"/><Relationship Id="rId5" Type="http://schemas.openxmlformats.org/officeDocument/2006/relationships/printerSettings" Target="../printerSettings/printerSettings224.bin"/><Relationship Id="rId10" Type="http://schemas.openxmlformats.org/officeDocument/2006/relationships/printerSettings" Target="../printerSettings/printerSettings229.bin"/><Relationship Id="rId4" Type="http://schemas.openxmlformats.org/officeDocument/2006/relationships/printerSettings" Target="../printerSettings/printerSettings223.bin"/><Relationship Id="rId9" Type="http://schemas.openxmlformats.org/officeDocument/2006/relationships/printerSettings" Target="../printerSettings/printerSettings228.bin"/><Relationship Id="rId14" Type="http://schemas.openxmlformats.org/officeDocument/2006/relationships/drawing" Target="../drawings/drawing12.xml"/></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40.bin"/><Relationship Id="rId13" Type="http://schemas.openxmlformats.org/officeDocument/2006/relationships/printerSettings" Target="../printerSettings/printerSettings245.bin"/><Relationship Id="rId3" Type="http://schemas.openxmlformats.org/officeDocument/2006/relationships/printerSettings" Target="../printerSettings/printerSettings235.bin"/><Relationship Id="rId7" Type="http://schemas.openxmlformats.org/officeDocument/2006/relationships/printerSettings" Target="../printerSettings/printerSettings239.bin"/><Relationship Id="rId12" Type="http://schemas.openxmlformats.org/officeDocument/2006/relationships/printerSettings" Target="../printerSettings/printerSettings244.bin"/><Relationship Id="rId2" Type="http://schemas.openxmlformats.org/officeDocument/2006/relationships/printerSettings" Target="../printerSettings/printerSettings234.bin"/><Relationship Id="rId1" Type="http://schemas.openxmlformats.org/officeDocument/2006/relationships/printerSettings" Target="../printerSettings/printerSettings233.bin"/><Relationship Id="rId6" Type="http://schemas.openxmlformats.org/officeDocument/2006/relationships/printerSettings" Target="../printerSettings/printerSettings238.bin"/><Relationship Id="rId11" Type="http://schemas.openxmlformats.org/officeDocument/2006/relationships/printerSettings" Target="../printerSettings/printerSettings243.bin"/><Relationship Id="rId5" Type="http://schemas.openxmlformats.org/officeDocument/2006/relationships/printerSettings" Target="../printerSettings/printerSettings237.bin"/><Relationship Id="rId10" Type="http://schemas.openxmlformats.org/officeDocument/2006/relationships/printerSettings" Target="../printerSettings/printerSettings242.bin"/><Relationship Id="rId4" Type="http://schemas.openxmlformats.org/officeDocument/2006/relationships/printerSettings" Target="../printerSettings/printerSettings236.bin"/><Relationship Id="rId9" Type="http://schemas.openxmlformats.org/officeDocument/2006/relationships/printerSettings" Target="../printerSettings/printerSettings241.bin"/><Relationship Id="rId14"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 Id="rId14"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53.bin"/><Relationship Id="rId3" Type="http://schemas.openxmlformats.org/officeDocument/2006/relationships/printerSettings" Target="../printerSettings/printerSettings248.bin"/><Relationship Id="rId7" Type="http://schemas.openxmlformats.org/officeDocument/2006/relationships/printerSettings" Target="../printerSettings/printerSettings252.bin"/><Relationship Id="rId2" Type="http://schemas.openxmlformats.org/officeDocument/2006/relationships/printerSettings" Target="../printerSettings/printerSettings247.bin"/><Relationship Id="rId1" Type="http://schemas.openxmlformats.org/officeDocument/2006/relationships/printerSettings" Target="../printerSettings/printerSettings246.bin"/><Relationship Id="rId6" Type="http://schemas.openxmlformats.org/officeDocument/2006/relationships/printerSettings" Target="../printerSettings/printerSettings251.bin"/><Relationship Id="rId5" Type="http://schemas.openxmlformats.org/officeDocument/2006/relationships/printerSettings" Target="../printerSettings/printerSettings250.bin"/><Relationship Id="rId4" Type="http://schemas.openxmlformats.org/officeDocument/2006/relationships/printerSettings" Target="../printerSettings/printerSettings249.bin"/><Relationship Id="rId9" Type="http://schemas.openxmlformats.org/officeDocument/2006/relationships/printerSettings" Target="../printerSettings/printerSettings25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7.bin"/><Relationship Id="rId13" Type="http://schemas.openxmlformats.org/officeDocument/2006/relationships/printerSettings" Target="../printerSettings/printerSettings52.bin"/><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12" Type="http://schemas.openxmlformats.org/officeDocument/2006/relationships/printerSettings" Target="../printerSettings/printerSettings51.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11" Type="http://schemas.openxmlformats.org/officeDocument/2006/relationships/printerSettings" Target="../printerSettings/printerSettings50.bin"/><Relationship Id="rId5" Type="http://schemas.openxmlformats.org/officeDocument/2006/relationships/printerSettings" Target="../printerSettings/printerSettings44.bin"/><Relationship Id="rId10" Type="http://schemas.openxmlformats.org/officeDocument/2006/relationships/printerSettings" Target="../printerSettings/printerSettings49.bin"/><Relationship Id="rId4" Type="http://schemas.openxmlformats.org/officeDocument/2006/relationships/printerSettings" Target="../printerSettings/printerSettings43.bin"/><Relationship Id="rId9" Type="http://schemas.openxmlformats.org/officeDocument/2006/relationships/printerSettings" Target="../printerSettings/printerSettings48.bin"/><Relationship Id="rId1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0.bin"/><Relationship Id="rId13" Type="http://schemas.openxmlformats.org/officeDocument/2006/relationships/printerSettings" Target="../printerSettings/printerSettings65.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printerSettings" Target="../printerSettings/printerSettings64.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0" Type="http://schemas.openxmlformats.org/officeDocument/2006/relationships/printerSettings" Target="../printerSettings/printerSettings62.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 Id="rId1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3.bin"/><Relationship Id="rId13" Type="http://schemas.openxmlformats.org/officeDocument/2006/relationships/printerSettings" Target="../printerSettings/printerSettings78.bin"/><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12" Type="http://schemas.openxmlformats.org/officeDocument/2006/relationships/printerSettings" Target="../printerSettings/printerSettings77.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11" Type="http://schemas.openxmlformats.org/officeDocument/2006/relationships/printerSettings" Target="../printerSettings/printerSettings76.bin"/><Relationship Id="rId5" Type="http://schemas.openxmlformats.org/officeDocument/2006/relationships/printerSettings" Target="../printerSettings/printerSettings70.bin"/><Relationship Id="rId10" Type="http://schemas.openxmlformats.org/officeDocument/2006/relationships/printerSettings" Target="../printerSettings/printerSettings75.bin"/><Relationship Id="rId4" Type="http://schemas.openxmlformats.org/officeDocument/2006/relationships/printerSettings" Target="../printerSettings/printerSettings69.bin"/><Relationship Id="rId9" Type="http://schemas.openxmlformats.org/officeDocument/2006/relationships/printerSettings" Target="../printerSettings/printerSettings7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6.bin"/><Relationship Id="rId13" Type="http://schemas.openxmlformats.org/officeDocument/2006/relationships/printerSettings" Target="../printerSettings/printerSettings91.bin"/><Relationship Id="rId3" Type="http://schemas.openxmlformats.org/officeDocument/2006/relationships/printerSettings" Target="../printerSettings/printerSettings81.bin"/><Relationship Id="rId7" Type="http://schemas.openxmlformats.org/officeDocument/2006/relationships/printerSettings" Target="../printerSettings/printerSettings85.bin"/><Relationship Id="rId12" Type="http://schemas.openxmlformats.org/officeDocument/2006/relationships/printerSettings" Target="../printerSettings/printerSettings90.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11" Type="http://schemas.openxmlformats.org/officeDocument/2006/relationships/printerSettings" Target="../printerSettings/printerSettings89.bin"/><Relationship Id="rId5" Type="http://schemas.openxmlformats.org/officeDocument/2006/relationships/printerSettings" Target="../printerSettings/printerSettings83.bin"/><Relationship Id="rId10" Type="http://schemas.openxmlformats.org/officeDocument/2006/relationships/printerSettings" Target="../printerSettings/printerSettings88.bin"/><Relationship Id="rId4" Type="http://schemas.openxmlformats.org/officeDocument/2006/relationships/printerSettings" Target="../printerSettings/printerSettings82.bin"/><Relationship Id="rId9" Type="http://schemas.openxmlformats.org/officeDocument/2006/relationships/printerSettings" Target="../printerSettings/printerSettings8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9.bin"/><Relationship Id="rId13" Type="http://schemas.openxmlformats.org/officeDocument/2006/relationships/printerSettings" Target="../printerSettings/printerSettings104.bin"/><Relationship Id="rId3" Type="http://schemas.openxmlformats.org/officeDocument/2006/relationships/printerSettings" Target="../printerSettings/printerSettings94.bin"/><Relationship Id="rId7" Type="http://schemas.openxmlformats.org/officeDocument/2006/relationships/printerSettings" Target="../printerSettings/printerSettings98.bin"/><Relationship Id="rId12" Type="http://schemas.openxmlformats.org/officeDocument/2006/relationships/printerSettings" Target="../printerSettings/printerSettings103.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6" Type="http://schemas.openxmlformats.org/officeDocument/2006/relationships/printerSettings" Target="../printerSettings/printerSettings97.bin"/><Relationship Id="rId11" Type="http://schemas.openxmlformats.org/officeDocument/2006/relationships/printerSettings" Target="../printerSettings/printerSettings102.bin"/><Relationship Id="rId5" Type="http://schemas.openxmlformats.org/officeDocument/2006/relationships/printerSettings" Target="../printerSettings/printerSettings96.bin"/><Relationship Id="rId10" Type="http://schemas.openxmlformats.org/officeDocument/2006/relationships/printerSettings" Target="../printerSettings/printerSettings101.bin"/><Relationship Id="rId4" Type="http://schemas.openxmlformats.org/officeDocument/2006/relationships/printerSettings" Target="../printerSettings/printerSettings95.bin"/><Relationship Id="rId9" Type="http://schemas.openxmlformats.org/officeDocument/2006/relationships/printerSettings" Target="../printerSettings/printerSettings10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12.bin"/><Relationship Id="rId13" Type="http://schemas.openxmlformats.org/officeDocument/2006/relationships/printerSettings" Target="../printerSettings/printerSettings117.bin"/><Relationship Id="rId3" Type="http://schemas.openxmlformats.org/officeDocument/2006/relationships/printerSettings" Target="../printerSettings/printerSettings107.bin"/><Relationship Id="rId7" Type="http://schemas.openxmlformats.org/officeDocument/2006/relationships/printerSettings" Target="../printerSettings/printerSettings111.bin"/><Relationship Id="rId12" Type="http://schemas.openxmlformats.org/officeDocument/2006/relationships/printerSettings" Target="../printerSettings/printerSettings116.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6" Type="http://schemas.openxmlformats.org/officeDocument/2006/relationships/printerSettings" Target="../printerSettings/printerSettings110.bin"/><Relationship Id="rId11" Type="http://schemas.openxmlformats.org/officeDocument/2006/relationships/printerSettings" Target="../printerSettings/printerSettings115.bin"/><Relationship Id="rId5" Type="http://schemas.openxmlformats.org/officeDocument/2006/relationships/printerSettings" Target="../printerSettings/printerSettings109.bin"/><Relationship Id="rId10" Type="http://schemas.openxmlformats.org/officeDocument/2006/relationships/printerSettings" Target="../printerSettings/printerSettings114.bin"/><Relationship Id="rId4" Type="http://schemas.openxmlformats.org/officeDocument/2006/relationships/printerSettings" Target="../printerSettings/printerSettings108.bin"/><Relationship Id="rId9" Type="http://schemas.openxmlformats.org/officeDocument/2006/relationships/printerSettings" Target="../printerSettings/printerSettings113.bin"/><Relationship Id="rId1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view="pageBreakPreview" zoomScale="190" zoomScaleNormal="100" zoomScaleSheetLayoutView="190" workbookViewId="0">
      <selection activeCell="B1" sqref="B1"/>
    </sheetView>
  </sheetViews>
  <sheetFormatPr defaultColWidth="9.109375" defaultRowHeight="14.4"/>
  <cols>
    <col min="1" max="1" width="20.5546875" style="18" customWidth="1"/>
    <col min="2" max="2" width="82.109375" style="18" customWidth="1"/>
    <col min="3" max="8" width="9.109375" style="18"/>
    <col min="9" max="9" width="9.109375" style="18" hidden="1" customWidth="1"/>
    <col min="10" max="16384" width="9.109375" style="18"/>
  </cols>
  <sheetData>
    <row r="1" spans="1:9" ht="83.25" customHeight="1">
      <c r="A1" s="16" t="s">
        <v>40</v>
      </c>
      <c r="B1" s="558" t="s">
        <v>506</v>
      </c>
      <c r="C1" s="17"/>
      <c r="D1" s="17"/>
      <c r="E1" s="17"/>
      <c r="F1" s="17"/>
      <c r="G1" s="17"/>
      <c r="H1" s="17"/>
    </row>
    <row r="2" spans="1:9">
      <c r="B2" s="19"/>
      <c r="I2" s="18" t="s">
        <v>257</v>
      </c>
    </row>
    <row r="3" spans="1:9">
      <c r="A3" s="18" t="s">
        <v>41</v>
      </c>
      <c r="B3" s="352" t="s">
        <v>484</v>
      </c>
      <c r="I3" s="18" t="s">
        <v>258</v>
      </c>
    </row>
    <row r="5" spans="1:9" ht="15.6">
      <c r="A5" s="18" t="s">
        <v>42</v>
      </c>
      <c r="B5" s="361" t="s">
        <v>505</v>
      </c>
      <c r="C5" s="17"/>
      <c r="D5" s="17"/>
      <c r="E5" s="17"/>
      <c r="F5" s="17"/>
      <c r="G5" s="17"/>
      <c r="H5" s="17"/>
    </row>
  </sheetData>
  <sheetProtection algorithmName="SHA-512" hashValue="ESvgWbiGtsnjZPzi61MqZEYu53gdXdTPOBK7mgzjz4Mtx7HiNm9btyIWT31/tNoL3AlJe3PodGpcOy7l7Fthxw==" saltValue="eTxV7StAKwM9WLjrp+gNMA==" spinCount="100000" sheet="1" selectLockedCells="1" selectUnlockedCells="1"/>
  <customSheetViews>
    <customSheetView guid="{8BA4A88A-5522-45F5-A82B-CD7725CE50B1}" scale="190" showPageBreaks="1" hiddenColumns="1" state="hidden" view="pageBreakPreview">
      <selection activeCell="B9" sqref="B9"/>
      <pageMargins left="0.75" right="0.75" top="1" bottom="1" header="0.5" footer="0.5"/>
      <pageSetup scale="86" orientation="portrait" r:id="rId1"/>
      <headerFooter alignWithMargins="0"/>
    </customSheetView>
    <customSheetView guid="{889C3D82-0A24-4765-A688-A80A782F5056}" scale="190" showPageBreaks="1" hiddenColumns="1" state="hidden" view="pageBreakPreview">
      <selection activeCell="B9" sqref="B9"/>
      <pageMargins left="0.75" right="0.75" top="1" bottom="1" header="0.5" footer="0.5"/>
      <pageSetup scale="86" orientation="portrait" r:id="rId2"/>
      <headerFooter alignWithMargins="0"/>
    </customSheetView>
    <customSheetView guid="{89CB4E6A-722E-4E39-885D-E2A6D0D08321}" hiddenColumns="1" state="hidden">
      <selection activeCell="B10" sqref="B10"/>
      <pageMargins left="0.75" right="0.75" top="1" bottom="1" header="0.5" footer="0.5"/>
      <pageSetup orientation="portrait" r:id="rId3"/>
      <headerFooter alignWithMargins="0"/>
    </customSheetView>
    <customSheetView guid="{915C64AD-BD67-44F0-9117-5B9D998BA799}" hiddenColumns="1" state="hidden">
      <selection activeCell="B17" sqref="B17"/>
      <pageMargins left="0.75" right="0.75" top="1" bottom="1" header="0.5" footer="0.5"/>
      <pageSetup orientation="portrait" r:id="rId4"/>
      <headerFooter alignWithMargins="0"/>
    </customSheetView>
    <customSheetView guid="{18EA11B4-BD82-47BF-99FA-7AB19BF74D0B}" hiddenColumns="1" state="hidden">
      <selection activeCell="B17" sqref="B17"/>
      <pageMargins left="0.75" right="0.75" top="1" bottom="1" header="0.5" footer="0.5"/>
      <pageSetup orientation="portrait" r:id="rId5"/>
      <headerFooter alignWithMargins="0"/>
    </customSheetView>
    <customSheetView guid="{CCA37BAE-906F-43D5-9FD9-B13563E4B9D7}" hiddenColumns="1" state="hidden">
      <selection activeCell="B12" sqref="B12"/>
      <pageMargins left="0.75" right="0.75" top="1" bottom="1" header="0.5" footer="0.5"/>
      <pageSetup orientation="portrait" r:id="rId6"/>
      <headerFooter alignWithMargins="0"/>
    </customSheetView>
    <customSheetView guid="{99CA2F10-F926-46DC-8609-4EAE5B9F3585}" hiddenColumns="1" state="hidden">
      <selection activeCell="E14" sqref="E14"/>
      <pageMargins left="0.75" right="0.75" top="1" bottom="1" header="0.5" footer="0.5"/>
      <pageSetup orientation="portrait" r:id="rId7"/>
      <headerFooter alignWithMargins="0"/>
    </customSheetView>
    <customSheetView guid="{63D51328-7CBC-4A1E-B96D-BAE91416501B}" hiddenColumns="1" state="hidden">
      <selection activeCell="B9" sqref="B9:B10"/>
      <pageMargins left="0.75" right="0.75" top="1" bottom="1" header="0.5" footer="0.5"/>
      <pageSetup orientation="portrait" r:id="rId8"/>
      <headerFooter alignWithMargins="0"/>
    </customSheetView>
    <customSheetView guid="{3C00DDA0-7DDE-4169-A739-550DAF5DCF8D}" hiddenColumns="1" state="hidden">
      <selection activeCell="B11" sqref="B11"/>
      <pageMargins left="0.75" right="0.75" top="1" bottom="1" header="0.5" footer="0.5"/>
      <pageSetup orientation="portrait" r:id="rId9"/>
      <headerFooter alignWithMargins="0"/>
    </customSheetView>
    <customSheetView guid="{357C9841-BEC3-434B-AC63-C04FB4321BA3}" hiddenColumns="1" state="hidden">
      <selection activeCell="B17" sqref="B17"/>
      <pageMargins left="0.75" right="0.75" top="1" bottom="1" header="0.5" footer="0.5"/>
      <pageSetup orientation="portrait" r:id="rId10"/>
      <headerFooter alignWithMargins="0"/>
    </customSheetView>
    <customSheetView guid="{B96E710B-6DD7-4DE1-95AB-C9EE060CD030}" hiddenColumns="1" state="hidden">
      <selection activeCell="B9" sqref="B9:B10"/>
      <pageMargins left="0.75" right="0.75" top="1" bottom="1" header="0.5" footer="0.5"/>
      <pageSetup orientation="portrait" r:id="rId11"/>
      <headerFooter alignWithMargins="0"/>
    </customSheetView>
    <customSheetView guid="{A58DB4DF-40C7-4BEB-B85E-6BD6F54941CF}" hiddenColumns="1" state="hidden">
      <selection activeCell="B17" sqref="B17"/>
      <pageMargins left="0.75" right="0.75" top="1" bottom="1" header="0.5" footer="0.5"/>
      <pageSetup orientation="portrait" r:id="rId12"/>
      <headerFooter alignWithMargins="0"/>
    </customSheetView>
  </customSheetViews>
  <pageMargins left="0.75" right="0.75" top="1" bottom="1" header="0.5" footer="0.5"/>
  <pageSetup scale="86" orientation="portrait" r:id="rId1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4140625" defaultRowHeight="15.6"/>
  <cols>
    <col min="1" max="1" width="11.88671875" style="13" customWidth="1"/>
    <col min="2" max="2" width="46.6640625" style="13" customWidth="1"/>
    <col min="3" max="3" width="20" style="13" customWidth="1"/>
    <col min="4" max="4" width="23.44140625" style="13" customWidth="1"/>
    <col min="5" max="5" width="22.88671875" style="13" customWidth="1"/>
    <col min="6" max="6" width="11.44140625" style="65" customWidth="1"/>
    <col min="7" max="7" width="34.109375" style="65" customWidth="1"/>
    <col min="8" max="8" width="11.44140625" style="65" customWidth="1"/>
    <col min="9" max="9" width="14" style="337" customWidth="1"/>
    <col min="10" max="10" width="14.44140625" style="337" customWidth="1"/>
    <col min="11" max="11" width="17.109375" style="337" customWidth="1"/>
    <col min="12" max="13" width="11.44140625" style="337" customWidth="1"/>
    <col min="14" max="14" width="21.33203125" style="337" customWidth="1"/>
    <col min="15" max="15" width="18.33203125" style="65" customWidth="1"/>
    <col min="16" max="17" width="11.44140625" style="65" customWidth="1"/>
    <col min="18" max="18" width="11.44140625" style="91" customWidth="1"/>
    <col min="19" max="24" width="11.44140625" style="65" customWidth="1"/>
    <col min="25" max="16384" width="11.44140625" style="91"/>
  </cols>
  <sheetData>
    <row r="1" spans="1:15" ht="18" customHeight="1">
      <c r="A1" s="61" t="str">
        <f>Cover!B3</f>
        <v>CC/NT/W-COND/DOM/A04/24/05656</v>
      </c>
      <c r="B1" s="62"/>
      <c r="C1" s="63"/>
      <c r="D1" s="63"/>
      <c r="E1" s="64" t="s">
        <v>127</v>
      </c>
    </row>
    <row r="2" spans="1:15" ht="8.1" customHeight="1">
      <c r="A2" s="66"/>
      <c r="B2" s="67"/>
      <c r="C2" s="68"/>
      <c r="D2" s="68"/>
      <c r="E2" s="69"/>
      <c r="F2" s="70"/>
    </row>
    <row r="3" spans="1:15" ht="111" customHeight="1">
      <c r="A3" s="643" t="str">
        <f>Cover!$B$2</f>
        <v>Reconductoring Package - OH01 for (i) Reconductoring of 220kV Hisar (PG)-Hisar (IA) D/c line associated with ‘Reconductoring of 220kV Hisar (PG) – Hisar (IA) S/c line’; and (ii) Reconductoring of 400 kV S/c (TWIN ACSR MOOSE) Raichur – Veltoor (Mahabubnagar) line with TWIN HTLS conductor associated with ‘Reconductoring of Raichur – Veltoor (Mahabubnagar) 400kV S/c line with HTLS conductor’.</v>
      </c>
      <c r="B3" s="643"/>
      <c r="C3" s="643"/>
      <c r="D3" s="643"/>
      <c r="E3" s="643"/>
    </row>
    <row r="4" spans="1:15" ht="21.9" customHeight="1">
      <c r="A4" s="631" t="s">
        <v>128</v>
      </c>
      <c r="B4" s="631"/>
      <c r="C4" s="631"/>
      <c r="D4" s="631"/>
      <c r="E4" s="631"/>
    </row>
    <row r="5" spans="1:15" ht="12" customHeight="1">
      <c r="A5" s="71"/>
      <c r="B5" s="72"/>
      <c r="C5" s="72"/>
      <c r="D5" s="72"/>
      <c r="E5" s="72"/>
    </row>
    <row r="6" spans="1:15" ht="20.25" customHeight="1">
      <c r="A6" s="607" t="s">
        <v>338</v>
      </c>
      <c r="B6" s="607"/>
      <c r="C6" s="2"/>
      <c r="D6" s="72"/>
      <c r="E6" s="72"/>
    </row>
    <row r="7" spans="1:15" ht="18" customHeight="1">
      <c r="A7" s="610">
        <f>'Sch-1'!A7</f>
        <v>0</v>
      </c>
      <c r="B7" s="610"/>
      <c r="C7" s="610"/>
      <c r="D7" s="73" t="s">
        <v>1</v>
      </c>
    </row>
    <row r="8" spans="1:15" ht="18" customHeight="1">
      <c r="A8" s="608" t="str">
        <f>"Bidder’s Name and Address  (" &amp; MID('Names of Bidder'!A9,9, 20) &amp; ") :"</f>
        <v>Bidder’s Name and Address  (Sole Bidder) :</v>
      </c>
      <c r="B8" s="608"/>
      <c r="C8" s="608"/>
      <c r="D8" s="74" t="str">
        <f>'Sch-1'!K8</f>
        <v>Contract Services</v>
      </c>
    </row>
    <row r="9" spans="1:15" ht="18" customHeight="1">
      <c r="A9" s="368" t="s">
        <v>12</v>
      </c>
      <c r="B9" s="368" t="str">
        <f>IF('Names of Bidder'!C9=0, "", 'Names of Bidder'!C9)</f>
        <v/>
      </c>
      <c r="C9" s="91"/>
      <c r="D9" s="74" t="str">
        <f>'Sch-1'!K9</f>
        <v>Power Grid Corporation of India Ltd.,</v>
      </c>
    </row>
    <row r="10" spans="1:15" ht="18" customHeight="1">
      <c r="A10" s="368" t="s">
        <v>11</v>
      </c>
      <c r="B10" s="220" t="str">
        <f>IF('Names of Bidder'!C10=0, "", 'Names of Bidder'!C10)</f>
        <v/>
      </c>
      <c r="C10" s="91"/>
      <c r="D10" s="74" t="str">
        <f>'Sch-1'!K10</f>
        <v>"Saudamini", Plot No.-2</v>
      </c>
    </row>
    <row r="11" spans="1:15" ht="18" customHeight="1">
      <c r="A11" s="354"/>
      <c r="B11" s="220" t="str">
        <f>IF('Names of Bidder'!C11=0, "", 'Names of Bidder'!C11)</f>
        <v/>
      </c>
      <c r="C11" s="91"/>
      <c r="D11" s="74" t="str">
        <f>'Sch-1'!K11</f>
        <v xml:space="preserve">Sector-29, </v>
      </c>
    </row>
    <row r="12" spans="1:15" ht="18" customHeight="1">
      <c r="A12" s="354"/>
      <c r="B12" s="220" t="str">
        <f>IF('Names of Bidder'!C12=0, "", 'Names of Bidder'!C12)</f>
        <v/>
      </c>
      <c r="C12" s="91"/>
      <c r="D12" s="74" t="str">
        <f>'Sch-1'!K12</f>
        <v>Gurgaon (Haryana) - 122001</v>
      </c>
    </row>
    <row r="13" spans="1:15" ht="8.1" customHeight="1" thickBot="1"/>
    <row r="14" spans="1:15" ht="21.9" customHeight="1">
      <c r="A14" s="489" t="s">
        <v>129</v>
      </c>
      <c r="B14" s="632" t="s">
        <v>130</v>
      </c>
      <c r="C14" s="632"/>
      <c r="D14" s="633" t="s">
        <v>131</v>
      </c>
      <c r="E14" s="634"/>
      <c r="I14" s="641"/>
      <c r="J14" s="641"/>
      <c r="K14" s="641"/>
      <c r="M14" s="638"/>
      <c r="N14" s="638"/>
      <c r="O14" s="638"/>
    </row>
    <row r="15" spans="1:15" ht="24.75" customHeight="1">
      <c r="A15" s="490" t="s">
        <v>134</v>
      </c>
      <c r="B15" s="635" t="s">
        <v>314</v>
      </c>
      <c r="C15" s="635"/>
      <c r="D15" s="646">
        <f>'Sch-1'!S97</f>
        <v>0</v>
      </c>
      <c r="E15" s="647"/>
      <c r="I15" s="338"/>
      <c r="K15" s="338"/>
      <c r="M15" s="338"/>
      <c r="O15" s="76"/>
    </row>
    <row r="16" spans="1:15" ht="81" customHeight="1">
      <c r="A16" s="491"/>
      <c r="B16" s="627" t="s">
        <v>315</v>
      </c>
      <c r="C16" s="627"/>
      <c r="D16" s="648"/>
      <c r="E16" s="649"/>
      <c r="G16" s="77"/>
    </row>
    <row r="17" spans="1:15" ht="24.75" customHeight="1">
      <c r="A17" s="490" t="s">
        <v>136</v>
      </c>
      <c r="B17" s="635" t="s">
        <v>316</v>
      </c>
      <c r="C17" s="635"/>
      <c r="D17" s="636">
        <f>'Sch-3'!U49</f>
        <v>0</v>
      </c>
      <c r="E17" s="637"/>
      <c r="I17" s="338"/>
      <c r="K17" s="339"/>
      <c r="M17" s="338"/>
      <c r="O17" s="79"/>
    </row>
    <row r="18" spans="1:15" ht="81.75" customHeight="1">
      <c r="A18" s="491"/>
      <c r="B18" s="627" t="s">
        <v>317</v>
      </c>
      <c r="C18" s="627"/>
      <c r="D18" s="644"/>
      <c r="E18" s="645"/>
      <c r="G18" s="80"/>
      <c r="I18" s="340"/>
      <c r="M18" s="340"/>
    </row>
    <row r="19" spans="1:15" ht="33" customHeight="1" thickBot="1">
      <c r="A19" s="492"/>
      <c r="B19" s="493" t="s">
        <v>320</v>
      </c>
      <c r="C19" s="494"/>
      <c r="D19" s="625">
        <f>D15+D17</f>
        <v>0</v>
      </c>
      <c r="E19" s="626"/>
    </row>
    <row r="20" spans="1:15" ht="30" customHeight="1">
      <c r="A20" s="81"/>
      <c r="B20" s="81"/>
      <c r="C20" s="82"/>
      <c r="D20" s="81"/>
      <c r="E20" s="81"/>
    </row>
    <row r="21" spans="1:15" ht="30" customHeight="1">
      <c r="A21" s="83" t="s">
        <v>142</v>
      </c>
      <c r="B21" s="497" t="str">
        <f>'Sch-5'!B21</f>
        <v xml:space="preserve">  </v>
      </c>
      <c r="C21" s="82" t="s">
        <v>143</v>
      </c>
      <c r="D21" s="642" t="str">
        <f>'Sch-5'!D21</f>
        <v/>
      </c>
      <c r="E21" s="642"/>
      <c r="F21" s="84"/>
    </row>
    <row r="22" spans="1:15" ht="30" customHeight="1">
      <c r="A22" s="83" t="s">
        <v>144</v>
      </c>
      <c r="B22" s="498" t="str">
        <f>'Sch-5'!B22</f>
        <v/>
      </c>
      <c r="C22" s="82" t="s">
        <v>145</v>
      </c>
      <c r="D22" s="642" t="str">
        <f>'Sch-5'!D22</f>
        <v/>
      </c>
      <c r="E22" s="642"/>
      <c r="F22" s="84"/>
    </row>
    <row r="23" spans="1:15" ht="30" customHeight="1">
      <c r="A23" s="85"/>
      <c r="B23" s="86"/>
      <c r="C23" s="82"/>
      <c r="D23" s="65"/>
      <c r="E23" s="65"/>
      <c r="F23" s="84"/>
    </row>
    <row r="24" spans="1:15" ht="33" customHeight="1">
      <c r="A24" s="85"/>
      <c r="B24" s="86"/>
      <c r="C24" s="70"/>
      <c r="D24" s="87"/>
      <c r="E24" s="88"/>
      <c r="F24" s="84"/>
    </row>
    <row r="25" spans="1:15" ht="21.9" customHeight="1">
      <c r="A25" s="89"/>
      <c r="B25" s="89"/>
      <c r="C25" s="89"/>
      <c r="D25" s="89"/>
      <c r="E25" s="90"/>
    </row>
    <row r="26" spans="1:15" ht="21.9" customHeight="1">
      <c r="A26" s="89"/>
      <c r="B26" s="89"/>
      <c r="C26" s="89"/>
      <c r="D26" s="89"/>
      <c r="E26" s="90"/>
    </row>
    <row r="27" spans="1:15" ht="21.9" customHeight="1">
      <c r="A27" s="89"/>
      <c r="B27" s="89"/>
      <c r="C27" s="89"/>
      <c r="D27" s="89"/>
      <c r="E27" s="90"/>
    </row>
    <row r="28" spans="1:15" ht="21.9" customHeight="1">
      <c r="A28" s="89"/>
      <c r="B28" s="89"/>
      <c r="C28" s="89"/>
      <c r="D28" s="89"/>
      <c r="E28" s="90"/>
    </row>
    <row r="29" spans="1:15" ht="21.9" customHeight="1">
      <c r="A29" s="89"/>
      <c r="B29" s="89"/>
      <c r="C29" s="89"/>
      <c r="D29" s="89"/>
      <c r="E29" s="90"/>
    </row>
    <row r="30" spans="1:15" ht="21.9" customHeight="1">
      <c r="A30" s="89"/>
      <c r="B30" s="89"/>
      <c r="C30" s="89"/>
      <c r="D30" s="89"/>
      <c r="E30" s="90"/>
    </row>
    <row r="31" spans="1:15" ht="24.9" customHeight="1">
      <c r="A31" s="88"/>
      <c r="B31" s="88"/>
      <c r="C31" s="88"/>
      <c r="D31" s="88"/>
      <c r="E31" s="88"/>
    </row>
    <row r="32" spans="1:15" ht="24.9" customHeight="1">
      <c r="A32" s="88"/>
      <c r="B32" s="88"/>
      <c r="C32" s="88"/>
      <c r="D32" s="88"/>
      <c r="E32" s="88"/>
    </row>
    <row r="33" spans="1:5" ht="24.9" customHeight="1">
      <c r="A33" s="88"/>
      <c r="B33" s="88"/>
      <c r="C33" s="88"/>
      <c r="D33" s="88"/>
      <c r="E33" s="88"/>
    </row>
    <row r="34" spans="1:5" ht="24.9" customHeight="1">
      <c r="A34" s="88"/>
      <c r="B34" s="88"/>
      <c r="C34" s="88"/>
      <c r="D34" s="88"/>
      <c r="E34" s="88"/>
    </row>
    <row r="35" spans="1:5" ht="24.9" customHeight="1">
      <c r="A35" s="88"/>
      <c r="B35" s="88"/>
      <c r="C35" s="88"/>
      <c r="D35" s="88"/>
      <c r="E35" s="88"/>
    </row>
    <row r="36" spans="1:5" ht="24.9" customHeight="1">
      <c r="A36" s="88"/>
      <c r="B36" s="88"/>
      <c r="C36" s="88"/>
      <c r="D36" s="88"/>
      <c r="E36" s="88"/>
    </row>
    <row r="37" spans="1:5" ht="24.9" customHeight="1">
      <c r="A37" s="88"/>
      <c r="B37" s="88"/>
      <c r="C37" s="88"/>
      <c r="D37" s="88"/>
      <c r="E37" s="88"/>
    </row>
    <row r="38" spans="1:5" ht="24.9" customHeight="1">
      <c r="A38" s="88"/>
      <c r="B38" s="88"/>
      <c r="C38" s="88"/>
      <c r="D38" s="88"/>
      <c r="E38" s="88"/>
    </row>
    <row r="39" spans="1:5" ht="24.9" customHeight="1">
      <c r="A39" s="88"/>
      <c r="B39" s="88"/>
      <c r="C39" s="88"/>
      <c r="D39" s="88"/>
      <c r="E39" s="88"/>
    </row>
    <row r="40" spans="1:5" ht="24.9" customHeight="1">
      <c r="A40" s="88"/>
      <c r="B40" s="88"/>
      <c r="C40" s="88"/>
      <c r="D40" s="88"/>
      <c r="E40" s="88"/>
    </row>
    <row r="41" spans="1:5" ht="24.9" customHeight="1">
      <c r="A41" s="88"/>
      <c r="B41" s="88"/>
      <c r="C41" s="88"/>
      <c r="D41" s="88"/>
      <c r="E41" s="88"/>
    </row>
    <row r="42" spans="1:5" ht="24.9" customHeight="1">
      <c r="A42" s="88"/>
      <c r="B42" s="88"/>
      <c r="C42" s="88"/>
      <c r="D42" s="88"/>
      <c r="E42" s="88"/>
    </row>
    <row r="43" spans="1:5" ht="24.9" customHeight="1">
      <c r="A43" s="88"/>
      <c r="B43" s="88"/>
      <c r="C43" s="88"/>
      <c r="D43" s="88"/>
      <c r="E43" s="88"/>
    </row>
    <row r="44" spans="1:5" ht="24.9" customHeight="1">
      <c r="A44" s="88"/>
      <c r="B44" s="88"/>
      <c r="C44" s="88"/>
      <c r="D44" s="88"/>
      <c r="E44" s="88"/>
    </row>
    <row r="45" spans="1:5" ht="24.9" customHeight="1">
      <c r="A45" s="88"/>
      <c r="B45" s="88"/>
      <c r="C45" s="88"/>
      <c r="D45" s="88"/>
      <c r="E45" s="88"/>
    </row>
    <row r="46" spans="1:5" ht="24.9" customHeight="1">
      <c r="A46" s="88"/>
      <c r="B46" s="88"/>
      <c r="C46" s="88"/>
      <c r="D46" s="88"/>
      <c r="E46" s="88"/>
    </row>
    <row r="47" spans="1:5" ht="24.9" customHeight="1">
      <c r="A47" s="88"/>
      <c r="B47" s="88"/>
      <c r="C47" s="88"/>
      <c r="D47" s="88"/>
      <c r="E47" s="88"/>
    </row>
    <row r="48" spans="1:5" ht="24.9" customHeight="1">
      <c r="A48" s="88"/>
      <c r="B48" s="88"/>
      <c r="C48" s="88"/>
      <c r="D48" s="88"/>
      <c r="E48" s="88"/>
    </row>
    <row r="49" spans="1:5" ht="24.9" customHeight="1">
      <c r="A49" s="88"/>
      <c r="B49" s="88"/>
      <c r="C49" s="88"/>
      <c r="D49" s="88"/>
      <c r="E49" s="88"/>
    </row>
    <row r="50" spans="1:5" ht="24.9" customHeight="1">
      <c r="A50" s="88"/>
      <c r="B50" s="88"/>
      <c r="C50" s="88"/>
      <c r="D50" s="88"/>
      <c r="E50" s="88"/>
    </row>
    <row r="51" spans="1:5" ht="24.9" customHeight="1">
      <c r="A51" s="88"/>
      <c r="B51" s="88"/>
      <c r="C51" s="88"/>
      <c r="D51" s="88"/>
      <c r="E51" s="88"/>
    </row>
    <row r="52" spans="1:5" ht="24.9" customHeight="1">
      <c r="A52" s="88"/>
      <c r="B52" s="88"/>
      <c r="C52" s="88"/>
      <c r="D52" s="88"/>
      <c r="E52" s="88"/>
    </row>
    <row r="53" spans="1:5" ht="24.9" customHeight="1">
      <c r="A53" s="88"/>
      <c r="B53" s="88"/>
      <c r="C53" s="88"/>
      <c r="D53" s="88"/>
      <c r="E53" s="88"/>
    </row>
    <row r="54" spans="1:5">
      <c r="A54" s="88"/>
      <c r="B54" s="88"/>
      <c r="C54" s="88"/>
      <c r="D54" s="88"/>
      <c r="E54" s="88"/>
    </row>
    <row r="55" spans="1:5">
      <c r="A55" s="88"/>
      <c r="B55" s="88"/>
      <c r="C55" s="88"/>
      <c r="D55" s="88"/>
      <c r="E55" s="88"/>
    </row>
    <row r="56" spans="1:5">
      <c r="A56" s="88"/>
      <c r="B56" s="88"/>
      <c r="C56" s="88"/>
      <c r="D56" s="88"/>
      <c r="E56" s="88"/>
    </row>
    <row r="57" spans="1:5">
      <c r="A57" s="88"/>
      <c r="B57" s="88"/>
      <c r="C57" s="88"/>
      <c r="D57" s="88"/>
      <c r="E57" s="88"/>
    </row>
    <row r="58" spans="1:5">
      <c r="A58" s="88"/>
      <c r="B58" s="88"/>
      <c r="C58" s="88"/>
      <c r="D58" s="88"/>
      <c r="E58" s="88"/>
    </row>
    <row r="59" spans="1:5">
      <c r="A59" s="88"/>
      <c r="B59" s="88"/>
      <c r="C59" s="88"/>
      <c r="D59" s="88"/>
      <c r="E59" s="88"/>
    </row>
    <row r="60" spans="1:5">
      <c r="A60" s="88"/>
      <c r="B60" s="88"/>
      <c r="C60" s="88"/>
      <c r="D60" s="88"/>
      <c r="E60" s="88"/>
    </row>
    <row r="61" spans="1:5">
      <c r="A61" s="88"/>
      <c r="B61" s="88"/>
      <c r="C61" s="88"/>
      <c r="D61" s="88"/>
      <c r="E61" s="88"/>
    </row>
    <row r="62" spans="1:5">
      <c r="A62" s="88"/>
      <c r="B62" s="88"/>
      <c r="C62" s="88"/>
      <c r="D62" s="88"/>
      <c r="E62" s="88"/>
    </row>
    <row r="63" spans="1:5">
      <c r="A63" s="88"/>
      <c r="B63" s="88"/>
      <c r="C63" s="88"/>
      <c r="D63" s="88"/>
      <c r="E63" s="88"/>
    </row>
    <row r="64" spans="1:5">
      <c r="A64" s="88"/>
      <c r="B64" s="88"/>
      <c r="C64" s="88"/>
      <c r="D64" s="88"/>
      <c r="E64" s="88"/>
    </row>
    <row r="65" spans="1:5">
      <c r="A65" s="88"/>
      <c r="B65" s="88"/>
      <c r="C65" s="88"/>
      <c r="D65" s="88"/>
      <c r="E65" s="88"/>
    </row>
    <row r="66" spans="1:5">
      <c r="A66" s="88"/>
      <c r="B66" s="88"/>
      <c r="C66" s="88"/>
      <c r="D66" s="88"/>
      <c r="E66" s="88"/>
    </row>
    <row r="67" spans="1:5">
      <c r="A67" s="88"/>
      <c r="B67" s="88"/>
      <c r="C67" s="88"/>
      <c r="D67" s="88"/>
      <c r="E67" s="88"/>
    </row>
    <row r="68" spans="1:5">
      <c r="A68" s="88"/>
      <c r="B68" s="88"/>
      <c r="C68" s="88"/>
      <c r="D68" s="88"/>
      <c r="E68" s="88"/>
    </row>
    <row r="69" spans="1:5">
      <c r="A69" s="88"/>
      <c r="B69" s="88"/>
      <c r="C69" s="88"/>
      <c r="D69" s="88"/>
      <c r="E69" s="88"/>
    </row>
    <row r="70" spans="1:5">
      <c r="A70" s="88"/>
      <c r="B70" s="88"/>
      <c r="C70" s="88"/>
      <c r="D70" s="88"/>
      <c r="E70" s="88"/>
    </row>
    <row r="71" spans="1:5">
      <c r="A71" s="88"/>
      <c r="B71" s="88"/>
      <c r="C71" s="88"/>
      <c r="D71" s="88"/>
      <c r="E71" s="88"/>
    </row>
  </sheetData>
  <sheetProtection password="EE0B" sheet="1" objects="1" scenarios="1" formatColumns="0" formatRows="0" selectLockedCells="1"/>
  <dataConsolidate/>
  <customSheetViews>
    <customSheetView guid="{8BA4A88A-5522-45F5-A82B-CD7725CE50B1}"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9"/>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2"/>
  <headerFooter alignWithMargins="0">
    <oddFooter>&amp;R&amp;"Book Antiqua,Bold"&amp;10Schedule-5/ Page &amp;P of &amp;N</oddFooter>
  </headerFooter>
  <ignoredErrors>
    <ignoredError sqref="D15" evalError="1"/>
  </ignoredErrors>
  <drawing r:id="rId1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zoomScale="130" zoomScaleSheetLayoutView="130" workbookViewId="0">
      <selection activeCell="A3" sqref="A3:D3"/>
    </sheetView>
  </sheetViews>
  <sheetFormatPr defaultColWidth="11.44140625" defaultRowHeight="15.6"/>
  <cols>
    <col min="1" max="1" width="12.109375" style="13" customWidth="1"/>
    <col min="2" max="2" width="31.44140625" style="13" customWidth="1"/>
    <col min="3" max="3" width="24" style="13" customWidth="1"/>
    <col min="4" max="4" width="39.33203125" style="13" customWidth="1"/>
    <col min="5" max="16384" width="11.44140625" style="91"/>
  </cols>
  <sheetData>
    <row r="1" spans="1:6" ht="18" customHeight="1">
      <c r="A1" s="92" t="str">
        <f>Cover!B3</f>
        <v>CC/NT/W-COND/DOM/A04/24/05656</v>
      </c>
      <c r="B1" s="93"/>
      <c r="C1" s="94"/>
      <c r="D1" s="95" t="s">
        <v>146</v>
      </c>
    </row>
    <row r="2" spans="1:6" ht="18" customHeight="1">
      <c r="A2" s="96"/>
      <c r="B2" s="97"/>
      <c r="C2" s="98"/>
      <c r="D2" s="98"/>
    </row>
    <row r="3" spans="1:6" ht="78.75" customHeight="1">
      <c r="A3" s="965" t="str">
        <f>Cover!$B$2</f>
        <v>Reconductoring Package - OH01 for (i) Reconductoring of 220kV Hisar (PG)-Hisar (IA) D/c line associated with ‘Reconductoring of 220kV Hisar (PG) – Hisar (IA) S/c line’; and (ii) Reconductoring of 400 kV S/c (TWIN ACSR MOOSE) Raichur – Veltoor (Mahabubnagar) line with TWIN HTLS conductor associated with ‘Reconductoring of Raichur – Veltoor (Mahabubnagar) 400kV S/c line with HTLS conductor’.</v>
      </c>
      <c r="B3" s="965"/>
      <c r="C3" s="965"/>
      <c r="D3" s="965"/>
      <c r="E3" s="99"/>
      <c r="F3" s="99"/>
    </row>
    <row r="4" spans="1:6" ht="21.9" customHeight="1">
      <c r="A4" s="631" t="s">
        <v>147</v>
      </c>
      <c r="B4" s="631"/>
      <c r="C4" s="631"/>
      <c r="D4" s="631"/>
    </row>
    <row r="5" spans="1:6" ht="18" customHeight="1">
      <c r="A5" s="100"/>
    </row>
    <row r="6" spans="1:6" ht="18" customHeight="1">
      <c r="A6" s="607" t="s">
        <v>338</v>
      </c>
      <c r="B6" s="607"/>
      <c r="C6" s="2"/>
    </row>
    <row r="7" spans="1:6" ht="18" customHeight="1">
      <c r="A7" s="610">
        <f>'Sch-1'!A7</f>
        <v>0</v>
      </c>
      <c r="B7" s="610"/>
      <c r="C7" s="610"/>
      <c r="D7" s="73" t="s">
        <v>1</v>
      </c>
    </row>
    <row r="8" spans="1:6" ht="21.75" customHeight="1">
      <c r="A8" s="608" t="str">
        <f>"Bidder’s Name and Address  (" &amp; MID('Names of Bidder'!A9,9, 20) &amp; ") :"</f>
        <v>Bidder’s Name and Address  (Sole Bidder) :</v>
      </c>
      <c r="B8" s="608"/>
      <c r="C8" s="608"/>
      <c r="D8" s="74" t="str">
        <f>'Sch-1'!K8</f>
        <v>Contract Services</v>
      </c>
    </row>
    <row r="9" spans="1:6" ht="18" customHeight="1">
      <c r="A9" s="368" t="s">
        <v>12</v>
      </c>
      <c r="B9" s="368" t="str">
        <f>IF('Names of Bidder'!C9=0, "", 'Names of Bidder'!C9)</f>
        <v/>
      </c>
      <c r="C9" s="91"/>
      <c r="D9" s="74" t="str">
        <f>'Sch-1'!K9</f>
        <v>Power Grid Corporation of India Ltd.,</v>
      </c>
    </row>
    <row r="10" spans="1:6" ht="18" customHeight="1">
      <c r="A10" s="368" t="s">
        <v>11</v>
      </c>
      <c r="B10" s="220" t="str">
        <f>IF('Names of Bidder'!C10=0, "", 'Names of Bidder'!C10)</f>
        <v/>
      </c>
      <c r="C10" s="91"/>
      <c r="D10" s="74" t="str">
        <f>'Sch-1'!K10</f>
        <v>"Saudamini", Plot No.-2</v>
      </c>
    </row>
    <row r="11" spans="1:6" ht="18" customHeight="1">
      <c r="A11" s="354"/>
      <c r="B11" s="220" t="str">
        <f>IF('Names of Bidder'!C11=0, "", 'Names of Bidder'!C11)</f>
        <v/>
      </c>
      <c r="C11" s="91"/>
      <c r="D11" s="74" t="str">
        <f>'Sch-1'!K11</f>
        <v xml:space="preserve">Sector-29, </v>
      </c>
    </row>
    <row r="12" spans="1:6" ht="18" customHeight="1">
      <c r="A12" s="354"/>
      <c r="B12" s="220" t="str">
        <f>IF('Names of Bidder'!C12=0, "", 'Names of Bidder'!C12)</f>
        <v/>
      </c>
      <c r="C12" s="91"/>
      <c r="D12" s="74" t="str">
        <f>'Sch-1'!K12</f>
        <v>Gurgaon (Haryana) - 122001</v>
      </c>
    </row>
    <row r="13" spans="1:6" ht="18" customHeight="1" thickBot="1">
      <c r="A13" s="477"/>
      <c r="B13" s="477"/>
      <c r="C13" s="477"/>
      <c r="D13" s="73"/>
    </row>
    <row r="14" spans="1:6" ht="21.9" customHeight="1">
      <c r="A14" s="478" t="s">
        <v>129</v>
      </c>
      <c r="B14" s="657" t="s">
        <v>15</v>
      </c>
      <c r="C14" s="658"/>
      <c r="D14" s="479" t="s">
        <v>131</v>
      </c>
    </row>
    <row r="15" spans="1:6" ht="21.9" customHeight="1">
      <c r="A15" s="480" t="s">
        <v>134</v>
      </c>
      <c r="B15" s="654" t="s">
        <v>148</v>
      </c>
      <c r="C15" s="654"/>
      <c r="D15" s="481">
        <f>'Sch-1'!N97</f>
        <v>0</v>
      </c>
    </row>
    <row r="16" spans="1:6" ht="35.1" customHeight="1">
      <c r="A16" s="482"/>
      <c r="B16" s="655" t="s">
        <v>149</v>
      </c>
      <c r="C16" s="656"/>
      <c r="D16" s="483"/>
    </row>
    <row r="17" spans="1:6" ht="21.9" customHeight="1">
      <c r="A17" s="480" t="s">
        <v>136</v>
      </c>
      <c r="B17" s="654" t="s">
        <v>150</v>
      </c>
      <c r="C17" s="654"/>
      <c r="D17" s="481">
        <f>'Sch-2'!J97</f>
        <v>0</v>
      </c>
    </row>
    <row r="18" spans="1:6" ht="35.1" customHeight="1">
      <c r="A18" s="482"/>
      <c r="B18" s="655" t="s">
        <v>304</v>
      </c>
      <c r="C18" s="656"/>
      <c r="D18" s="483"/>
    </row>
    <row r="19" spans="1:6" ht="21.9" customHeight="1">
      <c r="A19" s="480" t="s">
        <v>138</v>
      </c>
      <c r="B19" s="654" t="s">
        <v>152</v>
      </c>
      <c r="C19" s="654"/>
      <c r="D19" s="481">
        <f>'Sch-3'!P49</f>
        <v>0</v>
      </c>
    </row>
    <row r="20" spans="1:6" ht="30" customHeight="1">
      <c r="A20" s="482"/>
      <c r="B20" s="655" t="s">
        <v>153</v>
      </c>
      <c r="C20" s="656"/>
      <c r="D20" s="483"/>
    </row>
    <row r="21" spans="1:6" ht="21.9" customHeight="1">
      <c r="A21" s="480" t="s">
        <v>139</v>
      </c>
      <c r="B21" s="654" t="s">
        <v>154</v>
      </c>
      <c r="C21" s="654"/>
      <c r="D21" s="484" t="s">
        <v>327</v>
      </c>
    </row>
    <row r="22" spans="1:6" ht="30" customHeight="1">
      <c r="A22" s="482"/>
      <c r="B22" s="655" t="s">
        <v>155</v>
      </c>
      <c r="C22" s="656"/>
      <c r="D22" s="483"/>
    </row>
    <row r="23" spans="1:6" ht="30" customHeight="1">
      <c r="A23" s="480">
        <v>5</v>
      </c>
      <c r="B23" s="654" t="s">
        <v>156</v>
      </c>
      <c r="C23" s="654"/>
      <c r="D23" s="481">
        <f>'Sch-5'!D19:E19</f>
        <v>0</v>
      </c>
    </row>
    <row r="24" spans="1:6" ht="23.25" customHeight="1">
      <c r="A24" s="482"/>
      <c r="B24" s="655" t="s">
        <v>157</v>
      </c>
      <c r="C24" s="656"/>
      <c r="D24" s="485"/>
    </row>
    <row r="25" spans="1:6" ht="21.9" customHeight="1">
      <c r="A25" s="480" t="s">
        <v>141</v>
      </c>
      <c r="B25" s="654" t="s">
        <v>158</v>
      </c>
      <c r="C25" s="654"/>
      <c r="D25" s="484" t="s">
        <v>327</v>
      </c>
    </row>
    <row r="26" spans="1:6" ht="35.1" customHeight="1">
      <c r="A26" s="482"/>
      <c r="B26" s="655" t="s">
        <v>159</v>
      </c>
      <c r="C26" s="656"/>
      <c r="D26" s="483"/>
    </row>
    <row r="27" spans="1:6" ht="18.75" customHeight="1">
      <c r="A27" s="650"/>
      <c r="B27" s="652" t="s">
        <v>335</v>
      </c>
      <c r="C27" s="652"/>
      <c r="D27" s="486"/>
    </row>
    <row r="28" spans="1:6" ht="18.75" customHeight="1" thickBot="1">
      <c r="A28" s="651"/>
      <c r="B28" s="653"/>
      <c r="C28" s="653"/>
      <c r="D28" s="487">
        <f>D15+D17+D19+D23</f>
        <v>0</v>
      </c>
    </row>
    <row r="29" spans="1:6" ht="18.75" customHeight="1">
      <c r="A29" s="110"/>
      <c r="B29" s="111"/>
      <c r="C29" s="111"/>
      <c r="D29" s="112"/>
    </row>
    <row r="30" spans="1:6" ht="27.9" customHeight="1">
      <c r="A30" s="110"/>
      <c r="B30" s="113"/>
      <c r="C30" s="113"/>
      <c r="D30" s="112"/>
    </row>
    <row r="31" spans="1:6" ht="27.9" customHeight="1">
      <c r="A31" s="114" t="s">
        <v>161</v>
      </c>
      <c r="B31" s="497" t="str">
        <f>'Sch-5 after discount'!B21</f>
        <v xml:space="preserve">  </v>
      </c>
      <c r="C31" s="113" t="s">
        <v>143</v>
      </c>
      <c r="D31" s="549" t="str">
        <f>'Sch-5 after discount'!D21</f>
        <v/>
      </c>
      <c r="F31" s="115"/>
    </row>
    <row r="32" spans="1:6" ht="27.9" customHeight="1">
      <c r="A32" s="114" t="s">
        <v>162</v>
      </c>
      <c r="B32" s="498" t="str">
        <f>'Sch-5 after discount'!B22</f>
        <v/>
      </c>
      <c r="C32" s="113" t="s">
        <v>145</v>
      </c>
      <c r="D32" s="549" t="str">
        <f>'Sch-5 after discount'!D22</f>
        <v/>
      </c>
      <c r="F32" s="96"/>
    </row>
    <row r="33" spans="1:6" ht="27.9" customHeight="1">
      <c r="A33" s="116"/>
      <c r="B33" s="97"/>
      <c r="C33" s="113"/>
      <c r="F33" s="96"/>
    </row>
    <row r="34" spans="1:6" ht="30" customHeight="1">
      <c r="A34" s="116"/>
      <c r="B34" s="97"/>
      <c r="C34" s="113"/>
      <c r="D34" s="116"/>
      <c r="F34" s="115"/>
    </row>
    <row r="35" spans="1:6" ht="30" customHeight="1">
      <c r="A35" s="117"/>
      <c r="B35" s="117"/>
      <c r="C35" s="118"/>
      <c r="E35" s="119"/>
    </row>
  </sheetData>
  <sheetProtection algorithmName="SHA-512" hashValue="YWLYi87FzzlWKeElc8YT8jiC0Lb9MUBlZMBKFHSKXAsrOTX7495Zcvi18QTLDvokHdvYlK/WCbaZZnvEt2GNuA==" saltValue="LV73gRRhiS1xG9ZhKVDVRg==" spinCount="100000" sheet="1" objects="1" scenarios="1" formatColumns="0" formatRows="0" selectLockedCells="1"/>
  <customSheetViews>
    <customSheetView guid="{8BA4A88A-5522-45F5-A82B-CD7725CE50B1}"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4140625" defaultRowHeight="15.6"/>
  <cols>
    <col min="1" max="1" width="12.109375" style="13" customWidth="1"/>
    <col min="2" max="2" width="31.44140625" style="13" customWidth="1"/>
    <col min="3" max="3" width="24" style="13" customWidth="1"/>
    <col min="4" max="4" width="39.33203125" style="13" customWidth="1"/>
    <col min="5" max="16384" width="11.44140625" style="91"/>
  </cols>
  <sheetData>
    <row r="1" spans="1:6" ht="18" customHeight="1">
      <c r="A1" s="92" t="str">
        <f>Cover!B3</f>
        <v>CC/NT/W-COND/DOM/A04/24/05656</v>
      </c>
      <c r="B1" s="93"/>
      <c r="C1" s="94"/>
      <c r="D1" s="95" t="s">
        <v>163</v>
      </c>
    </row>
    <row r="2" spans="1:6" ht="18" customHeight="1">
      <c r="A2" s="96"/>
      <c r="B2" s="97"/>
      <c r="C2" s="98"/>
      <c r="D2" s="98"/>
    </row>
    <row r="3" spans="1:6" ht="73.5" customHeight="1">
      <c r="A3" s="660" t="str">
        <f>Cover!$B$2</f>
        <v>Reconductoring Package - OH01 for (i) Reconductoring of 220kV Hisar (PG)-Hisar (IA) D/c line associated with ‘Reconductoring of 220kV Hisar (PG) – Hisar (IA) S/c line’; and (ii) Reconductoring of 400 kV S/c (TWIN ACSR MOOSE) Raichur – Veltoor (Mahabubnagar) line with TWIN HTLS conductor associated with ‘Reconductoring of Raichur – Veltoor (Mahabubnagar) 400kV S/c line with HTLS conductor’.</v>
      </c>
      <c r="B3" s="660"/>
      <c r="C3" s="660"/>
      <c r="D3" s="660"/>
      <c r="E3" s="99"/>
      <c r="F3" s="99"/>
    </row>
    <row r="4" spans="1:6" ht="21.9" customHeight="1">
      <c r="A4" s="631" t="s">
        <v>147</v>
      </c>
      <c r="B4" s="631"/>
      <c r="C4" s="631"/>
      <c r="D4" s="631"/>
    </row>
    <row r="5" spans="1:6" ht="18" customHeight="1">
      <c r="A5" s="100"/>
    </row>
    <row r="6" spans="1:6" ht="18" customHeight="1">
      <c r="A6" s="10" t="e">
        <f>'Sch-1'!#REF!</f>
        <v>#REF!</v>
      </c>
      <c r="D6" s="73" t="s">
        <v>1</v>
      </c>
    </row>
    <row r="7" spans="1:6" ht="36" customHeight="1">
      <c r="A7" s="661" t="str">
        <f>'Sch-1'!A8</f>
        <v>Bidder’s Name and Address  (Sole Bidder) :</v>
      </c>
      <c r="B7" s="661"/>
      <c r="C7" s="661"/>
      <c r="D7" s="74" t="str">
        <f>'Sch-1'!K8</f>
        <v>Contract Services</v>
      </c>
    </row>
    <row r="8" spans="1:6" ht="18" customHeight="1">
      <c r="A8" s="14" t="s">
        <v>31</v>
      </c>
      <c r="B8" s="659" t="str">
        <f>IF('Sch-1'!C9=0, "", 'Sch-1'!C9)</f>
        <v/>
      </c>
      <c r="C8" s="659"/>
      <c r="D8" s="74" t="str">
        <f>'Sch-1'!K9</f>
        <v>Power Grid Corporation of India Ltd.,</v>
      </c>
    </row>
    <row r="9" spans="1:6" ht="18" customHeight="1">
      <c r="A9" s="14" t="s">
        <v>32</v>
      </c>
      <c r="B9" s="659" t="str">
        <f>IF('Sch-1'!C10=0, "", 'Sch-1'!C10)</f>
        <v/>
      </c>
      <c r="C9" s="659"/>
      <c r="D9" s="74" t="str">
        <f>'Sch-1'!K10</f>
        <v>"Saudamini", Plot No.-2</v>
      </c>
    </row>
    <row r="10" spans="1:6" ht="18" customHeight="1">
      <c r="A10" s="15"/>
      <c r="B10" s="659" t="str">
        <f>IF('Sch-1'!C11=0, "", 'Sch-1'!C11)</f>
        <v/>
      </c>
      <c r="C10" s="659"/>
      <c r="D10" s="74" t="str">
        <f>'Sch-1'!K11</f>
        <v xml:space="preserve">Sector-29, </v>
      </c>
    </row>
    <row r="11" spans="1:6" ht="18" customHeight="1">
      <c r="A11" s="15"/>
      <c r="B11" s="659" t="str">
        <f>IF('Sch-1'!C12=0, "", 'Sch-1'!C12)</f>
        <v/>
      </c>
      <c r="C11" s="659"/>
      <c r="D11" s="74" t="str">
        <f>'Sch-1'!K12</f>
        <v>Gurgaon (Haryana) - 122001</v>
      </c>
    </row>
    <row r="12" spans="1:6" ht="18" customHeight="1">
      <c r="A12" s="101"/>
      <c r="B12" s="101"/>
      <c r="C12" s="101"/>
      <c r="D12" s="73"/>
    </row>
    <row r="13" spans="1:6" ht="21.9" customHeight="1">
      <c r="A13" s="102" t="s">
        <v>129</v>
      </c>
      <c r="B13" s="664" t="s">
        <v>15</v>
      </c>
      <c r="C13" s="665"/>
      <c r="D13" s="103" t="s">
        <v>131</v>
      </c>
    </row>
    <row r="14" spans="1:6" ht="21.9" customHeight="1">
      <c r="A14" s="75" t="s">
        <v>134</v>
      </c>
      <c r="B14" s="654" t="s">
        <v>148</v>
      </c>
      <c r="C14" s="654"/>
      <c r="D14" s="104"/>
    </row>
    <row r="15" spans="1:6" ht="35.1" customHeight="1">
      <c r="A15" s="105"/>
      <c r="B15" s="655" t="s">
        <v>149</v>
      </c>
      <c r="C15" s="656"/>
      <c r="D15" s="106"/>
    </row>
    <row r="16" spans="1:6" ht="21.9" customHeight="1">
      <c r="A16" s="75" t="s">
        <v>136</v>
      </c>
      <c r="B16" s="654" t="s">
        <v>150</v>
      </c>
      <c r="C16" s="654"/>
      <c r="D16" s="104"/>
    </row>
    <row r="17" spans="1:6" ht="35.1" customHeight="1">
      <c r="A17" s="105"/>
      <c r="B17" s="655" t="s">
        <v>151</v>
      </c>
      <c r="C17" s="656"/>
      <c r="D17" s="106"/>
    </row>
    <row r="18" spans="1:6" ht="21.9" customHeight="1">
      <c r="A18" s="75" t="s">
        <v>138</v>
      </c>
      <c r="B18" s="654" t="s">
        <v>152</v>
      </c>
      <c r="C18" s="654"/>
      <c r="D18" s="104"/>
    </row>
    <row r="19" spans="1:6" ht="30" customHeight="1">
      <c r="A19" s="105"/>
      <c r="B19" s="655" t="s">
        <v>153</v>
      </c>
      <c r="C19" s="656"/>
      <c r="D19" s="106"/>
    </row>
    <row r="20" spans="1:6" ht="21.9" customHeight="1">
      <c r="A20" s="75" t="s">
        <v>139</v>
      </c>
      <c r="B20" s="654" t="s">
        <v>154</v>
      </c>
      <c r="C20" s="654"/>
      <c r="D20" s="107"/>
    </row>
    <row r="21" spans="1:6" ht="30" customHeight="1">
      <c r="A21" s="105"/>
      <c r="B21" s="655" t="s">
        <v>155</v>
      </c>
      <c r="C21" s="656"/>
      <c r="D21" s="106"/>
    </row>
    <row r="22" spans="1:6" ht="30" customHeight="1">
      <c r="A22" s="75">
        <v>5</v>
      </c>
      <c r="B22" s="654" t="s">
        <v>156</v>
      </c>
      <c r="C22" s="654"/>
      <c r="D22" s="104"/>
    </row>
    <row r="23" spans="1:6" ht="33" customHeight="1">
      <c r="A23" s="105"/>
      <c r="B23" s="655" t="s">
        <v>157</v>
      </c>
      <c r="C23" s="656"/>
      <c r="D23" s="120"/>
    </row>
    <row r="24" spans="1:6" ht="21.9" customHeight="1">
      <c r="A24" s="75" t="s">
        <v>141</v>
      </c>
      <c r="B24" s="654" t="s">
        <v>158</v>
      </c>
      <c r="C24" s="654"/>
      <c r="D24" s="107"/>
    </row>
    <row r="25" spans="1:6" ht="35.1" customHeight="1">
      <c r="A25" s="105"/>
      <c r="B25" s="655" t="s">
        <v>159</v>
      </c>
      <c r="C25" s="656"/>
      <c r="D25" s="106"/>
    </row>
    <row r="26" spans="1:6" ht="24" customHeight="1">
      <c r="A26" s="662"/>
      <c r="B26" s="663" t="s">
        <v>160</v>
      </c>
      <c r="C26" s="663"/>
      <c r="D26" s="108"/>
    </row>
    <row r="27" spans="1:6" ht="25.5" customHeight="1">
      <c r="A27" s="662"/>
      <c r="B27" s="663"/>
      <c r="C27" s="663"/>
      <c r="D27" s="109"/>
    </row>
    <row r="28" spans="1:6" ht="18.75" customHeight="1">
      <c r="A28" s="110"/>
      <c r="B28" s="111"/>
      <c r="C28" s="111"/>
      <c r="D28" s="112"/>
    </row>
    <row r="29" spans="1:6" ht="27.9" customHeight="1">
      <c r="A29" s="110"/>
      <c r="B29" s="111"/>
      <c r="C29" s="113"/>
      <c r="D29" s="112"/>
    </row>
    <row r="30" spans="1:6" ht="27.9" customHeight="1">
      <c r="A30" s="114" t="s">
        <v>161</v>
      </c>
      <c r="B30" s="78"/>
      <c r="C30" s="113" t="s">
        <v>143</v>
      </c>
      <c r="D30" s="78"/>
      <c r="F30" s="115"/>
    </row>
    <row r="31" spans="1:6" ht="27.9" customHeight="1">
      <c r="A31" s="114" t="s">
        <v>162</v>
      </c>
      <c r="B31" s="78"/>
      <c r="C31" s="113" t="s">
        <v>145</v>
      </c>
      <c r="D31" s="78"/>
      <c r="F31" s="96"/>
    </row>
    <row r="32" spans="1:6" ht="27.9" customHeight="1">
      <c r="A32" s="116"/>
      <c r="B32" s="97"/>
      <c r="C32" s="113"/>
      <c r="F32" s="96"/>
    </row>
    <row r="33" spans="1:6" ht="30" customHeight="1">
      <c r="A33" s="116"/>
      <c r="B33" s="97"/>
      <c r="C33" s="113"/>
      <c r="D33" s="116"/>
      <c r="F33" s="115"/>
    </row>
    <row r="34" spans="1:6" ht="30" customHeight="1">
      <c r="A34" s="117"/>
      <c r="B34" s="117"/>
      <c r="C34" s="118"/>
      <c r="E34" s="119"/>
    </row>
  </sheetData>
  <sheetProtection selectLockedCells="1"/>
  <customSheetViews>
    <customSheetView guid="{8BA4A88A-5522-45F5-A82B-CD7725CE50B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10" zoomScaleSheetLayoutView="100" workbookViewId="0">
      <selection activeCell="D23" sqref="D23"/>
    </sheetView>
  </sheetViews>
  <sheetFormatPr defaultColWidth="11.44140625" defaultRowHeight="15.6"/>
  <cols>
    <col min="1" max="1" width="12.109375" style="13" customWidth="1"/>
    <col min="2" max="2" width="31.44140625" style="13" customWidth="1"/>
    <col min="3" max="3" width="24" style="13" customWidth="1"/>
    <col min="4" max="4" width="39.33203125" style="13" customWidth="1"/>
    <col min="5" max="5" width="18.44140625" style="91" hidden="1" customWidth="1"/>
    <col min="6" max="6" width="18.6640625" style="91" hidden="1" customWidth="1"/>
    <col min="7" max="16384" width="11.44140625" style="91"/>
  </cols>
  <sheetData>
    <row r="1" spans="1:6" ht="18" customHeight="1">
      <c r="A1" s="92" t="str">
        <f>Cover!B3</f>
        <v>CC/NT/W-COND/DOM/A04/24/05656</v>
      </c>
      <c r="B1" s="93"/>
      <c r="C1" s="94"/>
      <c r="D1" s="95" t="s">
        <v>146</v>
      </c>
    </row>
    <row r="2" spans="1:6" ht="18" customHeight="1">
      <c r="A2" s="96"/>
      <c r="B2" s="97"/>
      <c r="C2" s="98"/>
      <c r="D2" s="98"/>
    </row>
    <row r="3" spans="1:6" ht="75.75" customHeight="1">
      <c r="A3" s="630" t="str">
        <f>Cover!$B$2</f>
        <v>Reconductoring Package - OH01 for (i) Reconductoring of 220kV Hisar (PG)-Hisar (IA) D/c line associated with ‘Reconductoring of 220kV Hisar (PG) – Hisar (IA) S/c line’; and (ii) Reconductoring of 400 kV S/c (TWIN ACSR MOOSE) Raichur – Veltoor (Mahabubnagar) line with TWIN HTLS conductor associated with ‘Reconductoring of Raichur – Veltoor (Mahabubnagar) 400kV S/c line with HTLS conductor’.</v>
      </c>
      <c r="B3" s="630"/>
      <c r="C3" s="630"/>
      <c r="D3" s="630"/>
      <c r="E3" s="99"/>
      <c r="F3" s="99"/>
    </row>
    <row r="4" spans="1:6" ht="21.9" customHeight="1">
      <c r="A4" s="631" t="s">
        <v>147</v>
      </c>
      <c r="B4" s="631"/>
      <c r="C4" s="631"/>
      <c r="D4" s="631"/>
    </row>
    <row r="5" spans="1:6" ht="18" customHeight="1">
      <c r="A5" s="100"/>
    </row>
    <row r="6" spans="1:6" ht="18" customHeight="1">
      <c r="A6" s="607" t="s">
        <v>338</v>
      </c>
      <c r="B6" s="607"/>
      <c r="C6" s="2"/>
    </row>
    <row r="7" spans="1:6" ht="18" customHeight="1">
      <c r="A7" s="610">
        <f>'Sch-1'!A7</f>
        <v>0</v>
      </c>
      <c r="B7" s="610"/>
      <c r="C7" s="610"/>
      <c r="D7" s="73" t="s">
        <v>1</v>
      </c>
    </row>
    <row r="8" spans="1:6" ht="22.5" customHeight="1">
      <c r="A8" s="608" t="str">
        <f>"Bidder’s Name and Address  (" &amp; MID('Names of Bidder'!A9,9, 20) &amp; ") :"</f>
        <v>Bidder’s Name and Address  (Sole Bidder) :</v>
      </c>
      <c r="B8" s="608"/>
      <c r="C8" s="608"/>
      <c r="D8" s="74" t="str">
        <f>'Sch-1'!K8</f>
        <v>Contract Services</v>
      </c>
    </row>
    <row r="9" spans="1:6" ht="18" customHeight="1">
      <c r="A9" s="368" t="s">
        <v>12</v>
      </c>
      <c r="B9" s="368" t="str">
        <f>IF('Names of Bidder'!C9=0, "", 'Names of Bidder'!C9)</f>
        <v/>
      </c>
      <c r="C9" s="91"/>
      <c r="D9" s="74" t="str">
        <f>'Sch-1'!K9</f>
        <v>Power Grid Corporation of India Ltd.,</v>
      </c>
    </row>
    <row r="10" spans="1:6" ht="18" customHeight="1">
      <c r="A10" s="368" t="s">
        <v>11</v>
      </c>
      <c r="B10" s="220" t="str">
        <f>IF('Names of Bidder'!C10=0, "", 'Names of Bidder'!C10)</f>
        <v/>
      </c>
      <c r="C10" s="91"/>
      <c r="D10" s="74" t="str">
        <f>'Sch-1'!K10</f>
        <v>"Saudamini", Plot No.-2</v>
      </c>
    </row>
    <row r="11" spans="1:6" ht="18" customHeight="1">
      <c r="A11" s="354"/>
      <c r="B11" s="220" t="str">
        <f>IF('Names of Bidder'!C11=0, "", 'Names of Bidder'!C11)</f>
        <v/>
      </c>
      <c r="C11" s="91"/>
      <c r="D11" s="74" t="str">
        <f>'Sch-1'!K11</f>
        <v xml:space="preserve">Sector-29, </v>
      </c>
    </row>
    <row r="12" spans="1:6" ht="18" customHeight="1">
      <c r="A12" s="354"/>
      <c r="B12" s="220" t="str">
        <f>IF('Names of Bidder'!C12=0, "", 'Names of Bidder'!C12)</f>
        <v/>
      </c>
      <c r="C12" s="91"/>
      <c r="D12" s="74" t="str">
        <f>'Sch-1'!K12</f>
        <v>Gurgaon (Haryana) - 122001</v>
      </c>
    </row>
    <row r="13" spans="1:6" ht="18" customHeight="1" thickBot="1">
      <c r="A13" s="477"/>
      <c r="B13" s="477"/>
      <c r="C13" s="477"/>
      <c r="D13" s="73"/>
    </row>
    <row r="14" spans="1:6" ht="21.9" customHeight="1">
      <c r="A14" s="478" t="s">
        <v>129</v>
      </c>
      <c r="B14" s="657" t="s">
        <v>15</v>
      </c>
      <c r="C14" s="658"/>
      <c r="D14" s="479" t="s">
        <v>131</v>
      </c>
      <c r="E14" s="462" t="s">
        <v>349</v>
      </c>
      <c r="F14" s="463" t="s">
        <v>348</v>
      </c>
    </row>
    <row r="15" spans="1:6" ht="21.9" customHeight="1">
      <c r="A15" s="480" t="s">
        <v>134</v>
      </c>
      <c r="B15" s="654" t="s">
        <v>148</v>
      </c>
      <c r="C15" s="654"/>
      <c r="D15" s="481">
        <f>E15*F15</f>
        <v>0</v>
      </c>
      <c r="E15" s="464">
        <f>'Sch-6'!D15</f>
        <v>0</v>
      </c>
      <c r="F15" s="474">
        <f>IF(Discount!H36&lt;0,0,Discount!H36)</f>
        <v>0</v>
      </c>
    </row>
    <row r="16" spans="1:6" ht="35.1" customHeight="1">
      <c r="A16" s="482"/>
      <c r="B16" s="655" t="s">
        <v>149</v>
      </c>
      <c r="C16" s="656"/>
      <c r="D16" s="483"/>
      <c r="E16" s="466"/>
      <c r="F16" s="474"/>
    </row>
    <row r="17" spans="1:6" ht="21.9" customHeight="1">
      <c r="A17" s="480" t="s">
        <v>136</v>
      </c>
      <c r="B17" s="654" t="s">
        <v>150</v>
      </c>
      <c r="C17" s="654"/>
      <c r="D17" s="481">
        <f>E17*F17</f>
        <v>0</v>
      </c>
      <c r="E17" s="464">
        <f>'Sch-6'!D17</f>
        <v>0</v>
      </c>
      <c r="F17" s="474">
        <f>IF(Discount!I36&lt;0,0,Discount!I36)</f>
        <v>0</v>
      </c>
    </row>
    <row r="18" spans="1:6" ht="35.1" customHeight="1">
      <c r="A18" s="482"/>
      <c r="B18" s="655" t="s">
        <v>304</v>
      </c>
      <c r="C18" s="656"/>
      <c r="D18" s="483"/>
      <c r="E18" s="466"/>
      <c r="F18" s="474"/>
    </row>
    <row r="19" spans="1:6" ht="21.9" customHeight="1">
      <c r="A19" s="480" t="s">
        <v>138</v>
      </c>
      <c r="B19" s="654" t="s">
        <v>152</v>
      </c>
      <c r="C19" s="654"/>
      <c r="D19" s="481">
        <f>E19*F19</f>
        <v>0</v>
      </c>
      <c r="E19" s="464">
        <f>'Sch-6'!D19</f>
        <v>0</v>
      </c>
      <c r="F19" s="474">
        <f>IF(Discount!J36&lt;0,0,Discount!J36)</f>
        <v>0</v>
      </c>
    </row>
    <row r="20" spans="1:6" ht="30" customHeight="1">
      <c r="A20" s="482"/>
      <c r="B20" s="655" t="s">
        <v>153</v>
      </c>
      <c r="C20" s="656"/>
      <c r="D20" s="483"/>
      <c r="E20" s="466"/>
      <c r="F20" s="465"/>
    </row>
    <row r="21" spans="1:6" ht="21.9" customHeight="1">
      <c r="A21" s="480" t="s">
        <v>139</v>
      </c>
      <c r="B21" s="654" t="s">
        <v>154</v>
      </c>
      <c r="C21" s="654"/>
      <c r="D21" s="484" t="s">
        <v>327</v>
      </c>
      <c r="E21" s="466"/>
      <c r="F21" s="465"/>
    </row>
    <row r="22" spans="1:6" ht="30" customHeight="1">
      <c r="A22" s="482"/>
      <c r="B22" s="655" t="s">
        <v>155</v>
      </c>
      <c r="C22" s="656"/>
      <c r="D22" s="483"/>
      <c r="E22" s="466"/>
      <c r="F22" s="465"/>
    </row>
    <row r="23" spans="1:6" ht="30" customHeight="1">
      <c r="A23" s="480">
        <v>5</v>
      </c>
      <c r="B23" s="654" t="s">
        <v>156</v>
      </c>
      <c r="C23" s="654"/>
      <c r="D23" s="481">
        <f>IF('Sch-5 after discount'!D19&lt;0,0,'Sch-5 after discount'!D19)</f>
        <v>0</v>
      </c>
      <c r="E23" s="466"/>
      <c r="F23" s="465"/>
    </row>
    <row r="24" spans="1:6" ht="25.5" customHeight="1">
      <c r="A24" s="482"/>
      <c r="B24" s="655" t="s">
        <v>157</v>
      </c>
      <c r="C24" s="656"/>
      <c r="D24" s="485"/>
      <c r="E24" s="466"/>
      <c r="F24" s="465"/>
    </row>
    <row r="25" spans="1:6" ht="21.9" customHeight="1">
      <c r="A25" s="480" t="s">
        <v>141</v>
      </c>
      <c r="B25" s="654" t="s">
        <v>158</v>
      </c>
      <c r="C25" s="654"/>
      <c r="D25" s="484" t="s">
        <v>327</v>
      </c>
      <c r="E25" s="466"/>
      <c r="F25" s="465"/>
    </row>
    <row r="26" spans="1:6" ht="35.1" customHeight="1">
      <c r="A26" s="482"/>
      <c r="B26" s="655" t="s">
        <v>159</v>
      </c>
      <c r="C26" s="656"/>
      <c r="D26" s="483"/>
      <c r="E26" s="466"/>
      <c r="F26" s="465"/>
    </row>
    <row r="27" spans="1:6" ht="18.75" customHeight="1">
      <c r="A27" s="650"/>
      <c r="B27" s="652" t="s">
        <v>335</v>
      </c>
      <c r="C27" s="652"/>
      <c r="D27" s="488"/>
      <c r="E27" s="466"/>
      <c r="F27" s="465"/>
    </row>
    <row r="28" spans="1:6" ht="18.75" customHeight="1" thickBot="1">
      <c r="A28" s="651"/>
      <c r="B28" s="653"/>
      <c r="C28" s="653"/>
      <c r="D28" s="487">
        <f>SUM(D15:D26)</f>
        <v>0</v>
      </c>
      <c r="E28" s="467"/>
      <c r="F28" s="468"/>
    </row>
    <row r="29" spans="1:6" ht="18.75" customHeight="1">
      <c r="A29" s="110"/>
      <c r="B29" s="111"/>
      <c r="C29" s="111"/>
      <c r="D29" s="112"/>
    </row>
    <row r="30" spans="1:6" ht="27.9" customHeight="1">
      <c r="A30" s="110"/>
      <c r="B30" s="113"/>
      <c r="C30" s="113"/>
      <c r="D30" s="112"/>
    </row>
    <row r="31" spans="1:6" ht="27.9" customHeight="1">
      <c r="A31" s="114" t="s">
        <v>161</v>
      </c>
      <c r="B31" s="497" t="str">
        <f>'Sch-6'!B31</f>
        <v xml:space="preserve">  </v>
      </c>
      <c r="C31" s="113" t="s">
        <v>143</v>
      </c>
      <c r="D31" s="550" t="str">
        <f>'Sch-6'!D31</f>
        <v/>
      </c>
      <c r="F31" s="115"/>
    </row>
    <row r="32" spans="1:6" ht="27.9" customHeight="1">
      <c r="A32" s="114" t="s">
        <v>162</v>
      </c>
      <c r="B32" s="498" t="str">
        <f>'Sch-6'!B32</f>
        <v/>
      </c>
      <c r="C32" s="113" t="s">
        <v>145</v>
      </c>
      <c r="D32" s="550" t="str">
        <f>'Sch-6'!D32</f>
        <v/>
      </c>
      <c r="F32" s="96"/>
    </row>
    <row r="33" spans="1:6" ht="27.9" customHeight="1">
      <c r="A33" s="116"/>
      <c r="B33" s="97"/>
      <c r="C33" s="113"/>
      <c r="F33" s="96"/>
    </row>
    <row r="34" spans="1:6" ht="30" customHeight="1">
      <c r="A34" s="116"/>
      <c r="B34" s="97"/>
      <c r="C34" s="113"/>
      <c r="D34" s="116"/>
      <c r="F34" s="115"/>
    </row>
    <row r="35" spans="1:6" ht="30" customHeight="1">
      <c r="A35" s="117"/>
      <c r="B35" s="117"/>
      <c r="C35" s="118"/>
      <c r="E35" s="119"/>
    </row>
  </sheetData>
  <sheetProtection algorithmName="SHA-512" hashValue="KcgoR+0GSwwBzaZsNxyP4rkCBSa5u/MLOoPr5IqgY0Wr6aS2Q1bOJzs5zTDuKmJIsiNYpxQZkR63PpxuWWusZA==" saltValue="rphSykhzwjTKWpuDIEuqug==" spinCount="100000" sheet="1" objects="1" scenarios="1" formatColumns="0" formatRows="0" selectLockedCells="1"/>
  <customSheetViews>
    <customSheetView guid="{8BA4A88A-5522-45F5-A82B-CD7725CE50B1}"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2"/>
  <headerFooter alignWithMargins="0">
    <oddFooter>&amp;R&amp;"Book Antiqua,Bold"&amp;10Schedule-6/ Page &amp;P of &amp;N</oddFooter>
  </headerFooter>
  <drawing r:id="rId1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topLeftCell="A7" zoomScaleSheetLayoutView="100" workbookViewId="0">
      <selection activeCell="A16" sqref="A16"/>
    </sheetView>
  </sheetViews>
  <sheetFormatPr defaultColWidth="8.6640625" defaultRowHeight="14.4"/>
  <cols>
    <col min="1" max="1" width="6.5546875" style="235" customWidth="1"/>
    <col min="2" max="2" width="11.44140625" style="235" customWidth="1"/>
    <col min="3" max="3" width="15" style="235" customWidth="1"/>
    <col min="4" max="4" width="10.33203125" style="235" customWidth="1"/>
    <col min="5" max="8" width="15.109375" style="235" customWidth="1"/>
    <col min="9" max="9" width="22.88671875" style="351" customWidth="1"/>
    <col min="10" max="10" width="8.6640625" style="225" customWidth="1"/>
    <col min="11" max="11" width="10.33203125" style="225" customWidth="1"/>
    <col min="12" max="12" width="13.5546875" style="225" customWidth="1"/>
    <col min="13" max="13" width="14.33203125" style="225" customWidth="1"/>
    <col min="14" max="26" width="9.109375" style="257" customWidth="1"/>
    <col min="27" max="27" width="0" style="257" hidden="1" customWidth="1"/>
    <col min="28" max="28" width="15.88671875" style="257" hidden="1" customWidth="1"/>
    <col min="29" max="29" width="15.5546875" style="257" hidden="1" customWidth="1"/>
    <col min="30" max="30" width="24.44140625" style="257" hidden="1" customWidth="1"/>
    <col min="31" max="31" width="13.6640625" style="257" hidden="1" customWidth="1"/>
    <col min="32" max="33" width="0" style="257" hidden="1" customWidth="1"/>
    <col min="34" max="100" width="9.109375" style="257" customWidth="1"/>
    <col min="101" max="253" width="9.109375" style="222" customWidth="1"/>
    <col min="254" max="254" width="13" style="222" customWidth="1"/>
    <col min="255" max="255" width="35.88671875" style="222" customWidth="1"/>
    <col min="256" max="16384" width="8.6640625" style="222"/>
  </cols>
  <sheetData>
    <row r="1" spans="1:100" s="257" customFormat="1" ht="18" customHeight="1">
      <c r="A1" s="253" t="str">
        <f>Cover!B3</f>
        <v>CC/NT/W-COND/DOM/A04/24/05656</v>
      </c>
      <c r="B1" s="253"/>
      <c r="C1" s="253"/>
      <c r="D1" s="253"/>
      <c r="E1" s="253"/>
      <c r="F1" s="253"/>
      <c r="G1" s="253"/>
      <c r="H1" s="253"/>
      <c r="I1" s="343"/>
      <c r="J1" s="254"/>
      <c r="K1" s="254"/>
      <c r="L1" s="254"/>
      <c r="M1" s="255" t="s">
        <v>30</v>
      </c>
    </row>
    <row r="2" spans="1:100" s="257" customFormat="1" ht="12.75" customHeight="1">
      <c r="A2" s="258"/>
      <c r="B2" s="258"/>
      <c r="C2" s="258"/>
      <c r="D2" s="258"/>
      <c r="E2" s="258"/>
      <c r="F2" s="258"/>
      <c r="G2" s="258"/>
      <c r="H2" s="258"/>
      <c r="I2" s="344"/>
      <c r="J2" s="259"/>
      <c r="K2" s="259"/>
      <c r="L2" s="259"/>
      <c r="M2" s="259"/>
    </row>
    <row r="3" spans="1:100" s="257" customFormat="1" ht="51.75" customHeight="1">
      <c r="A3" s="666" t="str">
        <f>Cover!$B$2</f>
        <v>Reconductoring Package - OH01 for (i) Reconductoring of 220kV Hisar (PG)-Hisar (IA) D/c line associated with ‘Reconductoring of 220kV Hisar (PG) – Hisar (IA) S/c line’; and (ii) Reconductoring of 400 kV S/c (TWIN ACSR MOOSE) Raichur – Veltoor (Mahabubnagar) line with TWIN HTLS conductor associated with ‘Reconductoring of Raichur – Veltoor (Mahabubnagar) 400kV S/c line with HTLS conductor’.</v>
      </c>
      <c r="B3" s="666"/>
      <c r="C3" s="666"/>
      <c r="D3" s="666"/>
      <c r="E3" s="666"/>
      <c r="F3" s="666"/>
      <c r="G3" s="666"/>
      <c r="H3" s="666"/>
      <c r="I3" s="666"/>
      <c r="J3" s="666"/>
      <c r="K3" s="666"/>
      <c r="L3" s="666"/>
      <c r="M3" s="666"/>
      <c r="AA3" s="257" t="s">
        <v>18</v>
      </c>
      <c r="AC3" s="257">
        <f>IF(ISERROR(#REF!/('[6]Sch-6'!D14+'[6]Sch-6'!D16+'[6]Sch-6'!D18)),0,#REF!/( '[6]Sch-6'!D14+'[6]Sch-6'!D16+'[6]Sch-6'!D18))</f>
        <v>0</v>
      </c>
    </row>
    <row r="4" spans="1:100" s="257" customFormat="1" ht="21.9" customHeight="1">
      <c r="A4" s="667" t="s">
        <v>19</v>
      </c>
      <c r="B4" s="667"/>
      <c r="C4" s="667"/>
      <c r="D4" s="667"/>
      <c r="E4" s="667"/>
      <c r="F4" s="667"/>
      <c r="G4" s="667"/>
      <c r="H4" s="667"/>
      <c r="I4" s="667"/>
      <c r="J4" s="667"/>
      <c r="K4" s="667"/>
      <c r="L4" s="667"/>
      <c r="M4" s="667"/>
      <c r="AA4" s="257" t="s">
        <v>20</v>
      </c>
      <c r="AC4" s="257" t="e">
        <f>#REF!</f>
        <v>#REF!</v>
      </c>
    </row>
    <row r="5" spans="1:100" s="257" customFormat="1" ht="27.9" customHeight="1">
      <c r="A5" s="262"/>
      <c r="B5" s="262"/>
      <c r="C5" s="262"/>
      <c r="D5" s="262"/>
      <c r="E5" s="372"/>
      <c r="F5" s="372"/>
      <c r="G5" s="372"/>
      <c r="H5" s="372"/>
      <c r="I5" s="345"/>
      <c r="K5" s="261"/>
      <c r="L5" s="260"/>
      <c r="M5" s="372"/>
    </row>
    <row r="6" spans="1:100" s="257" customFormat="1" ht="27.9" customHeight="1">
      <c r="A6" s="453"/>
      <c r="B6" s="607" t="s">
        <v>338</v>
      </c>
      <c r="C6" s="607"/>
      <c r="D6" s="2"/>
      <c r="E6" s="372"/>
      <c r="F6" s="372"/>
      <c r="G6" s="372"/>
      <c r="H6" s="372"/>
      <c r="I6" s="345"/>
      <c r="K6" s="261"/>
      <c r="L6" s="260"/>
      <c r="M6" s="372"/>
    </row>
    <row r="7" spans="1:100" s="257" customFormat="1" ht="27.9" customHeight="1">
      <c r="A7" s="450"/>
      <c r="B7" s="610">
        <f>'Sch-1'!A7</f>
        <v>0</v>
      </c>
      <c r="C7" s="610"/>
      <c r="D7" s="610"/>
      <c r="E7" s="610"/>
      <c r="F7" s="610"/>
      <c r="G7" s="610"/>
      <c r="H7" s="610"/>
      <c r="I7" s="345"/>
      <c r="K7" s="261"/>
      <c r="L7" s="260"/>
      <c r="M7" s="372"/>
    </row>
    <row r="8" spans="1:100" s="412" customFormat="1" ht="16.5" customHeight="1">
      <c r="A8" s="452"/>
      <c r="B8" s="608" t="str">
        <f>'Sch-1'!A8</f>
        <v>Bidder’s Name and Address  (Sole Bidder) :</v>
      </c>
      <c r="C8" s="608"/>
      <c r="D8" s="608"/>
      <c r="E8" s="608"/>
      <c r="F8" s="608"/>
      <c r="G8" s="608"/>
      <c r="H8" s="608"/>
      <c r="I8" s="11"/>
      <c r="J8" s="11"/>
      <c r="K8" s="73" t="s">
        <v>1</v>
      </c>
      <c r="L8" s="9"/>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row>
    <row r="9" spans="1:100" s="412" customFormat="1" ht="15.6">
      <c r="A9" s="368"/>
      <c r="B9" s="368" t="s">
        <v>12</v>
      </c>
      <c r="C9" s="610" t="str">
        <f>'Sch-1'!C9</f>
        <v/>
      </c>
      <c r="D9" s="610"/>
      <c r="E9" s="610"/>
      <c r="F9" s="610"/>
      <c r="G9" s="220"/>
      <c r="H9" s="220"/>
      <c r="I9" s="220"/>
      <c r="J9" s="220"/>
      <c r="K9" s="74" t="s">
        <v>2</v>
      </c>
      <c r="L9" s="9"/>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P9" s="257"/>
      <c r="BQ9" s="257"/>
      <c r="BR9" s="257"/>
      <c r="BS9" s="257"/>
      <c r="BT9" s="257"/>
      <c r="BU9" s="257"/>
      <c r="BV9" s="257"/>
      <c r="BW9" s="257"/>
      <c r="BX9" s="257"/>
      <c r="BY9" s="257"/>
      <c r="BZ9" s="257"/>
      <c r="CA9" s="257"/>
      <c r="CB9" s="257"/>
      <c r="CC9" s="257"/>
      <c r="CD9" s="257"/>
      <c r="CE9" s="257"/>
      <c r="CF9" s="257"/>
      <c r="CG9" s="257"/>
      <c r="CH9" s="257"/>
      <c r="CI9" s="257"/>
      <c r="CJ9" s="257"/>
      <c r="CK9" s="257"/>
      <c r="CL9" s="257"/>
      <c r="CM9" s="257"/>
      <c r="CN9" s="257"/>
      <c r="CO9" s="257"/>
      <c r="CP9" s="257"/>
      <c r="CQ9" s="257"/>
      <c r="CR9" s="257"/>
      <c r="CS9" s="257"/>
      <c r="CT9" s="257"/>
      <c r="CU9" s="257"/>
      <c r="CV9" s="257"/>
    </row>
    <row r="10" spans="1:100" s="412" customFormat="1" ht="15.6">
      <c r="A10" s="368"/>
      <c r="B10" s="368" t="s">
        <v>11</v>
      </c>
      <c r="C10" s="609" t="str">
        <f>'Sch-1'!C10</f>
        <v/>
      </c>
      <c r="D10" s="609"/>
      <c r="E10" s="609"/>
      <c r="F10" s="609"/>
      <c r="G10" s="220"/>
      <c r="H10" s="220"/>
      <c r="I10" s="220"/>
      <c r="J10" s="220"/>
      <c r="K10" s="74" t="s">
        <v>3</v>
      </c>
      <c r="L10" s="9"/>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7"/>
      <c r="BL10" s="257"/>
      <c r="BM10" s="257"/>
      <c r="BN10" s="257"/>
      <c r="BO10" s="257"/>
      <c r="BP10" s="257"/>
      <c r="BQ10" s="257"/>
      <c r="BR10" s="257"/>
      <c r="BS10" s="257"/>
      <c r="BT10" s="257"/>
      <c r="BU10" s="257"/>
      <c r="BV10" s="257"/>
      <c r="BW10" s="257"/>
      <c r="BX10" s="257"/>
      <c r="BY10" s="257"/>
      <c r="BZ10" s="257"/>
      <c r="CA10" s="257"/>
      <c r="CB10" s="257"/>
      <c r="CC10" s="257"/>
      <c r="CD10" s="257"/>
      <c r="CE10" s="257"/>
      <c r="CF10" s="257"/>
      <c r="CG10" s="257"/>
      <c r="CH10" s="257"/>
      <c r="CI10" s="257"/>
      <c r="CJ10" s="257"/>
      <c r="CK10" s="257"/>
      <c r="CL10" s="257"/>
      <c r="CM10" s="257"/>
      <c r="CN10" s="257"/>
      <c r="CO10" s="257"/>
      <c r="CP10" s="257"/>
      <c r="CQ10" s="257"/>
      <c r="CR10" s="257"/>
      <c r="CS10" s="257"/>
      <c r="CT10" s="257"/>
      <c r="CU10" s="257"/>
      <c r="CV10" s="257"/>
    </row>
    <row r="11" spans="1:100" s="412" customFormat="1" ht="15.6">
      <c r="A11" s="354"/>
      <c r="B11" s="354"/>
      <c r="C11" s="609" t="str">
        <f>'Sch-1'!C11</f>
        <v/>
      </c>
      <c r="D11" s="609"/>
      <c r="E11" s="609"/>
      <c r="F11" s="609"/>
      <c r="G11" s="220"/>
      <c r="H11" s="220"/>
      <c r="I11" s="220"/>
      <c r="J11" s="220"/>
      <c r="K11" s="74" t="s">
        <v>4</v>
      </c>
      <c r="L11" s="9"/>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57"/>
      <c r="AZ11" s="257"/>
      <c r="BA11" s="257"/>
      <c r="BB11" s="257"/>
      <c r="BC11" s="257"/>
      <c r="BD11" s="257"/>
      <c r="BE11" s="257"/>
      <c r="BF11" s="257"/>
      <c r="BG11" s="257"/>
      <c r="BH11" s="257"/>
      <c r="BI11" s="257"/>
      <c r="BJ11" s="257"/>
      <c r="BK11" s="257"/>
      <c r="BL11" s="257"/>
      <c r="BM11" s="257"/>
      <c r="BN11" s="257"/>
      <c r="BO11" s="257"/>
      <c r="BP11" s="257"/>
      <c r="BQ11" s="257"/>
      <c r="BR11" s="257"/>
      <c r="BS11" s="257"/>
      <c r="BT11" s="257"/>
      <c r="BU11" s="257"/>
      <c r="BV11" s="257"/>
      <c r="BW11" s="257"/>
      <c r="BX11" s="257"/>
      <c r="BY11" s="257"/>
      <c r="BZ11" s="257"/>
      <c r="CA11" s="257"/>
      <c r="CB11" s="257"/>
      <c r="CC11" s="257"/>
      <c r="CD11" s="257"/>
      <c r="CE11" s="257"/>
      <c r="CF11" s="257"/>
      <c r="CG11" s="257"/>
      <c r="CH11" s="257"/>
      <c r="CI11" s="257"/>
      <c r="CJ11" s="257"/>
      <c r="CK11" s="257"/>
      <c r="CL11" s="257"/>
      <c r="CM11" s="257"/>
      <c r="CN11" s="257"/>
      <c r="CO11" s="257"/>
      <c r="CP11" s="257"/>
      <c r="CQ11" s="257"/>
      <c r="CR11" s="257"/>
      <c r="CS11" s="257"/>
      <c r="CT11" s="257"/>
      <c r="CU11" s="257"/>
      <c r="CV11" s="257"/>
    </row>
    <row r="12" spans="1:100" s="412" customFormat="1" ht="15.6">
      <c r="A12" s="354"/>
      <c r="B12" s="354"/>
      <c r="C12" s="609" t="str">
        <f>'Sch-1'!C12</f>
        <v/>
      </c>
      <c r="D12" s="609"/>
      <c r="E12" s="609"/>
      <c r="F12" s="609"/>
      <c r="G12" s="220"/>
      <c r="H12" s="220"/>
      <c r="I12" s="220"/>
      <c r="J12" s="220"/>
      <c r="K12" s="74" t="s">
        <v>5</v>
      </c>
      <c r="L12" s="9"/>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c r="AW12" s="257"/>
      <c r="AX12" s="257"/>
      <c r="AY12" s="257"/>
      <c r="AZ12" s="257"/>
      <c r="BA12" s="257"/>
      <c r="BB12" s="257"/>
      <c r="BC12" s="257"/>
      <c r="BD12" s="257"/>
      <c r="BE12" s="257"/>
      <c r="BF12" s="257"/>
      <c r="BG12" s="257"/>
      <c r="BH12" s="257"/>
      <c r="BI12" s="257"/>
      <c r="BJ12" s="257"/>
      <c r="BK12" s="257"/>
      <c r="BL12" s="257"/>
      <c r="BM12" s="257"/>
      <c r="BN12" s="257"/>
      <c r="BO12" s="257"/>
      <c r="BP12" s="257"/>
      <c r="BQ12" s="257"/>
      <c r="BR12" s="257"/>
      <c r="BS12" s="257"/>
      <c r="BT12" s="257"/>
      <c r="BU12" s="257"/>
      <c r="BV12" s="257"/>
      <c r="BW12" s="257"/>
      <c r="BX12" s="257"/>
      <c r="BY12" s="257"/>
      <c r="BZ12" s="257"/>
      <c r="CA12" s="257"/>
      <c r="CB12" s="257"/>
      <c r="CC12" s="257"/>
      <c r="CD12" s="257"/>
      <c r="CE12" s="257"/>
      <c r="CF12" s="257"/>
      <c r="CG12" s="257"/>
      <c r="CH12" s="257"/>
      <c r="CI12" s="257"/>
      <c r="CJ12" s="257"/>
      <c r="CK12" s="257"/>
      <c r="CL12" s="257"/>
      <c r="CM12" s="257"/>
      <c r="CN12" s="257"/>
      <c r="CO12" s="257"/>
      <c r="CP12" s="257"/>
      <c r="CQ12" s="257"/>
      <c r="CR12" s="257"/>
      <c r="CS12" s="257"/>
      <c r="CT12" s="257"/>
      <c r="CU12" s="257"/>
      <c r="CV12" s="257"/>
    </row>
    <row r="13" spans="1:100" s="257" customFormat="1" ht="21" customHeight="1">
      <c r="A13" s="262"/>
      <c r="B13" s="262"/>
      <c r="C13" s="262"/>
      <c r="D13" s="262"/>
      <c r="E13" s="262"/>
      <c r="F13" s="262"/>
      <c r="G13" s="262"/>
      <c r="H13" s="262"/>
      <c r="I13" s="346"/>
      <c r="J13" s="372"/>
      <c r="K13" s="74" t="s">
        <v>6</v>
      </c>
      <c r="L13" s="256"/>
      <c r="M13" s="256"/>
    </row>
    <row r="14" spans="1:100" s="257" customFormat="1" ht="27.9" customHeight="1">
      <c r="A14" s="673" t="s">
        <v>472</v>
      </c>
      <c r="B14" s="673"/>
      <c r="C14" s="673"/>
      <c r="D14" s="673"/>
      <c r="E14" s="673"/>
      <c r="F14" s="673"/>
      <c r="G14" s="673"/>
      <c r="H14" s="673"/>
      <c r="I14" s="673"/>
      <c r="J14" s="673"/>
      <c r="K14" s="673"/>
      <c r="L14" s="673"/>
      <c r="M14" s="673"/>
    </row>
    <row r="15" spans="1:100" s="257" customFormat="1" ht="115.5" customHeight="1">
      <c r="A15" s="409" t="s">
        <v>33</v>
      </c>
      <c r="B15" s="341" t="s">
        <v>259</v>
      </c>
      <c r="C15" s="341" t="s">
        <v>260</v>
      </c>
      <c r="D15" s="409" t="s">
        <v>39</v>
      </c>
      <c r="E15" s="413" t="s">
        <v>318</v>
      </c>
      <c r="F15" s="414" t="s">
        <v>319</v>
      </c>
      <c r="G15" s="414" t="s">
        <v>300</v>
      </c>
      <c r="H15" s="414" t="s">
        <v>309</v>
      </c>
      <c r="I15" s="410" t="s">
        <v>34</v>
      </c>
      <c r="J15" s="410" t="s">
        <v>9</v>
      </c>
      <c r="K15" s="410" t="s">
        <v>16</v>
      </c>
      <c r="L15" s="410" t="s">
        <v>35</v>
      </c>
      <c r="M15" s="411" t="s">
        <v>36</v>
      </c>
      <c r="AB15" s="257" t="s">
        <v>37</v>
      </c>
      <c r="AD15" s="257" t="s">
        <v>22</v>
      </c>
      <c r="AE15" s="257" t="s">
        <v>38</v>
      </c>
    </row>
    <row r="16" spans="1:100">
      <c r="A16" s="416"/>
      <c r="B16" s="416"/>
      <c r="C16" s="416"/>
      <c r="D16" s="416"/>
      <c r="E16" s="416"/>
      <c r="F16" s="416"/>
      <c r="G16" s="416"/>
      <c r="H16" s="416"/>
      <c r="I16" s="417"/>
      <c r="J16" s="418"/>
      <c r="K16" s="418"/>
      <c r="L16" s="418"/>
      <c r="M16" s="418"/>
    </row>
    <row r="17" spans="1:100" s="355" customFormat="1" ht="23.25" customHeight="1">
      <c r="A17" s="374"/>
      <c r="B17" s="374"/>
      <c r="C17" s="374"/>
      <c r="D17" s="374"/>
      <c r="F17" s="374"/>
      <c r="G17" s="419" t="s">
        <v>326</v>
      </c>
      <c r="H17" s="374"/>
      <c r="I17" s="374"/>
      <c r="J17" s="374"/>
      <c r="K17" s="374"/>
      <c r="L17" s="374"/>
      <c r="M17" s="374"/>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c r="AZ17" s="257"/>
      <c r="BA17" s="257"/>
      <c r="BB17" s="257"/>
      <c r="BC17" s="257"/>
      <c r="BD17" s="257"/>
      <c r="BE17" s="257"/>
      <c r="BF17" s="257"/>
      <c r="BG17" s="257"/>
      <c r="BH17" s="257"/>
      <c r="BI17" s="257"/>
      <c r="BJ17" s="257"/>
      <c r="BK17" s="257"/>
      <c r="BL17" s="257"/>
      <c r="BM17" s="257"/>
      <c r="BN17" s="257"/>
      <c r="BO17" s="257"/>
      <c r="BP17" s="257"/>
      <c r="BQ17" s="257"/>
      <c r="BR17" s="257"/>
      <c r="BS17" s="257"/>
      <c r="BT17" s="257"/>
      <c r="BU17" s="257"/>
      <c r="BV17" s="257"/>
      <c r="BW17" s="257"/>
      <c r="BX17" s="257"/>
      <c r="BY17" s="257"/>
      <c r="BZ17" s="257"/>
      <c r="CA17" s="257"/>
      <c r="CB17" s="257"/>
      <c r="CC17" s="257"/>
      <c r="CD17" s="257"/>
      <c r="CE17" s="257"/>
      <c r="CF17" s="257"/>
      <c r="CG17" s="257"/>
      <c r="CH17" s="257"/>
      <c r="CI17" s="257"/>
      <c r="CJ17" s="257"/>
      <c r="CK17" s="257"/>
      <c r="CL17" s="257"/>
      <c r="CM17" s="257"/>
      <c r="CN17" s="257"/>
      <c r="CO17" s="257"/>
      <c r="CP17" s="257"/>
      <c r="CQ17" s="257"/>
      <c r="CR17" s="257"/>
      <c r="CS17" s="257"/>
      <c r="CT17" s="257"/>
      <c r="CU17" s="257"/>
      <c r="CV17" s="257"/>
    </row>
    <row r="18" spans="1:100" ht="22.5" customHeight="1">
      <c r="A18" s="674"/>
      <c r="B18" s="674"/>
      <c r="C18" s="674"/>
      <c r="D18" s="674"/>
      <c r="E18" s="674"/>
      <c r="F18" s="674"/>
      <c r="G18" s="674"/>
      <c r="H18" s="674"/>
      <c r="I18" s="674"/>
      <c r="J18" s="420"/>
      <c r="K18" s="420"/>
      <c r="L18" s="420"/>
      <c r="M18" s="420"/>
    </row>
    <row r="19" spans="1:100" ht="26.25" customHeight="1">
      <c r="B19" s="325"/>
      <c r="C19" s="326"/>
      <c r="D19" s="326"/>
      <c r="E19" s="326"/>
      <c r="F19" s="326"/>
      <c r="G19" s="326"/>
      <c r="H19" s="326"/>
      <c r="I19" s="326"/>
      <c r="J19" s="326"/>
      <c r="K19" s="326"/>
      <c r="L19" s="327"/>
      <c r="M19" s="415"/>
    </row>
    <row r="20" spans="1:100">
      <c r="B20" s="326"/>
      <c r="C20" s="326"/>
      <c r="D20" s="326"/>
      <c r="E20" s="326"/>
      <c r="F20" s="326"/>
      <c r="G20" s="326"/>
      <c r="H20" s="326"/>
      <c r="I20" s="326"/>
      <c r="J20" s="326"/>
      <c r="K20" s="326"/>
      <c r="L20" s="328"/>
      <c r="M20" s="415"/>
    </row>
    <row r="21" spans="1:100" s="375" customFormat="1">
      <c r="B21" s="375" t="s">
        <v>306</v>
      </c>
      <c r="C21" s="675" t="str">
        <f>'Sch-6 (After Discount)'!B31</f>
        <v xml:space="preserve">  </v>
      </c>
      <c r="D21" s="670"/>
      <c r="H21" s="671" t="s">
        <v>308</v>
      </c>
      <c r="I21" s="671"/>
      <c r="J21" s="668" t="str">
        <f>'Sch-6 (After Discount)'!D31</f>
        <v/>
      </c>
      <c r="K21" s="668"/>
      <c r="L21" s="668"/>
      <c r="M21" s="668"/>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7"/>
      <c r="BD21" s="257"/>
      <c r="BE21" s="257"/>
      <c r="BF21" s="257"/>
      <c r="BG21" s="257"/>
      <c r="BH21" s="257"/>
      <c r="BI21" s="257"/>
      <c r="BJ21" s="257"/>
      <c r="BK21" s="257"/>
      <c r="BL21" s="257"/>
      <c r="BM21" s="257"/>
      <c r="BN21" s="257"/>
      <c r="BO21" s="257"/>
      <c r="BP21" s="257"/>
      <c r="BQ21" s="257"/>
      <c r="BR21" s="257"/>
      <c r="BS21" s="257"/>
      <c r="BT21" s="257"/>
      <c r="BU21" s="257"/>
      <c r="BV21" s="257"/>
      <c r="BW21" s="257"/>
      <c r="BX21" s="257"/>
      <c r="BY21" s="257"/>
      <c r="BZ21" s="257"/>
      <c r="CA21" s="257"/>
      <c r="CB21" s="257"/>
      <c r="CC21" s="257"/>
      <c r="CD21" s="257"/>
      <c r="CE21" s="257"/>
      <c r="CF21" s="257"/>
      <c r="CG21" s="257"/>
      <c r="CH21" s="257"/>
      <c r="CI21" s="257"/>
      <c r="CJ21" s="257"/>
      <c r="CK21" s="257"/>
      <c r="CL21" s="257"/>
      <c r="CM21" s="257"/>
      <c r="CN21" s="257"/>
      <c r="CO21" s="257"/>
      <c r="CP21" s="257"/>
      <c r="CQ21" s="257"/>
      <c r="CR21" s="257"/>
      <c r="CS21" s="257"/>
      <c r="CT21" s="257"/>
      <c r="CU21" s="257"/>
      <c r="CV21" s="257"/>
    </row>
    <row r="22" spans="1:100" s="375" customFormat="1" ht="16.5" customHeight="1">
      <c r="B22" s="375" t="s">
        <v>307</v>
      </c>
      <c r="C22" s="669" t="str">
        <f>'Sch-6'!B32</f>
        <v/>
      </c>
      <c r="D22" s="670"/>
      <c r="H22" s="671" t="s">
        <v>124</v>
      </c>
      <c r="I22" s="671"/>
      <c r="J22" s="668" t="str">
        <f>'Sch-6 (After Discount)'!D32</f>
        <v/>
      </c>
      <c r="K22" s="668"/>
      <c r="L22" s="668"/>
      <c r="M22" s="668"/>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7"/>
      <c r="BE22" s="257"/>
      <c r="BF22" s="257"/>
      <c r="BG22" s="257"/>
      <c r="BH22" s="257"/>
      <c r="BI22" s="257"/>
      <c r="BJ22" s="257"/>
      <c r="BK22" s="257"/>
      <c r="BL22" s="257"/>
      <c r="BM22" s="257"/>
      <c r="BN22" s="257"/>
      <c r="BO22" s="257"/>
      <c r="BP22" s="257"/>
      <c r="BQ22" s="257"/>
      <c r="BR22" s="257"/>
      <c r="BS22" s="257"/>
      <c r="BT22" s="257"/>
      <c r="BU22" s="257"/>
      <c r="BV22" s="257"/>
      <c r="BW22" s="257"/>
      <c r="BX22" s="257"/>
      <c r="BY22" s="257"/>
      <c r="BZ22" s="257"/>
      <c r="CA22" s="257"/>
      <c r="CB22" s="257"/>
      <c r="CC22" s="257"/>
      <c r="CD22" s="257"/>
      <c r="CE22" s="257"/>
      <c r="CF22" s="257"/>
      <c r="CG22" s="257"/>
      <c r="CH22" s="257"/>
      <c r="CI22" s="257"/>
      <c r="CJ22" s="257"/>
      <c r="CK22" s="257"/>
      <c r="CL22" s="257"/>
      <c r="CM22" s="257"/>
      <c r="CN22" s="257"/>
      <c r="CO22" s="257"/>
      <c r="CP22" s="257"/>
      <c r="CQ22" s="257"/>
      <c r="CR22" s="257"/>
      <c r="CS22" s="257"/>
      <c r="CT22" s="257"/>
      <c r="CU22" s="257"/>
      <c r="CV22" s="257"/>
    </row>
    <row r="23" spans="1:100">
      <c r="B23" s="676"/>
      <c r="C23" s="676"/>
      <c r="D23" s="676"/>
      <c r="E23" s="676"/>
      <c r="F23" s="676"/>
      <c r="G23" s="676"/>
      <c r="H23" s="676"/>
      <c r="I23" s="676"/>
      <c r="J23" s="676"/>
      <c r="K23" s="676"/>
      <c r="L23" s="676"/>
      <c r="M23" s="415"/>
    </row>
    <row r="24" spans="1:100">
      <c r="B24" s="329"/>
      <c r="C24" s="329"/>
      <c r="D24" s="677"/>
      <c r="E24" s="677"/>
      <c r="F24" s="677"/>
      <c r="G24" s="677"/>
      <c r="H24" s="677"/>
      <c r="I24" s="677"/>
      <c r="J24" s="677"/>
      <c r="K24" s="677"/>
      <c r="L24" s="677"/>
      <c r="M24" s="415"/>
    </row>
    <row r="25" spans="1:100">
      <c r="B25" s="330"/>
      <c r="C25" s="331"/>
      <c r="D25" s="677"/>
      <c r="E25" s="677"/>
      <c r="F25" s="677"/>
      <c r="G25" s="677"/>
      <c r="H25" s="677"/>
      <c r="I25" s="677"/>
      <c r="J25" s="677"/>
      <c r="K25" s="677"/>
      <c r="L25" s="677"/>
      <c r="M25" s="415"/>
    </row>
    <row r="26" spans="1:100">
      <c r="B26" s="330"/>
      <c r="C26" s="332"/>
      <c r="D26" s="677"/>
      <c r="E26" s="677"/>
      <c r="F26" s="677"/>
      <c r="G26" s="677"/>
      <c r="H26" s="677"/>
      <c r="I26" s="677"/>
      <c r="J26" s="677"/>
      <c r="K26" s="677"/>
      <c r="L26" s="677"/>
      <c r="M26" s="415"/>
    </row>
    <row r="27" spans="1:100">
      <c r="B27" s="8"/>
      <c r="C27" s="7"/>
      <c r="D27" s="677"/>
      <c r="E27" s="677"/>
      <c r="F27" s="677"/>
      <c r="G27" s="677"/>
      <c r="H27" s="677"/>
      <c r="I27" s="677"/>
      <c r="J27" s="677"/>
      <c r="K27" s="677"/>
      <c r="L27" s="677"/>
      <c r="M27" s="415"/>
    </row>
    <row r="28" spans="1:100">
      <c r="B28" s="8"/>
      <c r="C28" s="7"/>
      <c r="D28" s="326"/>
      <c r="E28" s="326"/>
      <c r="F28" s="326"/>
      <c r="G28" s="326"/>
      <c r="H28" s="326"/>
      <c r="I28" s="326"/>
      <c r="J28" s="326"/>
      <c r="K28" s="326"/>
      <c r="L28" s="326"/>
      <c r="M28" s="415"/>
    </row>
    <row r="29" spans="1:100">
      <c r="B29" s="333"/>
      <c r="C29" s="678"/>
      <c r="D29" s="678"/>
      <c r="E29" s="678"/>
      <c r="F29" s="678"/>
      <c r="G29" s="678"/>
      <c r="H29" s="678"/>
      <c r="I29" s="678"/>
      <c r="J29" s="678"/>
      <c r="K29" s="678"/>
      <c r="L29" s="334"/>
      <c r="M29" s="415"/>
    </row>
    <row r="59" spans="1:100" s="221" customFormat="1">
      <c r="A59" s="226"/>
      <c r="B59" s="226"/>
      <c r="C59" s="226"/>
      <c r="D59" s="226"/>
      <c r="E59" s="226"/>
      <c r="F59" s="226"/>
      <c r="G59" s="226"/>
      <c r="H59" s="226"/>
      <c r="I59" s="347"/>
      <c r="J59" s="227"/>
      <c r="K59" s="227"/>
      <c r="L59" s="227"/>
      <c r="M59" s="22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c r="BF59" s="257"/>
      <c r="BG59" s="257"/>
      <c r="BH59" s="257"/>
      <c r="BI59" s="257"/>
      <c r="BJ59" s="257"/>
      <c r="BK59" s="257"/>
      <c r="BL59" s="257"/>
      <c r="BM59" s="257"/>
      <c r="BN59" s="257"/>
      <c r="BO59" s="257"/>
      <c r="BP59" s="257"/>
      <c r="BQ59" s="257"/>
      <c r="BR59" s="257"/>
      <c r="BS59" s="257"/>
      <c r="BT59" s="257"/>
      <c r="BU59" s="257"/>
      <c r="BV59" s="257"/>
      <c r="BW59" s="257"/>
      <c r="BX59" s="257"/>
      <c r="BY59" s="257"/>
      <c r="BZ59" s="257"/>
      <c r="CA59" s="257"/>
      <c r="CB59" s="257"/>
      <c r="CC59" s="257"/>
      <c r="CD59" s="257"/>
      <c r="CE59" s="257"/>
      <c r="CF59" s="257"/>
      <c r="CG59" s="257"/>
      <c r="CH59" s="257"/>
      <c r="CI59" s="257"/>
      <c r="CJ59" s="257"/>
      <c r="CK59" s="257"/>
      <c r="CL59" s="257"/>
      <c r="CM59" s="257"/>
      <c r="CN59" s="257"/>
      <c r="CO59" s="257"/>
      <c r="CP59" s="257"/>
      <c r="CQ59" s="257"/>
      <c r="CR59" s="257"/>
      <c r="CS59" s="257"/>
      <c r="CT59" s="257"/>
      <c r="CU59" s="257"/>
      <c r="CV59" s="257"/>
    </row>
    <row r="60" spans="1:100" s="221" customFormat="1">
      <c r="A60" s="226"/>
      <c r="B60" s="226"/>
      <c r="C60" s="226"/>
      <c r="D60" s="226"/>
      <c r="E60" s="226"/>
      <c r="F60" s="226"/>
      <c r="G60" s="226"/>
      <c r="H60" s="226"/>
      <c r="I60" s="347"/>
      <c r="J60" s="227"/>
      <c r="K60" s="227"/>
      <c r="L60" s="227"/>
      <c r="M60" s="22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57"/>
      <c r="BT60" s="257"/>
      <c r="BU60" s="257"/>
      <c r="BV60" s="257"/>
      <c r="BW60" s="257"/>
      <c r="BX60" s="257"/>
      <c r="BY60" s="257"/>
      <c r="BZ60" s="257"/>
      <c r="CA60" s="257"/>
      <c r="CB60" s="257"/>
      <c r="CC60" s="257"/>
      <c r="CD60" s="257"/>
      <c r="CE60" s="257"/>
      <c r="CF60" s="257"/>
      <c r="CG60" s="257"/>
      <c r="CH60" s="257"/>
      <c r="CI60" s="257"/>
      <c r="CJ60" s="257"/>
      <c r="CK60" s="257"/>
      <c r="CL60" s="257"/>
      <c r="CM60" s="257"/>
      <c r="CN60" s="257"/>
      <c r="CO60" s="257"/>
      <c r="CP60" s="257"/>
      <c r="CQ60" s="257"/>
      <c r="CR60" s="257"/>
      <c r="CS60" s="257"/>
      <c r="CT60" s="257"/>
      <c r="CU60" s="257"/>
      <c r="CV60" s="257"/>
    </row>
    <row r="61" spans="1:100" s="221" customFormat="1">
      <c r="A61" s="226"/>
      <c r="B61" s="226"/>
      <c r="C61" s="226"/>
      <c r="D61" s="226"/>
      <c r="E61" s="226"/>
      <c r="F61" s="226"/>
      <c r="G61" s="226"/>
      <c r="H61" s="226"/>
      <c r="I61" s="347"/>
      <c r="J61" s="227"/>
      <c r="K61" s="227"/>
      <c r="L61" s="227"/>
      <c r="M61" s="22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c r="AZ61" s="257"/>
      <c r="BA61" s="257"/>
      <c r="BB61" s="257"/>
      <c r="BC61" s="257"/>
      <c r="BD61" s="257"/>
      <c r="BE61" s="257"/>
      <c r="BF61" s="257"/>
      <c r="BG61" s="257"/>
      <c r="BH61" s="257"/>
      <c r="BI61" s="257"/>
      <c r="BJ61" s="257"/>
      <c r="BK61" s="257"/>
      <c r="BL61" s="257"/>
      <c r="BM61" s="257"/>
      <c r="BN61" s="257"/>
      <c r="BO61" s="257"/>
      <c r="BP61" s="257"/>
      <c r="BQ61" s="257"/>
      <c r="BR61" s="257"/>
      <c r="BS61" s="257"/>
      <c r="BT61" s="257"/>
      <c r="BU61" s="257"/>
      <c r="BV61" s="257"/>
      <c r="BW61" s="257"/>
      <c r="BX61" s="257"/>
      <c r="BY61" s="257"/>
      <c r="BZ61" s="257"/>
      <c r="CA61" s="257"/>
      <c r="CB61" s="257"/>
      <c r="CC61" s="257"/>
      <c r="CD61" s="257"/>
      <c r="CE61" s="257"/>
      <c r="CF61" s="257"/>
      <c r="CG61" s="257"/>
      <c r="CH61" s="257"/>
      <c r="CI61" s="257"/>
      <c r="CJ61" s="257"/>
      <c r="CK61" s="257"/>
      <c r="CL61" s="257"/>
      <c r="CM61" s="257"/>
      <c r="CN61" s="257"/>
      <c r="CO61" s="257"/>
      <c r="CP61" s="257"/>
      <c r="CQ61" s="257"/>
      <c r="CR61" s="257"/>
      <c r="CS61" s="257"/>
      <c r="CT61" s="257"/>
      <c r="CU61" s="257"/>
      <c r="CV61" s="257"/>
    </row>
    <row r="62" spans="1:100" ht="16.5" hidden="1" customHeight="1">
      <c r="A62" s="228" t="str">
        <f>A1</f>
        <v>CC/NT/W-COND/DOM/A04/24/05656</v>
      </c>
      <c r="B62" s="228"/>
      <c r="C62" s="228"/>
      <c r="D62" s="228"/>
      <c r="E62" s="228"/>
      <c r="F62" s="228"/>
      <c r="G62" s="228"/>
      <c r="H62" s="228"/>
      <c r="I62" s="348"/>
      <c r="J62" s="229"/>
      <c r="K62" s="229"/>
      <c r="L62" s="229"/>
      <c r="M62" s="229"/>
    </row>
    <row r="63" spans="1:100" ht="16.5" hidden="1" customHeight="1">
      <c r="A63" s="223"/>
      <c r="B63" s="223"/>
      <c r="C63" s="223"/>
      <c r="D63" s="223"/>
      <c r="E63" s="223"/>
      <c r="F63" s="223"/>
      <c r="G63" s="223"/>
      <c r="H63" s="223"/>
      <c r="I63" s="349"/>
      <c r="J63" s="224"/>
      <c r="K63" s="224"/>
      <c r="L63" s="224"/>
      <c r="M63" s="224"/>
    </row>
    <row r="64" spans="1:100" ht="35.25" hidden="1" customHeight="1">
      <c r="A64" s="679" t="str">
        <f>A3</f>
        <v>Reconductoring Package - OH01 for (i) Reconductoring of 220kV Hisar (PG)-Hisar (IA) D/c line associated with ‘Reconductoring of 220kV Hisar (PG) – Hisar (IA) S/c line’; and (ii) Reconductoring of 400 kV S/c (TWIN ACSR MOOSE) Raichur – Veltoor (Mahabubnagar) line with TWIN HTLS conductor associated with ‘Reconductoring of Raichur – Veltoor (Mahabubnagar) 400kV S/c line with HTLS conductor’.</v>
      </c>
      <c r="B64" s="679"/>
      <c r="C64" s="679"/>
      <c r="D64" s="679"/>
      <c r="E64" s="679"/>
      <c r="F64" s="679"/>
      <c r="G64" s="679"/>
      <c r="H64" s="679"/>
      <c r="I64" s="679">
        <f>I3</f>
        <v>0</v>
      </c>
      <c r="J64" s="679">
        <f>J3</f>
        <v>0</v>
      </c>
      <c r="K64" s="679"/>
      <c r="L64" s="679"/>
      <c r="M64" s="679"/>
    </row>
    <row r="65" spans="1:13" ht="16.5" hidden="1" customHeight="1">
      <c r="A65" s="672" t="str">
        <f>A4</f>
        <v>(SCHEDULE OF RATES AND PRICES )</v>
      </c>
      <c r="B65" s="672"/>
      <c r="C65" s="672"/>
      <c r="D65" s="672"/>
      <c r="E65" s="672"/>
      <c r="F65" s="672"/>
      <c r="G65" s="672"/>
      <c r="H65" s="672"/>
      <c r="I65" s="672">
        <f>I4</f>
        <v>0</v>
      </c>
      <c r="J65" s="672">
        <f>J4</f>
        <v>0</v>
      </c>
      <c r="K65" s="672"/>
      <c r="L65" s="672"/>
      <c r="M65" s="672"/>
    </row>
    <row r="66" spans="1:13" ht="16.5" hidden="1" customHeight="1">
      <c r="A66" s="230"/>
      <c r="B66" s="230"/>
      <c r="C66" s="230"/>
      <c r="D66" s="230"/>
      <c r="E66" s="230"/>
      <c r="F66" s="230"/>
      <c r="G66" s="230"/>
      <c r="H66" s="230"/>
      <c r="I66" s="371"/>
      <c r="J66" s="373"/>
      <c r="K66" s="373"/>
      <c r="L66" s="373"/>
      <c r="M66" s="373"/>
    </row>
    <row r="67" spans="1:13" ht="16.5" hidden="1" customHeight="1">
      <c r="A67" s="231" t="e">
        <f>#REF!</f>
        <v>#REF!</v>
      </c>
      <c r="B67" s="231"/>
      <c r="C67" s="231"/>
      <c r="D67" s="231"/>
      <c r="E67" s="231"/>
      <c r="F67" s="231"/>
      <c r="G67" s="231"/>
      <c r="H67" s="231"/>
      <c r="I67" s="350"/>
      <c r="J67" s="232"/>
      <c r="K67" s="232"/>
      <c r="L67" s="232"/>
      <c r="M67" s="232"/>
    </row>
    <row r="68" spans="1:13" ht="16.5" hidden="1" customHeight="1">
      <c r="A68" s="681" t="e">
        <f>#REF!</f>
        <v>#REF!</v>
      </c>
      <c r="B68" s="681"/>
      <c r="C68" s="681"/>
      <c r="D68" s="681"/>
      <c r="E68" s="681"/>
      <c r="F68" s="681"/>
      <c r="G68" s="681"/>
      <c r="H68" s="681"/>
      <c r="I68" s="681" t="e">
        <f>#REF!</f>
        <v>#REF!</v>
      </c>
      <c r="J68" s="681" t="e">
        <f>#REF!</f>
        <v>#REF!</v>
      </c>
      <c r="K68" s="369"/>
      <c r="L68" s="369"/>
      <c r="M68" s="369"/>
    </row>
    <row r="69" spans="1:13" ht="16.5" hidden="1" customHeight="1">
      <c r="A69" s="233" t="e">
        <f>#REF!</f>
        <v>#REF!</v>
      </c>
      <c r="B69" s="233"/>
      <c r="C69" s="233"/>
      <c r="D69" s="233"/>
      <c r="E69" s="233"/>
      <c r="F69" s="233"/>
      <c r="G69" s="233"/>
      <c r="H69" s="233"/>
      <c r="I69" s="680" t="e">
        <f>#REF!</f>
        <v>#REF!</v>
      </c>
      <c r="J69" s="680" t="e">
        <f>#REF!</f>
        <v>#REF!</v>
      </c>
      <c r="K69" s="370"/>
      <c r="L69" s="370"/>
      <c r="M69" s="370"/>
    </row>
    <row r="70" spans="1:13" ht="16.5" hidden="1" customHeight="1">
      <c r="A70" s="233" t="e">
        <f>#REF!</f>
        <v>#REF!</v>
      </c>
      <c r="B70" s="233"/>
      <c r="C70" s="233"/>
      <c r="D70" s="233"/>
      <c r="E70" s="233"/>
      <c r="F70" s="233"/>
      <c r="G70" s="233"/>
      <c r="H70" s="233"/>
      <c r="I70" s="680" t="e">
        <f>#REF!</f>
        <v>#REF!</v>
      </c>
      <c r="J70" s="680" t="e">
        <f>#REF!</f>
        <v>#REF!</v>
      </c>
      <c r="K70" s="370"/>
      <c r="L70" s="370"/>
      <c r="M70" s="370"/>
    </row>
    <row r="71" spans="1:13" ht="16.5" hidden="1" customHeight="1">
      <c r="A71" s="234"/>
      <c r="B71" s="234"/>
      <c r="C71" s="234"/>
      <c r="D71" s="234"/>
      <c r="E71" s="234"/>
      <c r="F71" s="234"/>
      <c r="G71" s="234"/>
      <c r="H71" s="234"/>
      <c r="I71" s="680" t="e">
        <f>#REF!</f>
        <v>#REF!</v>
      </c>
      <c r="J71" s="680" t="e">
        <f>#REF!</f>
        <v>#REF!</v>
      </c>
      <c r="K71" s="370"/>
      <c r="L71" s="370"/>
      <c r="M71" s="370"/>
    </row>
    <row r="72" spans="1:13" ht="16.5" hidden="1" customHeight="1">
      <c r="A72" s="234"/>
      <c r="B72" s="234"/>
      <c r="C72" s="234"/>
      <c r="D72" s="234"/>
      <c r="E72" s="234"/>
      <c r="F72" s="234"/>
      <c r="G72" s="234"/>
      <c r="H72" s="234"/>
      <c r="I72" s="680">
        <f>C5</f>
        <v>0</v>
      </c>
      <c r="J72" s="680">
        <f>D5</f>
        <v>0</v>
      </c>
      <c r="K72" s="370"/>
      <c r="L72" s="370"/>
      <c r="M72" s="370"/>
    </row>
    <row r="73" spans="1:13" ht="16.5" hidden="1" customHeight="1"/>
    <row r="74" spans="1:13" ht="33.75" hidden="1" customHeight="1">
      <c r="A74" s="236" t="str">
        <f>A15</f>
        <v>SL. NO.</v>
      </c>
      <c r="B74" s="236"/>
      <c r="C74" s="236"/>
      <c r="D74" s="236"/>
      <c r="E74" s="236"/>
      <c r="F74" s="236"/>
      <c r="G74" s="236"/>
      <c r="H74" s="236"/>
      <c r="I74" s="237" t="str">
        <f>I15</f>
        <v>Description of Test</v>
      </c>
      <c r="J74" s="683" t="e">
        <f>#REF!</f>
        <v>#REF!</v>
      </c>
      <c r="K74" s="683"/>
      <c r="L74" s="683"/>
      <c r="M74" s="683"/>
    </row>
    <row r="75" spans="1:13" ht="16.5" hidden="1" customHeight="1">
      <c r="A75" s="373" t="e">
        <f>#REF!</f>
        <v>#REF!</v>
      </c>
      <c r="B75" s="373"/>
      <c r="C75" s="373"/>
      <c r="D75" s="373"/>
      <c r="E75" s="373"/>
      <c r="F75" s="373"/>
      <c r="G75" s="373"/>
      <c r="H75" s="373"/>
      <c r="I75" s="371" t="e">
        <f>#REF!</f>
        <v>#REF!</v>
      </c>
      <c r="J75" s="684" t="e">
        <f>#REF!</f>
        <v>#REF!</v>
      </c>
      <c r="K75" s="684"/>
      <c r="L75" s="684"/>
      <c r="M75" s="684"/>
    </row>
    <row r="76" spans="1:13" ht="16.5" hidden="1" customHeight="1">
      <c r="A76" s="238" t="e">
        <f>#REF!</f>
        <v>#REF!</v>
      </c>
      <c r="B76" s="238"/>
      <c r="C76" s="238"/>
      <c r="D76" s="238"/>
      <c r="E76" s="238"/>
      <c r="F76" s="238"/>
      <c r="G76" s="238"/>
      <c r="H76" s="238"/>
      <c r="I76" s="239" t="e">
        <f>#REF!</f>
        <v>#REF!</v>
      </c>
      <c r="J76" s="684"/>
      <c r="K76" s="684"/>
      <c r="L76" s="684"/>
      <c r="M76" s="684"/>
    </row>
    <row r="77" spans="1:13" ht="16.5" hidden="1" customHeight="1">
      <c r="A77" s="240" t="e">
        <f>#REF!</f>
        <v>#REF!</v>
      </c>
      <c r="B77" s="240"/>
      <c r="C77" s="240"/>
      <c r="D77" s="240"/>
      <c r="E77" s="240"/>
      <c r="F77" s="240"/>
      <c r="G77" s="240"/>
      <c r="H77" s="240"/>
      <c r="I77" s="241" t="e">
        <f>#REF!</f>
        <v>#REF!</v>
      </c>
      <c r="J77" s="682" t="e">
        <f>#REF!</f>
        <v>#REF!</v>
      </c>
      <c r="K77" s="682"/>
      <c r="L77" s="682"/>
      <c r="M77" s="682"/>
    </row>
    <row r="78" spans="1:13" ht="16.5" hidden="1" customHeight="1">
      <c r="A78" s="240" t="e">
        <f>#REF!</f>
        <v>#REF!</v>
      </c>
      <c r="B78" s="240"/>
      <c r="C78" s="240"/>
      <c r="D78" s="240"/>
      <c r="E78" s="240"/>
      <c r="F78" s="240"/>
      <c r="G78" s="240"/>
      <c r="H78" s="240"/>
      <c r="I78" s="241" t="e">
        <f>#REF!</f>
        <v>#REF!</v>
      </c>
      <c r="J78" s="682" t="e">
        <f>#REF!</f>
        <v>#REF!</v>
      </c>
      <c r="K78" s="682"/>
      <c r="L78" s="682"/>
      <c r="M78" s="682"/>
    </row>
    <row r="79" spans="1:13" ht="20.100000000000001" hidden="1" customHeight="1">
      <c r="A79" s="242"/>
      <c r="B79" s="242"/>
      <c r="C79" s="242"/>
      <c r="D79" s="242"/>
      <c r="E79" s="242"/>
      <c r="F79" s="242"/>
      <c r="G79" s="242"/>
      <c r="H79" s="242"/>
      <c r="I79" s="239" t="e">
        <f>#REF!</f>
        <v>#REF!</v>
      </c>
      <c r="J79" s="682" t="e">
        <f>#REF!</f>
        <v>#REF!</v>
      </c>
      <c r="K79" s="682"/>
      <c r="L79" s="682"/>
      <c r="M79" s="682"/>
    </row>
    <row r="80" spans="1:13" ht="16.5" hidden="1" customHeight="1">
      <c r="A80" s="238" t="e">
        <f>#REF!</f>
        <v>#REF!</v>
      </c>
      <c r="B80" s="238"/>
      <c r="C80" s="238"/>
      <c r="D80" s="238"/>
      <c r="E80" s="238"/>
      <c r="F80" s="238"/>
      <c r="G80" s="238"/>
      <c r="H80" s="238"/>
      <c r="I80" s="239" t="e">
        <f>#REF!</f>
        <v>#REF!</v>
      </c>
      <c r="J80" s="682"/>
      <c r="K80" s="682"/>
      <c r="L80" s="682"/>
      <c r="M80" s="682"/>
    </row>
    <row r="81" spans="1:100" ht="16.5" hidden="1" customHeight="1">
      <c r="A81" s="243" t="e">
        <f>#REF!</f>
        <v>#REF!</v>
      </c>
      <c r="B81" s="243"/>
      <c r="C81" s="243"/>
      <c r="D81" s="243"/>
      <c r="E81" s="243"/>
      <c r="F81" s="243"/>
      <c r="G81" s="243"/>
      <c r="H81" s="243"/>
      <c r="I81" s="239" t="e">
        <f>#REF!</f>
        <v>#REF!</v>
      </c>
      <c r="J81" s="682"/>
      <c r="K81" s="682"/>
      <c r="L81" s="682"/>
      <c r="M81" s="682"/>
    </row>
    <row r="82" spans="1:100" ht="16.5" hidden="1" customHeight="1">
      <c r="A82" s="244" t="e">
        <f>#REF!</f>
        <v>#REF!</v>
      </c>
      <c r="B82" s="244"/>
      <c r="C82" s="244"/>
      <c r="D82" s="244"/>
      <c r="E82" s="244"/>
      <c r="F82" s="244"/>
      <c r="G82" s="244"/>
      <c r="H82" s="244"/>
      <c r="I82" s="239" t="e">
        <f>#REF!</f>
        <v>#REF!</v>
      </c>
      <c r="J82" s="682"/>
      <c r="K82" s="682"/>
      <c r="L82" s="682"/>
      <c r="M82" s="682"/>
    </row>
    <row r="83" spans="1:100" ht="16.5" hidden="1" customHeight="1">
      <c r="A83" s="240" t="e">
        <f>#REF!</f>
        <v>#REF!</v>
      </c>
      <c r="B83" s="240"/>
      <c r="C83" s="240"/>
      <c r="D83" s="240"/>
      <c r="E83" s="240"/>
      <c r="F83" s="240"/>
      <c r="G83" s="240"/>
      <c r="H83" s="240"/>
      <c r="I83" s="241" t="e">
        <f>#REF!</f>
        <v>#REF!</v>
      </c>
      <c r="J83" s="682" t="e">
        <f>#REF!</f>
        <v>#REF!</v>
      </c>
      <c r="K83" s="682"/>
      <c r="L83" s="682"/>
      <c r="M83" s="682"/>
    </row>
    <row r="84" spans="1:100" ht="16.5" hidden="1" customHeight="1">
      <c r="A84" s="240" t="e">
        <f>#REF!</f>
        <v>#REF!</v>
      </c>
      <c r="B84" s="240"/>
      <c r="C84" s="240"/>
      <c r="D84" s="240"/>
      <c r="E84" s="240"/>
      <c r="F84" s="240"/>
      <c r="G84" s="240"/>
      <c r="H84" s="240"/>
      <c r="I84" s="241" t="e">
        <f>#REF!</f>
        <v>#REF!</v>
      </c>
      <c r="J84" s="682" t="e">
        <f>#REF!</f>
        <v>#REF!</v>
      </c>
      <c r="K84" s="682"/>
      <c r="L84" s="682"/>
      <c r="M84" s="682"/>
    </row>
    <row r="85" spans="1:100" ht="16.5" hidden="1" customHeight="1">
      <c r="A85" s="240" t="e">
        <f>#REF!</f>
        <v>#REF!</v>
      </c>
      <c r="B85" s="240"/>
      <c r="C85" s="240"/>
      <c r="D85" s="240"/>
      <c r="E85" s="240"/>
      <c r="F85" s="240"/>
      <c r="G85" s="240"/>
      <c r="H85" s="240"/>
      <c r="I85" s="241" t="e">
        <f>#REF!</f>
        <v>#REF!</v>
      </c>
      <c r="J85" s="682" t="e">
        <f>#REF!</f>
        <v>#REF!</v>
      </c>
      <c r="K85" s="682"/>
      <c r="L85" s="682"/>
      <c r="M85" s="682"/>
    </row>
    <row r="86" spans="1:100" ht="16.5" hidden="1" customHeight="1">
      <c r="A86" s="240" t="e">
        <f>#REF!</f>
        <v>#REF!</v>
      </c>
      <c r="B86" s="240"/>
      <c r="C86" s="240"/>
      <c r="D86" s="240"/>
      <c r="E86" s="240"/>
      <c r="F86" s="240"/>
      <c r="G86" s="240"/>
      <c r="H86" s="240"/>
      <c r="I86" s="241" t="e">
        <f>#REF!</f>
        <v>#REF!</v>
      </c>
      <c r="J86" s="682" t="e">
        <f>#REF!</f>
        <v>#REF!</v>
      </c>
      <c r="K86" s="682"/>
      <c r="L86" s="682"/>
      <c r="M86" s="682"/>
    </row>
    <row r="87" spans="1:100" ht="16.5" hidden="1" customHeight="1">
      <c r="A87" s="240"/>
      <c r="B87" s="240"/>
      <c r="C87" s="240"/>
      <c r="D87" s="240"/>
      <c r="E87" s="240"/>
      <c r="F87" s="240"/>
      <c r="G87" s="240"/>
      <c r="H87" s="240"/>
      <c r="I87" s="239" t="e">
        <f>#REF!</f>
        <v>#REF!</v>
      </c>
      <c r="J87" s="682" t="e">
        <f>#REF!</f>
        <v>#REF!</v>
      </c>
      <c r="K87" s="682"/>
      <c r="L87" s="682"/>
      <c r="M87" s="682"/>
    </row>
    <row r="88" spans="1:100" ht="20.100000000000001" hidden="1" customHeight="1">
      <c r="A88" s="244" t="e">
        <f>#REF!</f>
        <v>#REF!</v>
      </c>
      <c r="B88" s="244"/>
      <c r="C88" s="244"/>
      <c r="D88" s="244"/>
      <c r="E88" s="244"/>
      <c r="F88" s="244"/>
      <c r="G88" s="244"/>
      <c r="H88" s="244"/>
      <c r="I88" s="239" t="e">
        <f>#REF!</f>
        <v>#REF!</v>
      </c>
      <c r="J88" s="682"/>
      <c r="K88" s="682"/>
      <c r="L88" s="682"/>
      <c r="M88" s="682"/>
    </row>
    <row r="89" spans="1:100" ht="16.5" hidden="1" customHeight="1">
      <c r="A89" s="240" t="e">
        <f>#REF!</f>
        <v>#REF!</v>
      </c>
      <c r="B89" s="240"/>
      <c r="C89" s="240"/>
      <c r="D89" s="240"/>
      <c r="E89" s="240"/>
      <c r="F89" s="240"/>
      <c r="G89" s="240"/>
      <c r="H89" s="240"/>
      <c r="I89" s="241" t="e">
        <f>#REF!</f>
        <v>#REF!</v>
      </c>
      <c r="J89" s="682" t="e">
        <f>#REF!</f>
        <v>#REF!</v>
      </c>
      <c r="K89" s="682"/>
      <c r="L89" s="682"/>
      <c r="M89" s="682"/>
    </row>
    <row r="90" spans="1:100" ht="16.5" hidden="1" customHeight="1">
      <c r="A90" s="240" t="e">
        <f>#REF!</f>
        <v>#REF!</v>
      </c>
      <c r="B90" s="240"/>
      <c r="C90" s="240"/>
      <c r="D90" s="240"/>
      <c r="E90" s="240"/>
      <c r="F90" s="240"/>
      <c r="G90" s="240"/>
      <c r="H90" s="240"/>
      <c r="I90" s="241" t="e">
        <f>#REF!</f>
        <v>#REF!</v>
      </c>
      <c r="J90" s="682" t="e">
        <f>#REF!</f>
        <v>#REF!</v>
      </c>
      <c r="K90" s="682"/>
      <c r="L90" s="682"/>
      <c r="M90" s="682"/>
    </row>
    <row r="91" spans="1:100" ht="20.100000000000001" hidden="1" customHeight="1">
      <c r="A91" s="240" t="e">
        <f>#REF!</f>
        <v>#REF!</v>
      </c>
      <c r="B91" s="240"/>
      <c r="C91" s="240"/>
      <c r="D91" s="240"/>
      <c r="E91" s="240"/>
      <c r="F91" s="240"/>
      <c r="G91" s="240"/>
      <c r="H91" s="240"/>
      <c r="I91" s="241" t="e">
        <f>#REF!</f>
        <v>#REF!</v>
      </c>
      <c r="J91" s="682" t="e">
        <f>#REF!</f>
        <v>#REF!</v>
      </c>
      <c r="K91" s="682"/>
      <c r="L91" s="682"/>
      <c r="M91" s="682"/>
    </row>
    <row r="92" spans="1:100" ht="16.5" hidden="1" customHeight="1">
      <c r="A92" s="240" t="e">
        <f>#REF!</f>
        <v>#REF!</v>
      </c>
      <c r="B92" s="240"/>
      <c r="C92" s="240"/>
      <c r="D92" s="240"/>
      <c r="E92" s="240"/>
      <c r="F92" s="240"/>
      <c r="G92" s="240"/>
      <c r="H92" s="240"/>
      <c r="I92" s="241" t="e">
        <f>#REF!</f>
        <v>#REF!</v>
      </c>
      <c r="J92" s="682" t="e">
        <f>#REF!</f>
        <v>#REF!</v>
      </c>
      <c r="K92" s="682"/>
      <c r="L92" s="682"/>
      <c r="M92" s="682"/>
    </row>
    <row r="93" spans="1:100" s="246" customFormat="1" ht="20.100000000000001" hidden="1" customHeight="1">
      <c r="A93" s="245"/>
      <c r="B93" s="245"/>
      <c r="C93" s="245"/>
      <c r="D93" s="245"/>
      <c r="E93" s="245"/>
      <c r="F93" s="245"/>
      <c r="G93" s="245"/>
      <c r="H93" s="245"/>
      <c r="I93" s="239" t="e">
        <f>#REF!</f>
        <v>#REF!</v>
      </c>
      <c r="J93" s="682" t="e">
        <f>#REF!</f>
        <v>#REF!</v>
      </c>
      <c r="K93" s="682"/>
      <c r="L93" s="682"/>
      <c r="M93" s="682"/>
      <c r="N93" s="257"/>
      <c r="O93" s="257"/>
      <c r="P93" s="257"/>
      <c r="Q93" s="257"/>
      <c r="R93" s="257"/>
      <c r="S93" s="257"/>
      <c r="T93" s="257"/>
      <c r="U93" s="257"/>
      <c r="V93" s="257"/>
      <c r="W93" s="257"/>
      <c r="X93" s="257"/>
      <c r="Y93" s="257"/>
      <c r="Z93" s="257"/>
      <c r="AA93" s="257"/>
      <c r="AB93" s="257"/>
      <c r="AC93" s="257"/>
      <c r="AD93" s="257"/>
      <c r="AE93" s="257"/>
      <c r="AF93" s="257"/>
      <c r="AG93" s="257"/>
      <c r="AH93" s="257"/>
      <c r="AI93" s="257"/>
      <c r="AJ93" s="257"/>
      <c r="AK93" s="257"/>
      <c r="AL93" s="257"/>
      <c r="AM93" s="257"/>
      <c r="AN93" s="257"/>
      <c r="AO93" s="257"/>
      <c r="AP93" s="257"/>
      <c r="AQ93" s="257"/>
      <c r="AR93" s="257"/>
      <c r="AS93" s="257"/>
      <c r="AT93" s="257"/>
      <c r="AU93" s="257"/>
      <c r="AV93" s="257"/>
      <c r="AW93" s="257"/>
      <c r="AX93" s="257"/>
      <c r="AY93" s="257"/>
      <c r="AZ93" s="257"/>
      <c r="BA93" s="257"/>
      <c r="BB93" s="257"/>
      <c r="BC93" s="257"/>
      <c r="BD93" s="257"/>
      <c r="BE93" s="257"/>
      <c r="BF93" s="257"/>
      <c r="BG93" s="257"/>
      <c r="BH93" s="257"/>
      <c r="BI93" s="257"/>
      <c r="BJ93" s="257"/>
      <c r="BK93" s="257"/>
      <c r="BL93" s="257"/>
      <c r="BM93" s="257"/>
      <c r="BN93" s="257"/>
      <c r="BO93" s="257"/>
      <c r="BP93" s="257"/>
      <c r="BQ93" s="257"/>
      <c r="BR93" s="257"/>
      <c r="BS93" s="257"/>
      <c r="BT93" s="257"/>
      <c r="BU93" s="257"/>
      <c r="BV93" s="257"/>
      <c r="BW93" s="257"/>
      <c r="BX93" s="257"/>
      <c r="BY93" s="257"/>
      <c r="BZ93" s="257"/>
      <c r="CA93" s="257"/>
      <c r="CB93" s="257"/>
      <c r="CC93" s="257"/>
      <c r="CD93" s="257"/>
      <c r="CE93" s="257"/>
      <c r="CF93" s="257"/>
      <c r="CG93" s="257"/>
      <c r="CH93" s="257"/>
      <c r="CI93" s="257"/>
      <c r="CJ93" s="257"/>
      <c r="CK93" s="257"/>
      <c r="CL93" s="257"/>
      <c r="CM93" s="257"/>
      <c r="CN93" s="257"/>
      <c r="CO93" s="257"/>
      <c r="CP93" s="257"/>
      <c r="CQ93" s="257"/>
      <c r="CR93" s="257"/>
      <c r="CS93" s="257"/>
      <c r="CT93" s="257"/>
      <c r="CU93" s="257"/>
      <c r="CV93" s="257"/>
    </row>
    <row r="94" spans="1:100" ht="24" hidden="1" customHeight="1">
      <c r="A94" s="244" t="e">
        <f>#REF!</f>
        <v>#REF!</v>
      </c>
      <c r="B94" s="244"/>
      <c r="C94" s="244"/>
      <c r="D94" s="244"/>
      <c r="E94" s="244"/>
      <c r="F94" s="244"/>
      <c r="G94" s="244"/>
      <c r="H94" s="244"/>
      <c r="I94" s="239" t="e">
        <f>#REF!</f>
        <v>#REF!</v>
      </c>
      <c r="J94" s="682"/>
      <c r="K94" s="682"/>
      <c r="L94" s="682"/>
      <c r="M94" s="682"/>
    </row>
    <row r="95" spans="1:100" ht="16.5" hidden="1" customHeight="1">
      <c r="A95" s="240" t="e">
        <f>#REF!</f>
        <v>#REF!</v>
      </c>
      <c r="B95" s="240"/>
      <c r="C95" s="240"/>
      <c r="D95" s="240"/>
      <c r="E95" s="240"/>
      <c r="F95" s="240"/>
      <c r="G95" s="240"/>
      <c r="H95" s="240"/>
      <c r="I95" s="241" t="e">
        <f>#REF!</f>
        <v>#REF!</v>
      </c>
      <c r="J95" s="682" t="e">
        <f>#REF!</f>
        <v>#REF!</v>
      </c>
      <c r="K95" s="682"/>
      <c r="L95" s="682"/>
      <c r="M95" s="682"/>
    </row>
    <row r="96" spans="1:100" ht="16.5" hidden="1" customHeight="1">
      <c r="A96" s="240" t="e">
        <f>#REF!</f>
        <v>#REF!</v>
      </c>
      <c r="B96" s="240"/>
      <c r="C96" s="240"/>
      <c r="D96" s="240"/>
      <c r="E96" s="240"/>
      <c r="F96" s="240"/>
      <c r="G96" s="240"/>
      <c r="H96" s="240"/>
      <c r="I96" s="241" t="e">
        <f>#REF!</f>
        <v>#REF!</v>
      </c>
      <c r="J96" s="682" t="e">
        <f>#REF!</f>
        <v>#REF!</v>
      </c>
      <c r="K96" s="682"/>
      <c r="L96" s="682"/>
      <c r="M96" s="682"/>
    </row>
    <row r="97" spans="1:100" ht="33" hidden="1" customHeight="1">
      <c r="A97" s="240" t="e">
        <f>#REF!</f>
        <v>#REF!</v>
      </c>
      <c r="B97" s="240"/>
      <c r="C97" s="240"/>
      <c r="D97" s="240"/>
      <c r="E97" s="240"/>
      <c r="F97" s="240"/>
      <c r="G97" s="240"/>
      <c r="H97" s="240"/>
      <c r="I97" s="241" t="e">
        <f>#REF!</f>
        <v>#REF!</v>
      </c>
      <c r="J97" s="682" t="e">
        <f>#REF!</f>
        <v>#REF!</v>
      </c>
      <c r="K97" s="682"/>
      <c r="L97" s="682"/>
      <c r="M97" s="682"/>
    </row>
    <row r="98" spans="1:100" s="246" customFormat="1" ht="20.100000000000001" hidden="1" customHeight="1">
      <c r="A98" s="240"/>
      <c r="B98" s="240"/>
      <c r="C98" s="240"/>
      <c r="D98" s="240"/>
      <c r="E98" s="240"/>
      <c r="F98" s="240"/>
      <c r="G98" s="240"/>
      <c r="H98" s="240"/>
      <c r="I98" s="239" t="e">
        <f>#REF!</f>
        <v>#REF!</v>
      </c>
      <c r="J98" s="682" t="e">
        <f>#REF!</f>
        <v>#REF!</v>
      </c>
      <c r="K98" s="682"/>
      <c r="L98" s="682"/>
      <c r="M98" s="682"/>
      <c r="N98" s="257"/>
      <c r="O98" s="257"/>
      <c r="P98" s="257"/>
      <c r="Q98" s="257"/>
      <c r="R98" s="257"/>
      <c r="S98" s="257"/>
      <c r="T98" s="257"/>
      <c r="U98" s="257"/>
      <c r="V98" s="257"/>
      <c r="W98" s="257"/>
      <c r="X98" s="257"/>
      <c r="Y98" s="257"/>
      <c r="Z98" s="257"/>
      <c r="AA98" s="257"/>
      <c r="AB98" s="257"/>
      <c r="AC98" s="257"/>
      <c r="AD98" s="257"/>
      <c r="AE98" s="257"/>
      <c r="AF98" s="257"/>
      <c r="AG98" s="257"/>
      <c r="AH98" s="257"/>
      <c r="AI98" s="257"/>
      <c r="AJ98" s="257"/>
      <c r="AK98" s="257"/>
      <c r="AL98" s="257"/>
      <c r="AM98" s="257"/>
      <c r="AN98" s="257"/>
      <c r="AO98" s="257"/>
      <c r="AP98" s="257"/>
      <c r="AQ98" s="257"/>
      <c r="AR98" s="257"/>
      <c r="AS98" s="257"/>
      <c r="AT98" s="257"/>
      <c r="AU98" s="257"/>
      <c r="AV98" s="257"/>
      <c r="AW98" s="257"/>
      <c r="AX98" s="257"/>
      <c r="AY98" s="257"/>
      <c r="AZ98" s="257"/>
      <c r="BA98" s="257"/>
      <c r="BB98" s="257"/>
      <c r="BC98" s="257"/>
      <c r="BD98" s="257"/>
      <c r="BE98" s="257"/>
      <c r="BF98" s="257"/>
      <c r="BG98" s="257"/>
      <c r="BH98" s="257"/>
      <c r="BI98" s="257"/>
      <c r="BJ98" s="257"/>
      <c r="BK98" s="257"/>
      <c r="BL98" s="257"/>
      <c r="BM98" s="257"/>
      <c r="BN98" s="257"/>
      <c r="BO98" s="257"/>
      <c r="BP98" s="257"/>
      <c r="BQ98" s="257"/>
      <c r="BR98" s="257"/>
      <c r="BS98" s="257"/>
      <c r="BT98" s="257"/>
      <c r="BU98" s="257"/>
      <c r="BV98" s="257"/>
      <c r="BW98" s="257"/>
      <c r="BX98" s="257"/>
      <c r="BY98" s="257"/>
      <c r="BZ98" s="257"/>
      <c r="CA98" s="257"/>
      <c r="CB98" s="257"/>
      <c r="CC98" s="257"/>
      <c r="CD98" s="257"/>
      <c r="CE98" s="257"/>
      <c r="CF98" s="257"/>
      <c r="CG98" s="257"/>
      <c r="CH98" s="257"/>
      <c r="CI98" s="257"/>
      <c r="CJ98" s="257"/>
      <c r="CK98" s="257"/>
      <c r="CL98" s="257"/>
      <c r="CM98" s="257"/>
      <c r="CN98" s="257"/>
      <c r="CO98" s="257"/>
      <c r="CP98" s="257"/>
      <c r="CQ98" s="257"/>
      <c r="CR98" s="257"/>
      <c r="CS98" s="257"/>
      <c r="CT98" s="257"/>
      <c r="CU98" s="257"/>
      <c r="CV98" s="257"/>
    </row>
    <row r="99" spans="1:100" ht="20.100000000000001" hidden="1" customHeight="1">
      <c r="A99" s="244" t="e">
        <f>#REF!</f>
        <v>#REF!</v>
      </c>
      <c r="B99" s="244"/>
      <c r="C99" s="244"/>
      <c r="D99" s="244"/>
      <c r="E99" s="244"/>
      <c r="F99" s="244"/>
      <c r="G99" s="244"/>
      <c r="H99" s="244"/>
      <c r="I99" s="239" t="e">
        <f>#REF!</f>
        <v>#REF!</v>
      </c>
      <c r="J99" s="682"/>
      <c r="K99" s="682"/>
      <c r="L99" s="682"/>
      <c r="M99" s="682"/>
    </row>
    <row r="100" spans="1:100" ht="16.5" hidden="1" customHeight="1">
      <c r="A100" s="240" t="e">
        <f>#REF!</f>
        <v>#REF!</v>
      </c>
      <c r="B100" s="240"/>
      <c r="C100" s="240"/>
      <c r="D100" s="240"/>
      <c r="E100" s="240"/>
      <c r="F100" s="240"/>
      <c r="G100" s="240"/>
      <c r="H100" s="240"/>
      <c r="I100" s="241" t="e">
        <f>#REF!</f>
        <v>#REF!</v>
      </c>
      <c r="J100" s="682" t="e">
        <f>#REF!</f>
        <v>#REF!</v>
      </c>
      <c r="K100" s="682"/>
      <c r="L100" s="682"/>
      <c r="M100" s="682"/>
    </row>
    <row r="101" spans="1:100" ht="16.5" hidden="1" customHeight="1">
      <c r="A101" s="240" t="e">
        <f>#REF!</f>
        <v>#REF!</v>
      </c>
      <c r="B101" s="240"/>
      <c r="C101" s="240"/>
      <c r="D101" s="240"/>
      <c r="E101" s="240"/>
      <c r="F101" s="240"/>
      <c r="G101" s="240"/>
      <c r="H101" s="240"/>
      <c r="I101" s="241" t="e">
        <f>#REF!</f>
        <v>#REF!</v>
      </c>
      <c r="J101" s="682" t="e">
        <f>#REF!</f>
        <v>#REF!</v>
      </c>
      <c r="K101" s="682"/>
      <c r="L101" s="682"/>
      <c r="M101" s="682"/>
    </row>
    <row r="102" spans="1:100" ht="16.5" hidden="1" customHeight="1">
      <c r="A102" s="240" t="e">
        <f>#REF!</f>
        <v>#REF!</v>
      </c>
      <c r="B102" s="240"/>
      <c r="C102" s="240"/>
      <c r="D102" s="240"/>
      <c r="E102" s="240"/>
      <c r="F102" s="240"/>
      <c r="G102" s="240"/>
      <c r="H102" s="240"/>
      <c r="I102" s="241" t="e">
        <f>#REF!</f>
        <v>#REF!</v>
      </c>
      <c r="J102" s="682" t="e">
        <f>#REF!</f>
        <v>#REF!</v>
      </c>
      <c r="K102" s="682"/>
      <c r="L102" s="682"/>
      <c r="M102" s="682"/>
    </row>
    <row r="103" spans="1:100" ht="16.5" hidden="1" customHeight="1">
      <c r="A103" s="240"/>
      <c r="B103" s="240"/>
      <c r="C103" s="240"/>
      <c r="D103" s="240"/>
      <c r="E103" s="240"/>
      <c r="F103" s="240"/>
      <c r="G103" s="240"/>
      <c r="H103" s="240"/>
      <c r="I103" s="239" t="e">
        <f>#REF!</f>
        <v>#REF!</v>
      </c>
      <c r="J103" s="682" t="e">
        <f>#REF!</f>
        <v>#REF!</v>
      </c>
      <c r="K103" s="682"/>
      <c r="L103" s="682"/>
      <c r="M103" s="682"/>
    </row>
    <row r="104" spans="1:100" ht="20.100000000000001" hidden="1" customHeight="1">
      <c r="A104" s="244" t="e">
        <f>#REF!</f>
        <v>#REF!</v>
      </c>
      <c r="B104" s="244"/>
      <c r="C104" s="244"/>
      <c r="D104" s="244"/>
      <c r="E104" s="244"/>
      <c r="F104" s="244"/>
      <c r="G104" s="244"/>
      <c r="H104" s="244"/>
      <c r="I104" s="239" t="e">
        <f>#REF!</f>
        <v>#REF!</v>
      </c>
      <c r="J104" s="682"/>
      <c r="K104" s="682"/>
      <c r="L104" s="682"/>
      <c r="M104" s="682"/>
    </row>
    <row r="105" spans="1:100" ht="16.5" hidden="1" customHeight="1">
      <c r="A105" s="240" t="e">
        <f>#REF!</f>
        <v>#REF!</v>
      </c>
      <c r="B105" s="240"/>
      <c r="C105" s="240"/>
      <c r="D105" s="240"/>
      <c r="E105" s="240"/>
      <c r="F105" s="240"/>
      <c r="G105" s="240"/>
      <c r="H105" s="240"/>
      <c r="I105" s="241" t="e">
        <f>#REF!</f>
        <v>#REF!</v>
      </c>
      <c r="J105" s="682" t="e">
        <f>#REF!</f>
        <v>#REF!</v>
      </c>
      <c r="K105" s="682"/>
      <c r="L105" s="682"/>
      <c r="M105" s="682"/>
    </row>
    <row r="106" spans="1:100" ht="16.5" hidden="1" customHeight="1">
      <c r="A106" s="240" t="e">
        <f>#REF!</f>
        <v>#REF!</v>
      </c>
      <c r="B106" s="240"/>
      <c r="C106" s="240"/>
      <c r="D106" s="240"/>
      <c r="E106" s="240"/>
      <c r="F106" s="240"/>
      <c r="G106" s="240"/>
      <c r="H106" s="240"/>
      <c r="I106" s="241" t="e">
        <f>#REF!</f>
        <v>#REF!</v>
      </c>
      <c r="J106" s="682" t="e">
        <f>#REF!</f>
        <v>#REF!</v>
      </c>
      <c r="K106" s="682"/>
      <c r="L106" s="682"/>
      <c r="M106" s="682"/>
    </row>
    <row r="107" spans="1:100" ht="16.5" hidden="1" customHeight="1">
      <c r="A107" s="240" t="e">
        <f>#REF!</f>
        <v>#REF!</v>
      </c>
      <c r="B107" s="240"/>
      <c r="C107" s="240"/>
      <c r="D107" s="240"/>
      <c r="E107" s="240"/>
      <c r="F107" s="240"/>
      <c r="G107" s="240"/>
      <c r="H107" s="240"/>
      <c r="I107" s="241" t="e">
        <f>#REF!</f>
        <v>#REF!</v>
      </c>
      <c r="J107" s="682" t="e">
        <f>#REF!</f>
        <v>#REF!</v>
      </c>
      <c r="K107" s="682"/>
      <c r="L107" s="682"/>
      <c r="M107" s="682"/>
    </row>
    <row r="108" spans="1:100" ht="16.5" hidden="1" customHeight="1">
      <c r="A108" s="240" t="e">
        <f>#REF!</f>
        <v>#REF!</v>
      </c>
      <c r="B108" s="240"/>
      <c r="C108" s="240"/>
      <c r="D108" s="240"/>
      <c r="E108" s="240"/>
      <c r="F108" s="240"/>
      <c r="G108" s="240"/>
      <c r="H108" s="240"/>
      <c r="I108" s="241" t="e">
        <f>#REF!</f>
        <v>#REF!</v>
      </c>
      <c r="J108" s="682" t="e">
        <f>#REF!</f>
        <v>#REF!</v>
      </c>
      <c r="K108" s="682"/>
      <c r="L108" s="682"/>
      <c r="M108" s="682"/>
    </row>
    <row r="109" spans="1:100" s="246" customFormat="1" ht="20.100000000000001" hidden="1" customHeight="1">
      <c r="A109" s="240"/>
      <c r="B109" s="240"/>
      <c r="C109" s="240"/>
      <c r="D109" s="240"/>
      <c r="E109" s="240"/>
      <c r="F109" s="240"/>
      <c r="G109" s="240"/>
      <c r="H109" s="240"/>
      <c r="I109" s="239" t="e">
        <f>#REF!</f>
        <v>#REF!</v>
      </c>
      <c r="J109" s="682" t="e">
        <f>#REF!</f>
        <v>#REF!</v>
      </c>
      <c r="K109" s="682"/>
      <c r="L109" s="682"/>
      <c r="M109" s="682"/>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c r="AI109" s="257"/>
      <c r="AJ109" s="257"/>
      <c r="AK109" s="257"/>
      <c r="AL109" s="257"/>
      <c r="AM109" s="257"/>
      <c r="AN109" s="257"/>
      <c r="AO109" s="257"/>
      <c r="AP109" s="257"/>
      <c r="AQ109" s="257"/>
      <c r="AR109" s="257"/>
      <c r="AS109" s="257"/>
      <c r="AT109" s="257"/>
      <c r="AU109" s="257"/>
      <c r="AV109" s="257"/>
      <c r="AW109" s="257"/>
      <c r="AX109" s="257"/>
      <c r="AY109" s="257"/>
      <c r="AZ109" s="257"/>
      <c r="BA109" s="257"/>
      <c r="BB109" s="257"/>
      <c r="BC109" s="257"/>
      <c r="BD109" s="257"/>
      <c r="BE109" s="257"/>
      <c r="BF109" s="257"/>
      <c r="BG109" s="257"/>
      <c r="BH109" s="257"/>
      <c r="BI109" s="257"/>
      <c r="BJ109" s="257"/>
      <c r="BK109" s="257"/>
      <c r="BL109" s="257"/>
      <c r="BM109" s="257"/>
      <c r="BN109" s="257"/>
      <c r="BO109" s="257"/>
      <c r="BP109" s="257"/>
      <c r="BQ109" s="257"/>
      <c r="BR109" s="257"/>
      <c r="BS109" s="257"/>
      <c r="BT109" s="257"/>
      <c r="BU109" s="257"/>
      <c r="BV109" s="257"/>
      <c r="BW109" s="257"/>
      <c r="BX109" s="257"/>
      <c r="BY109" s="257"/>
      <c r="BZ109" s="257"/>
      <c r="CA109" s="257"/>
      <c r="CB109" s="257"/>
      <c r="CC109" s="257"/>
      <c r="CD109" s="257"/>
      <c r="CE109" s="257"/>
      <c r="CF109" s="257"/>
      <c r="CG109" s="257"/>
      <c r="CH109" s="257"/>
      <c r="CI109" s="257"/>
      <c r="CJ109" s="257"/>
      <c r="CK109" s="257"/>
      <c r="CL109" s="257"/>
      <c r="CM109" s="257"/>
      <c r="CN109" s="257"/>
      <c r="CO109" s="257"/>
      <c r="CP109" s="257"/>
      <c r="CQ109" s="257"/>
      <c r="CR109" s="257"/>
      <c r="CS109" s="257"/>
      <c r="CT109" s="257"/>
      <c r="CU109" s="257"/>
      <c r="CV109" s="257"/>
    </row>
    <row r="110" spans="1:100" ht="20.100000000000001" hidden="1" customHeight="1">
      <c r="A110" s="247"/>
      <c r="B110" s="247"/>
      <c r="C110" s="247"/>
      <c r="D110" s="247"/>
      <c r="E110" s="247"/>
      <c r="F110" s="247"/>
      <c r="G110" s="247"/>
      <c r="H110" s="247"/>
      <c r="I110" s="239" t="e">
        <f>#REF!</f>
        <v>#REF!</v>
      </c>
      <c r="J110" s="682" t="e">
        <f>#REF!</f>
        <v>#REF!</v>
      </c>
      <c r="K110" s="682"/>
      <c r="L110" s="682"/>
      <c r="M110" s="682"/>
    </row>
    <row r="111" spans="1:100" ht="16.5" hidden="1" customHeight="1">
      <c r="A111" s="247"/>
      <c r="B111" s="247"/>
      <c r="C111" s="247"/>
      <c r="D111" s="247"/>
      <c r="E111" s="247"/>
      <c r="F111" s="247"/>
      <c r="G111" s="247"/>
      <c r="H111" s="247"/>
      <c r="I111" s="239"/>
      <c r="J111" s="682"/>
      <c r="K111" s="682"/>
      <c r="L111" s="682"/>
      <c r="M111" s="682"/>
    </row>
    <row r="112" spans="1:100" ht="20.100000000000001" hidden="1" customHeight="1">
      <c r="A112" s="243" t="e">
        <f>#REF!</f>
        <v>#REF!</v>
      </c>
      <c r="B112" s="243"/>
      <c r="C112" s="243"/>
      <c r="D112" s="243"/>
      <c r="E112" s="243"/>
      <c r="F112" s="243"/>
      <c r="G112" s="243"/>
      <c r="H112" s="243"/>
      <c r="I112" s="239" t="e">
        <f>#REF!</f>
        <v>#REF!</v>
      </c>
      <c r="J112" s="682"/>
      <c r="K112" s="682"/>
      <c r="L112" s="682"/>
      <c r="M112" s="682"/>
    </row>
    <row r="113" spans="1:13" ht="30" hidden="1" customHeight="1">
      <c r="A113" s="244" t="e">
        <f>#REF!</f>
        <v>#REF!</v>
      </c>
      <c r="B113" s="244"/>
      <c r="C113" s="244"/>
      <c r="D113" s="244"/>
      <c r="E113" s="244"/>
      <c r="F113" s="244"/>
      <c r="G113" s="244"/>
      <c r="H113" s="244"/>
      <c r="I113" s="239" t="e">
        <f>#REF!</f>
        <v>#REF!</v>
      </c>
      <c r="J113" s="682"/>
      <c r="K113" s="682"/>
      <c r="L113" s="682"/>
      <c r="M113" s="682"/>
    </row>
    <row r="114" spans="1:13" ht="16.5" hidden="1" customHeight="1">
      <c r="A114" s="240" t="e">
        <f>#REF!</f>
        <v>#REF!</v>
      </c>
      <c r="B114" s="240"/>
      <c r="C114" s="240"/>
      <c r="D114" s="240"/>
      <c r="E114" s="240"/>
      <c r="F114" s="240"/>
      <c r="G114" s="240"/>
      <c r="H114" s="240"/>
      <c r="I114" s="241" t="e">
        <f>#REF!</f>
        <v>#REF!</v>
      </c>
      <c r="J114" s="682" t="e">
        <f>#REF!</f>
        <v>#REF!</v>
      </c>
      <c r="K114" s="682"/>
      <c r="L114" s="682"/>
      <c r="M114" s="682"/>
    </row>
    <row r="115" spans="1:13" ht="16.5" hidden="1" customHeight="1">
      <c r="A115" s="240" t="e">
        <f>#REF!</f>
        <v>#REF!</v>
      </c>
      <c r="B115" s="240"/>
      <c r="C115" s="240"/>
      <c r="D115" s="240"/>
      <c r="E115" s="240"/>
      <c r="F115" s="240"/>
      <c r="G115" s="240"/>
      <c r="H115" s="240"/>
      <c r="I115" s="241" t="e">
        <f>#REF!</f>
        <v>#REF!</v>
      </c>
      <c r="J115" s="682" t="e">
        <f>#REF!</f>
        <v>#REF!</v>
      </c>
      <c r="K115" s="682"/>
      <c r="L115" s="682"/>
      <c r="M115" s="682"/>
    </row>
    <row r="116" spans="1:13" ht="16.5" hidden="1" customHeight="1">
      <c r="A116" s="240" t="e">
        <f>#REF!</f>
        <v>#REF!</v>
      </c>
      <c r="B116" s="240"/>
      <c r="C116" s="240"/>
      <c r="D116" s="240"/>
      <c r="E116" s="240"/>
      <c r="F116" s="240"/>
      <c r="G116" s="240"/>
      <c r="H116" s="240"/>
      <c r="I116" s="241" t="e">
        <f>#REF!</f>
        <v>#REF!</v>
      </c>
      <c r="J116" s="682" t="e">
        <f>#REF!</f>
        <v>#REF!</v>
      </c>
      <c r="K116" s="682"/>
      <c r="L116" s="682"/>
      <c r="M116" s="682"/>
    </row>
    <row r="117" spans="1:13" ht="20.100000000000001" hidden="1" customHeight="1">
      <c r="A117" s="248"/>
      <c r="B117" s="248"/>
      <c r="C117" s="248"/>
      <c r="D117" s="248"/>
      <c r="E117" s="248"/>
      <c r="F117" s="248"/>
      <c r="G117" s="248"/>
      <c r="H117" s="248"/>
      <c r="I117" s="239" t="e">
        <f>#REF!</f>
        <v>#REF!</v>
      </c>
      <c r="J117" s="682" t="e">
        <f>#REF!</f>
        <v>#REF!</v>
      </c>
      <c r="K117" s="682"/>
      <c r="L117" s="682"/>
      <c r="M117" s="682"/>
    </row>
    <row r="118" spans="1:13" ht="20.100000000000001" hidden="1" customHeight="1">
      <c r="A118" s="247"/>
      <c r="B118" s="247"/>
      <c r="C118" s="247"/>
      <c r="D118" s="247"/>
      <c r="E118" s="247"/>
      <c r="F118" s="247"/>
      <c r="G118" s="247"/>
      <c r="H118" s="247"/>
      <c r="I118" s="239" t="e">
        <f>#REF!</f>
        <v>#REF!</v>
      </c>
      <c r="J118" s="682" t="e">
        <f>#REF!</f>
        <v>#REF!</v>
      </c>
      <c r="K118" s="682"/>
      <c r="L118" s="682"/>
      <c r="M118" s="682"/>
    </row>
    <row r="119" spans="1:13" ht="20.100000000000001" hidden="1" customHeight="1">
      <c r="A119" s="238" t="e">
        <f>#REF!</f>
        <v>#REF!</v>
      </c>
      <c r="B119" s="238"/>
      <c r="C119" s="238"/>
      <c r="D119" s="238"/>
      <c r="E119" s="238"/>
      <c r="F119" s="238"/>
      <c r="G119" s="238"/>
      <c r="H119" s="238"/>
      <c r="I119" s="239" t="e">
        <f>#REF!</f>
        <v>#REF!</v>
      </c>
      <c r="J119" s="682"/>
      <c r="K119" s="682"/>
      <c r="L119" s="682"/>
      <c r="M119" s="682"/>
    </row>
    <row r="120" spans="1:13" ht="30" hidden="1" customHeight="1">
      <c r="A120" s="243" t="e">
        <f>#REF!</f>
        <v>#REF!</v>
      </c>
      <c r="B120" s="243"/>
      <c r="C120" s="243"/>
      <c r="D120" s="243"/>
      <c r="E120" s="243"/>
      <c r="F120" s="243"/>
      <c r="G120" s="243"/>
      <c r="H120" s="243"/>
      <c r="I120" s="239" t="e">
        <f>#REF!</f>
        <v>#REF!</v>
      </c>
      <c r="J120" s="682"/>
      <c r="K120" s="682"/>
      <c r="L120" s="682"/>
      <c r="M120" s="682"/>
    </row>
    <row r="121" spans="1:13" ht="20.100000000000001" hidden="1" customHeight="1">
      <c r="A121" s="240" t="e">
        <f>#REF!</f>
        <v>#REF!</v>
      </c>
      <c r="B121" s="240"/>
      <c r="C121" s="240"/>
      <c r="D121" s="240"/>
      <c r="E121" s="240"/>
      <c r="F121" s="240"/>
      <c r="G121" s="240"/>
      <c r="H121" s="240"/>
      <c r="I121" s="241" t="e">
        <f>#REF!</f>
        <v>#REF!</v>
      </c>
      <c r="J121" s="682" t="e">
        <f>#REF!</f>
        <v>#REF!</v>
      </c>
      <c r="K121" s="682"/>
      <c r="L121" s="682"/>
      <c r="M121" s="682"/>
    </row>
    <row r="122" spans="1:13" ht="20.100000000000001" hidden="1" customHeight="1">
      <c r="A122" s="240" t="e">
        <f>#REF!</f>
        <v>#REF!</v>
      </c>
      <c r="B122" s="240"/>
      <c r="C122" s="240"/>
      <c r="D122" s="240"/>
      <c r="E122" s="240"/>
      <c r="F122" s="240"/>
      <c r="G122" s="240"/>
      <c r="H122" s="240"/>
      <c r="I122" s="241" t="e">
        <f>#REF!</f>
        <v>#REF!</v>
      </c>
      <c r="J122" s="682" t="e">
        <f>#REF!</f>
        <v>#REF!</v>
      </c>
      <c r="K122" s="682"/>
      <c r="L122" s="682"/>
      <c r="M122" s="682"/>
    </row>
    <row r="123" spans="1:13" ht="20.100000000000001" hidden="1" customHeight="1">
      <c r="A123" s="240" t="e">
        <f>#REF!</f>
        <v>#REF!</v>
      </c>
      <c r="B123" s="240"/>
      <c r="C123" s="240"/>
      <c r="D123" s="240"/>
      <c r="E123" s="240"/>
      <c r="F123" s="240"/>
      <c r="G123" s="240"/>
      <c r="H123" s="240"/>
      <c r="I123" s="241" t="e">
        <f>#REF!</f>
        <v>#REF!</v>
      </c>
      <c r="J123" s="682" t="e">
        <f>#REF!</f>
        <v>#REF!</v>
      </c>
      <c r="K123" s="682"/>
      <c r="L123" s="682"/>
      <c r="M123" s="682"/>
    </row>
    <row r="124" spans="1:13" ht="20.100000000000001" hidden="1" customHeight="1">
      <c r="A124" s="240" t="e">
        <f>#REF!</f>
        <v>#REF!</v>
      </c>
      <c r="B124" s="240"/>
      <c r="C124" s="240"/>
      <c r="D124" s="240"/>
      <c r="E124" s="240"/>
      <c r="F124" s="240"/>
      <c r="G124" s="240"/>
      <c r="H124" s="240"/>
      <c r="I124" s="241" t="e">
        <f>#REF!</f>
        <v>#REF!</v>
      </c>
      <c r="J124" s="682" t="e">
        <f>#REF!</f>
        <v>#REF!</v>
      </c>
      <c r="K124" s="682"/>
      <c r="L124" s="682"/>
      <c r="M124" s="682"/>
    </row>
    <row r="125" spans="1:13" ht="20.100000000000001" hidden="1" customHeight="1">
      <c r="A125" s="240" t="e">
        <f>#REF!</f>
        <v>#REF!</v>
      </c>
      <c r="B125" s="240"/>
      <c r="C125" s="240"/>
      <c r="D125" s="240"/>
      <c r="E125" s="240"/>
      <c r="F125" s="240"/>
      <c r="G125" s="240"/>
      <c r="H125" s="240"/>
      <c r="I125" s="241" t="e">
        <f>#REF!</f>
        <v>#REF!</v>
      </c>
      <c r="J125" s="682" t="e">
        <f>#REF!</f>
        <v>#REF!</v>
      </c>
      <c r="K125" s="682"/>
      <c r="L125" s="682"/>
      <c r="M125" s="682"/>
    </row>
    <row r="126" spans="1:13" ht="20.100000000000001" hidden="1" customHeight="1">
      <c r="A126" s="242"/>
      <c r="B126" s="242"/>
      <c r="C126" s="242"/>
      <c r="D126" s="242"/>
      <c r="E126" s="242"/>
      <c r="F126" s="242"/>
      <c r="G126" s="242"/>
      <c r="H126" s="242"/>
      <c r="I126" s="239" t="e">
        <f>#REF!</f>
        <v>#REF!</v>
      </c>
      <c r="J126" s="682" t="e">
        <f>#REF!</f>
        <v>#REF!</v>
      </c>
      <c r="K126" s="682"/>
      <c r="L126" s="682"/>
      <c r="M126" s="682"/>
    </row>
    <row r="127" spans="1:13" ht="20.100000000000001" hidden="1" customHeight="1">
      <c r="A127" s="243" t="e">
        <f>#REF!</f>
        <v>#REF!</v>
      </c>
      <c r="B127" s="243"/>
      <c r="C127" s="243"/>
      <c r="D127" s="243"/>
      <c r="E127" s="243"/>
      <c r="F127" s="243"/>
      <c r="G127" s="243"/>
      <c r="H127" s="243"/>
      <c r="I127" s="239" t="e">
        <f>#REF!</f>
        <v>#REF!</v>
      </c>
      <c r="J127" s="682"/>
      <c r="K127" s="682"/>
      <c r="L127" s="682"/>
      <c r="M127" s="682"/>
    </row>
    <row r="128" spans="1:13" ht="20.100000000000001" hidden="1" customHeight="1">
      <c r="A128" s="240" t="e">
        <f>#REF!</f>
        <v>#REF!</v>
      </c>
      <c r="B128" s="240"/>
      <c r="C128" s="240"/>
      <c r="D128" s="240"/>
      <c r="E128" s="240"/>
      <c r="F128" s="240"/>
      <c r="G128" s="240"/>
      <c r="H128" s="240"/>
      <c r="I128" s="249" t="e">
        <f>#REF!</f>
        <v>#REF!</v>
      </c>
      <c r="J128" s="682" t="e">
        <f>#REF!</f>
        <v>#REF!</v>
      </c>
      <c r="K128" s="682"/>
      <c r="L128" s="682"/>
      <c r="M128" s="682"/>
    </row>
    <row r="129" spans="1:13" ht="20.100000000000001" hidden="1" customHeight="1">
      <c r="A129" s="240" t="e">
        <f>#REF!</f>
        <v>#REF!</v>
      </c>
      <c r="B129" s="240"/>
      <c r="C129" s="240"/>
      <c r="D129" s="240"/>
      <c r="E129" s="240"/>
      <c r="F129" s="240"/>
      <c r="G129" s="240"/>
      <c r="H129" s="240"/>
      <c r="I129" s="249" t="e">
        <f>#REF!</f>
        <v>#REF!</v>
      </c>
      <c r="J129" s="682" t="e">
        <f>#REF!</f>
        <v>#REF!</v>
      </c>
      <c r="K129" s="682"/>
      <c r="L129" s="682"/>
      <c r="M129" s="682"/>
    </row>
    <row r="130" spans="1:13" ht="20.100000000000001" hidden="1" customHeight="1">
      <c r="A130" s="240" t="e">
        <f>#REF!</f>
        <v>#REF!</v>
      </c>
      <c r="B130" s="240"/>
      <c r="C130" s="240"/>
      <c r="D130" s="240"/>
      <c r="E130" s="240"/>
      <c r="F130" s="240"/>
      <c r="G130" s="240"/>
      <c r="H130" s="240"/>
      <c r="I130" s="249" t="e">
        <f>#REF!</f>
        <v>#REF!</v>
      </c>
      <c r="J130" s="682" t="e">
        <f>#REF!</f>
        <v>#REF!</v>
      </c>
      <c r="K130" s="682"/>
      <c r="L130" s="682"/>
      <c r="M130" s="682"/>
    </row>
    <row r="131" spans="1:13" ht="20.100000000000001" hidden="1" customHeight="1">
      <c r="A131" s="240" t="e">
        <f>#REF!</f>
        <v>#REF!</v>
      </c>
      <c r="B131" s="240"/>
      <c r="C131" s="240"/>
      <c r="D131" s="240"/>
      <c r="E131" s="240"/>
      <c r="F131" s="240"/>
      <c r="G131" s="240"/>
      <c r="H131" s="240"/>
      <c r="I131" s="249" t="e">
        <f>#REF!</f>
        <v>#REF!</v>
      </c>
      <c r="J131" s="682" t="e">
        <f>#REF!</f>
        <v>#REF!</v>
      </c>
      <c r="K131" s="682"/>
      <c r="L131" s="682"/>
      <c r="M131" s="682"/>
    </row>
    <row r="132" spans="1:13" ht="20.100000000000001" hidden="1" customHeight="1">
      <c r="A132" s="240" t="e">
        <f>#REF!</f>
        <v>#REF!</v>
      </c>
      <c r="B132" s="240"/>
      <c r="C132" s="240"/>
      <c r="D132" s="240"/>
      <c r="E132" s="240"/>
      <c r="F132" s="240"/>
      <c r="G132" s="240"/>
      <c r="H132" s="240"/>
      <c r="I132" s="249" t="e">
        <f>#REF!</f>
        <v>#REF!</v>
      </c>
      <c r="J132" s="682" t="e">
        <f>#REF!</f>
        <v>#REF!</v>
      </c>
      <c r="K132" s="682"/>
      <c r="L132" s="682"/>
      <c r="M132" s="682"/>
    </row>
    <row r="133" spans="1:13" ht="20.100000000000001" hidden="1" customHeight="1">
      <c r="A133" s="240" t="e">
        <f>#REF!</f>
        <v>#REF!</v>
      </c>
      <c r="B133" s="240"/>
      <c r="C133" s="240"/>
      <c r="D133" s="240"/>
      <c r="E133" s="240"/>
      <c r="F133" s="240"/>
      <c r="G133" s="240"/>
      <c r="H133" s="240"/>
      <c r="I133" s="249" t="e">
        <f>#REF!</f>
        <v>#REF!</v>
      </c>
      <c r="J133" s="682" t="e">
        <f>#REF!</f>
        <v>#REF!</v>
      </c>
      <c r="K133" s="682"/>
      <c r="L133" s="682"/>
      <c r="M133" s="682"/>
    </row>
    <row r="134" spans="1:13" ht="20.100000000000001" hidden="1" customHeight="1">
      <c r="A134" s="250"/>
      <c r="B134" s="250"/>
      <c r="C134" s="250"/>
      <c r="D134" s="250"/>
      <c r="E134" s="250"/>
      <c r="F134" s="250"/>
      <c r="G134" s="250"/>
      <c r="H134" s="250"/>
      <c r="I134" s="239" t="e">
        <f>#REF!</f>
        <v>#REF!</v>
      </c>
      <c r="J134" s="682" t="e">
        <f>#REF!</f>
        <v>#REF!</v>
      </c>
      <c r="K134" s="682"/>
      <c r="L134" s="682"/>
      <c r="M134" s="682"/>
    </row>
    <row r="135" spans="1:13" ht="35.25" hidden="1" customHeight="1">
      <c r="A135" s="243" t="e">
        <f>#REF!</f>
        <v>#REF!</v>
      </c>
      <c r="B135" s="243"/>
      <c r="C135" s="243"/>
      <c r="D135" s="243"/>
      <c r="E135" s="243"/>
      <c r="F135" s="243"/>
      <c r="G135" s="243"/>
      <c r="H135" s="243"/>
      <c r="I135" s="239" t="e">
        <f>#REF!</f>
        <v>#REF!</v>
      </c>
      <c r="J135" s="682"/>
      <c r="K135" s="682"/>
      <c r="L135" s="682"/>
      <c r="M135" s="682"/>
    </row>
    <row r="136" spans="1:13" ht="19.5" hidden="1" customHeight="1">
      <c r="A136" s="240" t="e">
        <f>#REF!</f>
        <v>#REF!</v>
      </c>
      <c r="B136" s="240"/>
      <c r="C136" s="240"/>
      <c r="D136" s="240"/>
      <c r="E136" s="240"/>
      <c r="F136" s="240"/>
      <c r="G136" s="240"/>
      <c r="H136" s="240"/>
      <c r="I136" s="249" t="e">
        <f>#REF!</f>
        <v>#REF!</v>
      </c>
      <c r="J136" s="682" t="e">
        <f>#REF!</f>
        <v>#REF!</v>
      </c>
      <c r="K136" s="682"/>
      <c r="L136" s="682"/>
      <c r="M136" s="682"/>
    </row>
    <row r="137" spans="1:13" ht="19.5" hidden="1" customHeight="1">
      <c r="A137" s="240" t="e">
        <f>#REF!</f>
        <v>#REF!</v>
      </c>
      <c r="B137" s="240"/>
      <c r="C137" s="240"/>
      <c r="D137" s="240"/>
      <c r="E137" s="240"/>
      <c r="F137" s="240"/>
      <c r="G137" s="240"/>
      <c r="H137" s="240"/>
      <c r="I137" s="249" t="e">
        <f>#REF!</f>
        <v>#REF!</v>
      </c>
      <c r="J137" s="682" t="e">
        <f>#REF!</f>
        <v>#REF!</v>
      </c>
      <c r="K137" s="682"/>
      <c r="L137" s="682"/>
      <c r="M137" s="682"/>
    </row>
    <row r="138" spans="1:13" ht="19.5" hidden="1" customHeight="1">
      <c r="A138" s="240" t="e">
        <f>#REF!</f>
        <v>#REF!</v>
      </c>
      <c r="B138" s="240"/>
      <c r="C138" s="240"/>
      <c r="D138" s="240"/>
      <c r="E138" s="240"/>
      <c r="F138" s="240"/>
      <c r="G138" s="240"/>
      <c r="H138" s="240"/>
      <c r="I138" s="249" t="e">
        <f>#REF!</f>
        <v>#REF!</v>
      </c>
      <c r="J138" s="682" t="e">
        <f>#REF!</f>
        <v>#REF!</v>
      </c>
      <c r="K138" s="682"/>
      <c r="L138" s="682"/>
      <c r="M138" s="682"/>
    </row>
    <row r="139" spans="1:13" ht="19.5" hidden="1" customHeight="1">
      <c r="A139" s="240" t="e">
        <f>#REF!</f>
        <v>#REF!</v>
      </c>
      <c r="B139" s="240"/>
      <c r="C139" s="240"/>
      <c r="D139" s="240"/>
      <c r="E139" s="240"/>
      <c r="F139" s="240"/>
      <c r="G139" s="240"/>
      <c r="H139" s="240"/>
      <c r="I139" s="249" t="e">
        <f>#REF!</f>
        <v>#REF!</v>
      </c>
      <c r="J139" s="682" t="e">
        <f>#REF!</f>
        <v>#REF!</v>
      </c>
      <c r="K139" s="682"/>
      <c r="L139" s="682"/>
      <c r="M139" s="682"/>
    </row>
    <row r="140" spans="1:13" ht="33" hidden="1" customHeight="1">
      <c r="A140" s="240" t="e">
        <f>#REF!</f>
        <v>#REF!</v>
      </c>
      <c r="B140" s="240"/>
      <c r="C140" s="240"/>
      <c r="D140" s="240"/>
      <c r="E140" s="240"/>
      <c r="F140" s="240"/>
      <c r="G140" s="240"/>
      <c r="H140" s="240"/>
      <c r="I140" s="249" t="e">
        <f>#REF!</f>
        <v>#REF!</v>
      </c>
      <c r="J140" s="682" t="e">
        <f>#REF!</f>
        <v>#REF!</v>
      </c>
      <c r="K140" s="682"/>
      <c r="L140" s="682"/>
      <c r="M140" s="682"/>
    </row>
    <row r="141" spans="1:13" ht="19.5" hidden="1" customHeight="1">
      <c r="A141" s="240" t="e">
        <f>#REF!</f>
        <v>#REF!</v>
      </c>
      <c r="B141" s="240"/>
      <c r="C141" s="240"/>
      <c r="D141" s="240"/>
      <c r="E141" s="240"/>
      <c r="F141" s="240"/>
      <c r="G141" s="240"/>
      <c r="H141" s="240"/>
      <c r="I141" s="249" t="e">
        <f>#REF!</f>
        <v>#REF!</v>
      </c>
      <c r="J141" s="682" t="e">
        <f>#REF!</f>
        <v>#REF!</v>
      </c>
      <c r="K141" s="682"/>
      <c r="L141" s="682"/>
      <c r="M141" s="682"/>
    </row>
    <row r="142" spans="1:13" ht="19.5" hidden="1" customHeight="1">
      <c r="A142" s="240" t="e">
        <f>#REF!</f>
        <v>#REF!</v>
      </c>
      <c r="B142" s="240"/>
      <c r="C142" s="240"/>
      <c r="D142" s="240"/>
      <c r="E142" s="240"/>
      <c r="F142" s="240"/>
      <c r="G142" s="240"/>
      <c r="H142" s="240"/>
      <c r="I142" s="249" t="e">
        <f>#REF!</f>
        <v>#REF!</v>
      </c>
      <c r="J142" s="682" t="e">
        <f>#REF!</f>
        <v>#REF!</v>
      </c>
      <c r="K142" s="682"/>
      <c r="L142" s="682"/>
      <c r="M142" s="682"/>
    </row>
    <row r="143" spans="1:13" ht="19.5" hidden="1" customHeight="1">
      <c r="A143" s="240" t="e">
        <f>#REF!</f>
        <v>#REF!</v>
      </c>
      <c r="B143" s="240"/>
      <c r="C143" s="240"/>
      <c r="D143" s="240"/>
      <c r="E143" s="240"/>
      <c r="F143" s="240"/>
      <c r="G143" s="240"/>
      <c r="H143" s="240"/>
      <c r="I143" s="249" t="e">
        <f>#REF!</f>
        <v>#REF!</v>
      </c>
      <c r="J143" s="682" t="e">
        <f>#REF!</f>
        <v>#REF!</v>
      </c>
      <c r="K143" s="682"/>
      <c r="L143" s="682"/>
      <c r="M143" s="682"/>
    </row>
    <row r="144" spans="1:13" ht="19.5" hidden="1" customHeight="1">
      <c r="A144" s="240" t="e">
        <f>#REF!</f>
        <v>#REF!</v>
      </c>
      <c r="B144" s="240"/>
      <c r="C144" s="240"/>
      <c r="D144" s="240"/>
      <c r="E144" s="240"/>
      <c r="F144" s="240"/>
      <c r="G144" s="240"/>
      <c r="H144" s="240"/>
      <c r="I144" s="249" t="e">
        <f>#REF!</f>
        <v>#REF!</v>
      </c>
      <c r="J144" s="682" t="e">
        <f>#REF!</f>
        <v>#REF!</v>
      </c>
      <c r="K144" s="682"/>
      <c r="L144" s="682"/>
      <c r="M144" s="682"/>
    </row>
    <row r="145" spans="1:13" ht="19.5" hidden="1" customHeight="1">
      <c r="A145" s="250"/>
      <c r="B145" s="250"/>
      <c r="C145" s="250"/>
      <c r="D145" s="250"/>
      <c r="E145" s="250"/>
      <c r="F145" s="250"/>
      <c r="G145" s="250"/>
      <c r="H145" s="250"/>
      <c r="I145" s="239" t="e">
        <f>#REF!</f>
        <v>#REF!</v>
      </c>
      <c r="J145" s="682" t="e">
        <f>#REF!</f>
        <v>#REF!</v>
      </c>
      <c r="K145" s="682"/>
      <c r="L145" s="682"/>
      <c r="M145" s="682"/>
    </row>
    <row r="146" spans="1:13" ht="19.5" hidden="1" customHeight="1">
      <c r="A146" s="243" t="e">
        <f>#REF!</f>
        <v>#REF!</v>
      </c>
      <c r="B146" s="243"/>
      <c r="C146" s="243"/>
      <c r="D146" s="243"/>
      <c r="E146" s="243"/>
      <c r="F146" s="243"/>
      <c r="G146" s="243"/>
      <c r="H146" s="243"/>
      <c r="I146" s="239" t="e">
        <f>#REF!</f>
        <v>#REF!</v>
      </c>
      <c r="J146" s="682"/>
      <c r="K146" s="682"/>
      <c r="L146" s="682"/>
      <c r="M146" s="682"/>
    </row>
    <row r="147" spans="1:13" ht="19.5" hidden="1" customHeight="1">
      <c r="A147" s="240" t="e">
        <f>#REF!</f>
        <v>#REF!</v>
      </c>
      <c r="B147" s="240"/>
      <c r="C147" s="240"/>
      <c r="D147" s="240"/>
      <c r="E147" s="240"/>
      <c r="F147" s="240"/>
      <c r="G147" s="240"/>
      <c r="H147" s="240"/>
      <c r="I147" s="241" t="e">
        <f>#REF!</f>
        <v>#REF!</v>
      </c>
      <c r="J147" s="682" t="e">
        <f>#REF!</f>
        <v>#REF!</v>
      </c>
      <c r="K147" s="682"/>
      <c r="L147" s="682"/>
      <c r="M147" s="682"/>
    </row>
    <row r="148" spans="1:13" ht="19.5" hidden="1" customHeight="1">
      <c r="A148" s="240" t="e">
        <f>#REF!</f>
        <v>#REF!</v>
      </c>
      <c r="B148" s="240"/>
      <c r="C148" s="240"/>
      <c r="D148" s="240"/>
      <c r="E148" s="240"/>
      <c r="F148" s="240"/>
      <c r="G148" s="240"/>
      <c r="H148" s="240"/>
      <c r="I148" s="241" t="e">
        <f>#REF!</f>
        <v>#REF!</v>
      </c>
      <c r="J148" s="682" t="e">
        <f>#REF!</f>
        <v>#REF!</v>
      </c>
      <c r="K148" s="682"/>
      <c r="L148" s="682"/>
      <c r="M148" s="682"/>
    </row>
    <row r="149" spans="1:13" ht="19.5" hidden="1" customHeight="1">
      <c r="A149" s="240" t="e">
        <f>#REF!</f>
        <v>#REF!</v>
      </c>
      <c r="B149" s="240"/>
      <c r="C149" s="240"/>
      <c r="D149" s="240"/>
      <c r="E149" s="240"/>
      <c r="F149" s="240"/>
      <c r="G149" s="240"/>
      <c r="H149" s="240"/>
      <c r="I149" s="241" t="e">
        <f>#REF!</f>
        <v>#REF!</v>
      </c>
      <c r="J149" s="682" t="e">
        <f>#REF!</f>
        <v>#REF!</v>
      </c>
      <c r="K149" s="682"/>
      <c r="L149" s="682"/>
      <c r="M149" s="682"/>
    </row>
    <row r="150" spans="1:13" ht="19.5" hidden="1" customHeight="1">
      <c r="A150" s="250"/>
      <c r="B150" s="250"/>
      <c r="C150" s="250"/>
      <c r="D150" s="250"/>
      <c r="E150" s="250"/>
      <c r="F150" s="250"/>
      <c r="G150" s="250"/>
      <c r="H150" s="250"/>
      <c r="I150" s="239" t="e">
        <f>#REF!</f>
        <v>#REF!</v>
      </c>
      <c r="J150" s="682" t="e">
        <f>#REF!</f>
        <v>#REF!</v>
      </c>
      <c r="K150" s="682"/>
      <c r="L150" s="682"/>
      <c r="M150" s="682"/>
    </row>
    <row r="151" spans="1:13" ht="33" hidden="1" customHeight="1">
      <c r="A151" s="243" t="e">
        <f>#REF!</f>
        <v>#REF!</v>
      </c>
      <c r="B151" s="243"/>
      <c r="C151" s="243"/>
      <c r="D151" s="243"/>
      <c r="E151" s="243"/>
      <c r="F151" s="243"/>
      <c r="G151" s="243"/>
      <c r="H151" s="243"/>
      <c r="I151" s="239" t="e">
        <f>#REF!</f>
        <v>#REF!</v>
      </c>
      <c r="J151" s="682"/>
      <c r="K151" s="682"/>
      <c r="L151" s="682"/>
      <c r="M151" s="682"/>
    </row>
    <row r="152" spans="1:13" ht="19.5" hidden="1" customHeight="1">
      <c r="A152" s="250" t="e">
        <f>#REF!</f>
        <v>#REF!</v>
      </c>
      <c r="B152" s="250"/>
      <c r="C152" s="250"/>
      <c r="D152" s="250"/>
      <c r="E152" s="250"/>
      <c r="F152" s="250"/>
      <c r="G152" s="250"/>
      <c r="H152" s="250"/>
      <c r="I152" s="241" t="e">
        <f>#REF!</f>
        <v>#REF!</v>
      </c>
      <c r="J152" s="682" t="e">
        <f>#REF!</f>
        <v>#REF!</v>
      </c>
      <c r="K152" s="682"/>
      <c r="L152" s="682"/>
      <c r="M152" s="682"/>
    </row>
    <row r="153" spans="1:13" ht="19.5" hidden="1" customHeight="1">
      <c r="A153" s="250" t="e">
        <f>#REF!</f>
        <v>#REF!</v>
      </c>
      <c r="B153" s="250"/>
      <c r="C153" s="250"/>
      <c r="D153" s="250"/>
      <c r="E153" s="250"/>
      <c r="F153" s="250"/>
      <c r="G153" s="250"/>
      <c r="H153" s="250"/>
      <c r="I153" s="241" t="e">
        <f>#REF!</f>
        <v>#REF!</v>
      </c>
      <c r="J153" s="682" t="e">
        <f>#REF!</f>
        <v>#REF!</v>
      </c>
      <c r="K153" s="682"/>
      <c r="L153" s="682"/>
      <c r="M153" s="682"/>
    </row>
    <row r="154" spans="1:13" ht="19.5" hidden="1" customHeight="1">
      <c r="A154" s="250" t="e">
        <f>#REF!</f>
        <v>#REF!</v>
      </c>
      <c r="B154" s="250"/>
      <c r="C154" s="250"/>
      <c r="D154" s="250"/>
      <c r="E154" s="250"/>
      <c r="F154" s="250"/>
      <c r="G154" s="250"/>
      <c r="H154" s="250"/>
      <c r="I154" s="241" t="e">
        <f>#REF!</f>
        <v>#REF!</v>
      </c>
      <c r="J154" s="682" t="e">
        <f>#REF!</f>
        <v>#REF!</v>
      </c>
      <c r="K154" s="682"/>
      <c r="L154" s="682"/>
      <c r="M154" s="682"/>
    </row>
    <row r="155" spans="1:13" ht="19.5" hidden="1" customHeight="1">
      <c r="A155" s="250"/>
      <c r="B155" s="250"/>
      <c r="C155" s="250"/>
      <c r="D155" s="250"/>
      <c r="E155" s="250"/>
      <c r="F155" s="250"/>
      <c r="G155" s="250"/>
      <c r="H155" s="250"/>
      <c r="I155" s="239" t="e">
        <f>#REF!</f>
        <v>#REF!</v>
      </c>
      <c r="J155" s="682" t="e">
        <f>#REF!</f>
        <v>#REF!</v>
      </c>
      <c r="K155" s="682"/>
      <c r="L155" s="682"/>
      <c r="M155" s="682"/>
    </row>
    <row r="156" spans="1:13" ht="19.5" hidden="1" customHeight="1">
      <c r="A156" s="243" t="e">
        <f>#REF!</f>
        <v>#REF!</v>
      </c>
      <c r="B156" s="243"/>
      <c r="C156" s="243"/>
      <c r="D156" s="243"/>
      <c r="E156" s="243"/>
      <c r="F156" s="243"/>
      <c r="G156" s="243"/>
      <c r="H156" s="243"/>
      <c r="I156" s="239" t="e">
        <f>#REF!</f>
        <v>#REF!</v>
      </c>
      <c r="J156" s="682"/>
      <c r="K156" s="682"/>
      <c r="L156" s="682"/>
      <c r="M156" s="682"/>
    </row>
    <row r="157" spans="1:13" ht="19.5" hidden="1" customHeight="1">
      <c r="A157" s="240" t="e">
        <f>#REF!</f>
        <v>#REF!</v>
      </c>
      <c r="B157" s="240"/>
      <c r="C157" s="240"/>
      <c r="D157" s="240"/>
      <c r="E157" s="240"/>
      <c r="F157" s="240"/>
      <c r="G157" s="240"/>
      <c r="H157" s="240"/>
      <c r="I157" s="241" t="e">
        <f>#REF!</f>
        <v>#REF!</v>
      </c>
      <c r="J157" s="682" t="e">
        <f>#REF!</f>
        <v>#REF!</v>
      </c>
      <c r="K157" s="682"/>
      <c r="L157" s="682"/>
      <c r="M157" s="682"/>
    </row>
    <row r="158" spans="1:13" ht="19.5" hidden="1" customHeight="1">
      <c r="A158" s="240" t="e">
        <f>#REF!</f>
        <v>#REF!</v>
      </c>
      <c r="B158" s="240"/>
      <c r="C158" s="240"/>
      <c r="D158" s="240"/>
      <c r="E158" s="240"/>
      <c r="F158" s="240"/>
      <c r="G158" s="240"/>
      <c r="H158" s="240"/>
      <c r="I158" s="241" t="e">
        <f>#REF!</f>
        <v>#REF!</v>
      </c>
      <c r="J158" s="682" t="e">
        <f>#REF!</f>
        <v>#REF!</v>
      </c>
      <c r="K158" s="682"/>
      <c r="L158" s="682"/>
      <c r="M158" s="682"/>
    </row>
    <row r="159" spans="1:13" ht="19.5" hidden="1" customHeight="1">
      <c r="A159" s="250"/>
      <c r="B159" s="250"/>
      <c r="C159" s="250"/>
      <c r="D159" s="250"/>
      <c r="E159" s="250"/>
      <c r="F159" s="250"/>
      <c r="G159" s="250"/>
      <c r="H159" s="250"/>
      <c r="I159" s="239" t="e">
        <f>#REF!</f>
        <v>#REF!</v>
      </c>
      <c r="J159" s="682" t="e">
        <f>#REF!</f>
        <v>#REF!</v>
      </c>
      <c r="K159" s="682"/>
      <c r="L159" s="682"/>
      <c r="M159" s="682"/>
    </row>
    <row r="160" spans="1:13" ht="33" hidden="1" customHeight="1">
      <c r="A160" s="243" t="e">
        <f>#REF!</f>
        <v>#REF!</v>
      </c>
      <c r="B160" s="243"/>
      <c r="C160" s="243"/>
      <c r="D160" s="243"/>
      <c r="E160" s="243"/>
      <c r="F160" s="243"/>
      <c r="G160" s="243"/>
      <c r="H160" s="243"/>
      <c r="I160" s="239" t="e">
        <f>#REF!</f>
        <v>#REF!</v>
      </c>
      <c r="J160" s="682"/>
      <c r="K160" s="682"/>
      <c r="L160" s="682"/>
      <c r="M160" s="682"/>
    </row>
    <row r="161" spans="1:13" ht="19.5" hidden="1" customHeight="1">
      <c r="A161" s="240" t="e">
        <f>#REF!</f>
        <v>#REF!</v>
      </c>
      <c r="B161" s="240"/>
      <c r="C161" s="240"/>
      <c r="D161" s="240"/>
      <c r="E161" s="240"/>
      <c r="F161" s="240"/>
      <c r="G161" s="240"/>
      <c r="H161" s="240"/>
      <c r="I161" s="241" t="e">
        <f>#REF!</f>
        <v>#REF!</v>
      </c>
      <c r="J161" s="682" t="e">
        <f>#REF!</f>
        <v>#REF!</v>
      </c>
      <c r="K161" s="682"/>
      <c r="L161" s="682"/>
      <c r="M161" s="682"/>
    </row>
    <row r="162" spans="1:13" ht="19.5" hidden="1" customHeight="1">
      <c r="A162" s="240" t="e">
        <f>#REF!</f>
        <v>#REF!</v>
      </c>
      <c r="B162" s="240"/>
      <c r="C162" s="240"/>
      <c r="D162" s="240"/>
      <c r="E162" s="240"/>
      <c r="F162" s="240"/>
      <c r="G162" s="240"/>
      <c r="H162" s="240"/>
      <c r="I162" s="241" t="e">
        <f>#REF!</f>
        <v>#REF!</v>
      </c>
      <c r="J162" s="682" t="e">
        <f>#REF!</f>
        <v>#REF!</v>
      </c>
      <c r="K162" s="682"/>
      <c r="L162" s="682"/>
      <c r="M162" s="682"/>
    </row>
    <row r="163" spans="1:13" ht="19.5" hidden="1" customHeight="1">
      <c r="A163" s="240" t="e">
        <f>#REF!</f>
        <v>#REF!</v>
      </c>
      <c r="B163" s="240"/>
      <c r="C163" s="240"/>
      <c r="D163" s="240"/>
      <c r="E163" s="240"/>
      <c r="F163" s="240"/>
      <c r="G163" s="240"/>
      <c r="H163" s="240"/>
      <c r="I163" s="241" t="e">
        <f>#REF!</f>
        <v>#REF!</v>
      </c>
      <c r="J163" s="682" t="e">
        <f>#REF!</f>
        <v>#REF!</v>
      </c>
      <c r="K163" s="682"/>
      <c r="L163" s="682"/>
      <c r="M163" s="682"/>
    </row>
    <row r="164" spans="1:13" ht="19.5" hidden="1" customHeight="1">
      <c r="A164" s="240" t="e">
        <f>#REF!</f>
        <v>#REF!</v>
      </c>
      <c r="B164" s="240"/>
      <c r="C164" s="240"/>
      <c r="D164" s="240"/>
      <c r="E164" s="240"/>
      <c r="F164" s="240"/>
      <c r="G164" s="240"/>
      <c r="H164" s="240"/>
      <c r="I164" s="241" t="e">
        <f>#REF!</f>
        <v>#REF!</v>
      </c>
      <c r="J164" s="682" t="e">
        <f>#REF!</f>
        <v>#REF!</v>
      </c>
      <c r="K164" s="682"/>
      <c r="L164" s="682"/>
      <c r="M164" s="682"/>
    </row>
    <row r="165" spans="1:13" ht="19.5" hidden="1" customHeight="1">
      <c r="A165" s="240" t="e">
        <f>#REF!</f>
        <v>#REF!</v>
      </c>
      <c r="B165" s="240"/>
      <c r="C165" s="240"/>
      <c r="D165" s="240"/>
      <c r="E165" s="240"/>
      <c r="F165" s="240"/>
      <c r="G165" s="240"/>
      <c r="H165" s="240"/>
      <c r="I165" s="241" t="e">
        <f>#REF!</f>
        <v>#REF!</v>
      </c>
      <c r="J165" s="682" t="e">
        <f>#REF!</f>
        <v>#REF!</v>
      </c>
      <c r="K165" s="682"/>
      <c r="L165" s="682"/>
      <c r="M165" s="682"/>
    </row>
    <row r="166" spans="1:13" ht="19.5" hidden="1" customHeight="1">
      <c r="A166" s="240" t="e">
        <f>#REF!</f>
        <v>#REF!</v>
      </c>
      <c r="B166" s="240"/>
      <c r="C166" s="240"/>
      <c r="D166" s="240"/>
      <c r="E166" s="240"/>
      <c r="F166" s="240"/>
      <c r="G166" s="240"/>
      <c r="H166" s="240"/>
      <c r="I166" s="241" t="e">
        <f>#REF!</f>
        <v>#REF!</v>
      </c>
      <c r="J166" s="682" t="e">
        <f>#REF!</f>
        <v>#REF!</v>
      </c>
      <c r="K166" s="682"/>
      <c r="L166" s="682"/>
      <c r="M166" s="682"/>
    </row>
    <row r="167" spans="1:13" ht="19.5" hidden="1" customHeight="1">
      <c r="A167" s="250"/>
      <c r="B167" s="250"/>
      <c r="C167" s="250"/>
      <c r="D167" s="250"/>
      <c r="E167" s="250"/>
      <c r="F167" s="250"/>
      <c r="G167" s="250"/>
      <c r="H167" s="250"/>
      <c r="I167" s="239" t="e">
        <f>#REF!</f>
        <v>#REF!</v>
      </c>
      <c r="J167" s="682" t="e">
        <f>#REF!</f>
        <v>#REF!</v>
      </c>
      <c r="K167" s="682"/>
      <c r="L167" s="682"/>
      <c r="M167" s="682"/>
    </row>
    <row r="168" spans="1:13" ht="33" hidden="1" customHeight="1">
      <c r="A168" s="243" t="e">
        <f>#REF!</f>
        <v>#REF!</v>
      </c>
      <c r="B168" s="243"/>
      <c r="C168" s="243"/>
      <c r="D168" s="243"/>
      <c r="E168" s="243"/>
      <c r="F168" s="243"/>
      <c r="G168" s="243"/>
      <c r="H168" s="243"/>
      <c r="I168" s="239" t="e">
        <f>#REF!</f>
        <v>#REF!</v>
      </c>
      <c r="J168" s="682"/>
      <c r="K168" s="682"/>
      <c r="L168" s="682"/>
      <c r="M168" s="682"/>
    </row>
    <row r="169" spans="1:13" ht="33" hidden="1" customHeight="1">
      <c r="A169" s="240" t="e">
        <f>#REF!</f>
        <v>#REF!</v>
      </c>
      <c r="B169" s="240"/>
      <c r="C169" s="240"/>
      <c r="D169" s="240"/>
      <c r="E169" s="240"/>
      <c r="F169" s="240"/>
      <c r="G169" s="240"/>
      <c r="H169" s="240"/>
      <c r="I169" s="241" t="e">
        <f>#REF!</f>
        <v>#REF!</v>
      </c>
      <c r="J169" s="682" t="e">
        <f>#REF!</f>
        <v>#REF!</v>
      </c>
      <c r="K169" s="682"/>
      <c r="L169" s="682"/>
      <c r="M169" s="682"/>
    </row>
    <row r="170" spans="1:13" ht="19.5" hidden="1" customHeight="1">
      <c r="A170" s="240" t="e">
        <f>#REF!</f>
        <v>#REF!</v>
      </c>
      <c r="B170" s="240"/>
      <c r="C170" s="240"/>
      <c r="D170" s="240"/>
      <c r="E170" s="240"/>
      <c r="F170" s="240"/>
      <c r="G170" s="240"/>
      <c r="H170" s="240"/>
      <c r="I170" s="241" t="e">
        <f>#REF!</f>
        <v>#REF!</v>
      </c>
      <c r="J170" s="682" t="e">
        <f>#REF!</f>
        <v>#REF!</v>
      </c>
      <c r="K170" s="682"/>
      <c r="L170" s="682"/>
      <c r="M170" s="682"/>
    </row>
    <row r="171" spans="1:13" ht="19.5" hidden="1" customHeight="1">
      <c r="A171" s="240" t="e">
        <f>#REF!</f>
        <v>#REF!</v>
      </c>
      <c r="B171" s="240"/>
      <c r="C171" s="240"/>
      <c r="D171" s="240"/>
      <c r="E171" s="240"/>
      <c r="F171" s="240"/>
      <c r="G171" s="240"/>
      <c r="H171" s="240"/>
      <c r="I171" s="241" t="e">
        <f>#REF!</f>
        <v>#REF!</v>
      </c>
      <c r="J171" s="682" t="e">
        <f>#REF!</f>
        <v>#REF!</v>
      </c>
      <c r="K171" s="682"/>
      <c r="L171" s="682"/>
      <c r="M171" s="682"/>
    </row>
    <row r="172" spans="1:13" ht="19.5" hidden="1" customHeight="1">
      <c r="A172" s="250" t="e">
        <f>#REF!</f>
        <v>#REF!</v>
      </c>
      <c r="B172" s="250"/>
      <c r="C172" s="250"/>
      <c r="D172" s="250"/>
      <c r="E172" s="250"/>
      <c r="F172" s="250"/>
      <c r="G172" s="250"/>
      <c r="H172" s="250"/>
      <c r="I172" s="239" t="e">
        <f>#REF!</f>
        <v>#REF!</v>
      </c>
      <c r="J172" s="682" t="e">
        <f>#REF!</f>
        <v>#REF!</v>
      </c>
      <c r="K172" s="682"/>
      <c r="L172" s="682"/>
      <c r="M172" s="682"/>
    </row>
    <row r="173" spans="1:13" ht="33" hidden="1" customHeight="1">
      <c r="A173" s="243" t="e">
        <f>#REF!</f>
        <v>#REF!</v>
      </c>
      <c r="B173" s="243"/>
      <c r="C173" s="243"/>
      <c r="D173" s="243"/>
      <c r="E173" s="243"/>
      <c r="F173" s="243"/>
      <c r="G173" s="243"/>
      <c r="H173" s="243"/>
      <c r="I173" s="239" t="e">
        <f>#REF!</f>
        <v>#REF!</v>
      </c>
      <c r="J173" s="682"/>
      <c r="K173" s="682"/>
      <c r="L173" s="682"/>
      <c r="M173" s="682"/>
    </row>
    <row r="174" spans="1:13" ht="19.5" hidden="1" customHeight="1">
      <c r="A174" s="240" t="e">
        <f>#REF!</f>
        <v>#REF!</v>
      </c>
      <c r="B174" s="240"/>
      <c r="C174" s="240"/>
      <c r="D174" s="240"/>
      <c r="E174" s="240"/>
      <c r="F174" s="240"/>
      <c r="G174" s="240"/>
      <c r="H174" s="240"/>
      <c r="I174" s="241" t="e">
        <f>#REF!</f>
        <v>#REF!</v>
      </c>
      <c r="J174" s="682" t="e">
        <f>#REF!</f>
        <v>#REF!</v>
      </c>
      <c r="K174" s="682"/>
      <c r="L174" s="682"/>
      <c r="M174" s="682"/>
    </row>
    <row r="175" spans="1:13" ht="19.5" hidden="1" customHeight="1">
      <c r="A175" s="240" t="e">
        <f>#REF!</f>
        <v>#REF!</v>
      </c>
      <c r="B175" s="240"/>
      <c r="C175" s="240"/>
      <c r="D175" s="240"/>
      <c r="E175" s="240"/>
      <c r="F175" s="240"/>
      <c r="G175" s="240"/>
      <c r="H175" s="240"/>
      <c r="I175" s="241" t="e">
        <f>#REF!</f>
        <v>#REF!</v>
      </c>
      <c r="J175" s="682" t="e">
        <f>#REF!</f>
        <v>#REF!</v>
      </c>
      <c r="K175" s="682"/>
      <c r="L175" s="682"/>
      <c r="M175" s="682"/>
    </row>
    <row r="176" spans="1:13" ht="32.25" hidden="1" customHeight="1">
      <c r="A176" s="240" t="e">
        <f>#REF!</f>
        <v>#REF!</v>
      </c>
      <c r="B176" s="240"/>
      <c r="C176" s="240"/>
      <c r="D176" s="240"/>
      <c r="E176" s="240"/>
      <c r="F176" s="240"/>
      <c r="G176" s="240"/>
      <c r="H176" s="240"/>
      <c r="I176" s="241" t="e">
        <f>#REF!</f>
        <v>#REF!</v>
      </c>
      <c r="J176" s="682" t="e">
        <f>#REF!</f>
        <v>#REF!</v>
      </c>
      <c r="K176" s="682"/>
      <c r="L176" s="682"/>
      <c r="M176" s="682"/>
    </row>
    <row r="177" spans="1:100" ht="19.5" hidden="1" customHeight="1">
      <c r="A177" s="240" t="e">
        <f>#REF!</f>
        <v>#REF!</v>
      </c>
      <c r="B177" s="240"/>
      <c r="C177" s="240"/>
      <c r="D177" s="240"/>
      <c r="E177" s="240"/>
      <c r="F177" s="240"/>
      <c r="G177" s="240"/>
      <c r="H177" s="240"/>
      <c r="I177" s="241" t="e">
        <f>#REF!</f>
        <v>#REF!</v>
      </c>
      <c r="J177" s="682" t="e">
        <f>#REF!</f>
        <v>#REF!</v>
      </c>
      <c r="K177" s="682"/>
      <c r="L177" s="682"/>
      <c r="M177" s="682"/>
    </row>
    <row r="178" spans="1:100" ht="19.5" hidden="1" customHeight="1">
      <c r="A178" s="242"/>
      <c r="B178" s="242"/>
      <c r="C178" s="242"/>
      <c r="D178" s="242"/>
      <c r="E178" s="242"/>
      <c r="F178" s="242"/>
      <c r="G178" s="242"/>
      <c r="H178" s="242"/>
      <c r="I178" s="239" t="e">
        <f>#REF!</f>
        <v>#REF!</v>
      </c>
      <c r="J178" s="682" t="e">
        <f>#REF!</f>
        <v>#REF!</v>
      </c>
      <c r="K178" s="682"/>
      <c r="L178" s="682"/>
      <c r="M178" s="682"/>
    </row>
    <row r="179" spans="1:100" ht="16.5" hidden="1" customHeight="1">
      <c r="A179" s="245"/>
      <c r="B179" s="245"/>
      <c r="C179" s="245"/>
      <c r="D179" s="245"/>
      <c r="E179" s="245"/>
      <c r="F179" s="245"/>
      <c r="G179" s="245"/>
      <c r="H179" s="245"/>
      <c r="I179" s="239" t="e">
        <f>#REF!</f>
        <v>#REF!</v>
      </c>
      <c r="J179" s="682" t="e">
        <f>#REF!</f>
        <v>#REF!</v>
      </c>
      <c r="K179" s="682"/>
      <c r="L179" s="682"/>
      <c r="M179" s="682"/>
    </row>
    <row r="180" spans="1:100" ht="19.5" hidden="1" customHeight="1">
      <c r="A180" s="247"/>
      <c r="B180" s="247"/>
      <c r="C180" s="247"/>
      <c r="D180" s="247"/>
      <c r="E180" s="247"/>
      <c r="F180" s="247"/>
      <c r="G180" s="247"/>
      <c r="H180" s="247"/>
      <c r="I180" s="239" t="e">
        <f>#REF!</f>
        <v>#REF!</v>
      </c>
      <c r="J180" s="682" t="e">
        <f>#REF!</f>
        <v>#REF!</v>
      </c>
      <c r="K180" s="682"/>
      <c r="L180" s="682"/>
      <c r="M180" s="682"/>
    </row>
    <row r="181" spans="1:100" s="221" customFormat="1">
      <c r="A181" s="251"/>
      <c r="B181" s="251"/>
      <c r="C181" s="251"/>
      <c r="D181" s="251"/>
      <c r="E181" s="251"/>
      <c r="F181" s="251"/>
      <c r="G181" s="251"/>
      <c r="H181" s="251"/>
      <c r="I181" s="252"/>
      <c r="J181" s="685"/>
      <c r="K181" s="685"/>
      <c r="L181" s="685"/>
      <c r="M181" s="685"/>
      <c r="N181" s="257"/>
      <c r="O181" s="257"/>
      <c r="P181" s="257"/>
      <c r="Q181" s="257"/>
      <c r="R181" s="257"/>
      <c r="S181" s="257"/>
      <c r="T181" s="257"/>
      <c r="U181" s="257"/>
      <c r="V181" s="257"/>
      <c r="W181" s="257"/>
      <c r="X181" s="257"/>
      <c r="Y181" s="257"/>
      <c r="Z181" s="257"/>
      <c r="AA181" s="257"/>
      <c r="AB181" s="257"/>
      <c r="AC181" s="257"/>
      <c r="AD181" s="257"/>
      <c r="AE181" s="257"/>
      <c r="AF181" s="257"/>
      <c r="AG181" s="257"/>
      <c r="AH181" s="257"/>
      <c r="AI181" s="257"/>
      <c r="AJ181" s="257"/>
      <c r="AK181" s="257"/>
      <c r="AL181" s="257"/>
      <c r="AM181" s="257"/>
      <c r="AN181" s="257"/>
      <c r="AO181" s="257"/>
      <c r="AP181" s="257"/>
      <c r="AQ181" s="257"/>
      <c r="AR181" s="257"/>
      <c r="AS181" s="257"/>
      <c r="AT181" s="257"/>
      <c r="AU181" s="257"/>
      <c r="AV181" s="257"/>
      <c r="AW181" s="257"/>
      <c r="AX181" s="257"/>
      <c r="AY181" s="257"/>
      <c r="AZ181" s="257"/>
      <c r="BA181" s="257"/>
      <c r="BB181" s="257"/>
      <c r="BC181" s="257"/>
      <c r="BD181" s="257"/>
      <c r="BE181" s="257"/>
      <c r="BF181" s="257"/>
      <c r="BG181" s="257"/>
      <c r="BH181" s="257"/>
      <c r="BI181" s="257"/>
      <c r="BJ181" s="257"/>
      <c r="BK181" s="257"/>
      <c r="BL181" s="257"/>
      <c r="BM181" s="257"/>
      <c r="BN181" s="257"/>
      <c r="BO181" s="257"/>
      <c r="BP181" s="257"/>
      <c r="BQ181" s="257"/>
      <c r="BR181" s="257"/>
      <c r="BS181" s="257"/>
      <c r="BT181" s="257"/>
      <c r="BU181" s="257"/>
      <c r="BV181" s="257"/>
      <c r="BW181" s="257"/>
      <c r="BX181" s="257"/>
      <c r="BY181" s="257"/>
      <c r="BZ181" s="257"/>
      <c r="CA181" s="257"/>
      <c r="CB181" s="257"/>
      <c r="CC181" s="257"/>
      <c r="CD181" s="257"/>
      <c r="CE181" s="257"/>
      <c r="CF181" s="257"/>
      <c r="CG181" s="257"/>
      <c r="CH181" s="257"/>
      <c r="CI181" s="257"/>
      <c r="CJ181" s="257"/>
      <c r="CK181" s="257"/>
      <c r="CL181" s="257"/>
      <c r="CM181" s="257"/>
      <c r="CN181" s="257"/>
      <c r="CO181" s="257"/>
      <c r="CP181" s="257"/>
      <c r="CQ181" s="257"/>
      <c r="CR181" s="257"/>
      <c r="CS181" s="257"/>
      <c r="CT181" s="257"/>
      <c r="CU181" s="257"/>
      <c r="CV181" s="257"/>
    </row>
    <row r="182" spans="1:100" s="221" customFormat="1">
      <c r="A182" s="226"/>
      <c r="B182" s="226"/>
      <c r="C182" s="226"/>
      <c r="D182" s="226"/>
      <c r="E182" s="226"/>
      <c r="F182" s="226"/>
      <c r="G182" s="226"/>
      <c r="H182" s="226"/>
      <c r="I182" s="347"/>
      <c r="J182" s="227"/>
      <c r="K182" s="227"/>
      <c r="L182" s="227"/>
      <c r="M182" s="227"/>
      <c r="N182" s="257"/>
      <c r="O182" s="257"/>
      <c r="P182" s="257"/>
      <c r="Q182" s="257"/>
      <c r="R182" s="257"/>
      <c r="S182" s="257"/>
      <c r="T182" s="257"/>
      <c r="U182" s="257"/>
      <c r="V182" s="257"/>
      <c r="W182" s="257"/>
      <c r="X182" s="257"/>
      <c r="Y182" s="257"/>
      <c r="Z182" s="257"/>
      <c r="AA182" s="257"/>
      <c r="AB182" s="257"/>
      <c r="AC182" s="257"/>
      <c r="AD182" s="257"/>
      <c r="AE182" s="257"/>
      <c r="AF182" s="257"/>
      <c r="AG182" s="257"/>
      <c r="AH182" s="257"/>
      <c r="AI182" s="257"/>
      <c r="AJ182" s="257"/>
      <c r="AK182" s="257"/>
      <c r="AL182" s="257"/>
      <c r="AM182" s="257"/>
      <c r="AN182" s="257"/>
      <c r="AO182" s="257"/>
      <c r="AP182" s="257"/>
      <c r="AQ182" s="257"/>
      <c r="AR182" s="257"/>
      <c r="AS182" s="257"/>
      <c r="AT182" s="257"/>
      <c r="AU182" s="257"/>
      <c r="AV182" s="257"/>
      <c r="AW182" s="257"/>
      <c r="AX182" s="257"/>
      <c r="AY182" s="257"/>
      <c r="AZ182" s="257"/>
      <c r="BA182" s="257"/>
      <c r="BB182" s="257"/>
      <c r="BC182" s="257"/>
      <c r="BD182" s="257"/>
      <c r="BE182" s="257"/>
      <c r="BF182" s="257"/>
      <c r="BG182" s="257"/>
      <c r="BH182" s="257"/>
      <c r="BI182" s="257"/>
      <c r="BJ182" s="257"/>
      <c r="BK182" s="257"/>
      <c r="BL182" s="257"/>
      <c r="BM182" s="257"/>
      <c r="BN182" s="257"/>
      <c r="BO182" s="257"/>
      <c r="BP182" s="257"/>
      <c r="BQ182" s="257"/>
      <c r="BR182" s="257"/>
      <c r="BS182" s="257"/>
      <c r="BT182" s="257"/>
      <c r="BU182" s="257"/>
      <c r="BV182" s="257"/>
      <c r="BW182" s="257"/>
      <c r="BX182" s="257"/>
      <c r="BY182" s="257"/>
      <c r="BZ182" s="257"/>
      <c r="CA182" s="257"/>
      <c r="CB182" s="257"/>
      <c r="CC182" s="257"/>
      <c r="CD182" s="257"/>
      <c r="CE182" s="257"/>
      <c r="CF182" s="257"/>
      <c r="CG182" s="257"/>
      <c r="CH182" s="257"/>
      <c r="CI182" s="257"/>
      <c r="CJ182" s="257"/>
      <c r="CK182" s="257"/>
      <c r="CL182" s="257"/>
      <c r="CM182" s="257"/>
      <c r="CN182" s="257"/>
      <c r="CO182" s="257"/>
      <c r="CP182" s="257"/>
      <c r="CQ182" s="257"/>
      <c r="CR182" s="257"/>
      <c r="CS182" s="257"/>
      <c r="CT182" s="257"/>
      <c r="CU182" s="257"/>
      <c r="CV182" s="257"/>
    </row>
    <row r="183" spans="1:100" s="221" customFormat="1">
      <c r="A183" s="226"/>
      <c r="B183" s="226"/>
      <c r="C183" s="226"/>
      <c r="D183" s="226"/>
      <c r="E183" s="226"/>
      <c r="F183" s="226"/>
      <c r="G183" s="226"/>
      <c r="H183" s="226"/>
      <c r="I183" s="347"/>
      <c r="J183" s="227"/>
      <c r="K183" s="227"/>
      <c r="L183" s="227"/>
      <c r="M183" s="227"/>
      <c r="N183" s="257"/>
      <c r="O183" s="257"/>
      <c r="P183" s="257"/>
      <c r="Q183" s="257"/>
      <c r="R183" s="257"/>
      <c r="S183" s="257"/>
      <c r="T183" s="257"/>
      <c r="U183" s="257"/>
      <c r="V183" s="257"/>
      <c r="W183" s="257"/>
      <c r="X183" s="257"/>
      <c r="Y183" s="257"/>
      <c r="Z183" s="257"/>
      <c r="AA183" s="257"/>
      <c r="AB183" s="257"/>
      <c r="AC183" s="257"/>
      <c r="AD183" s="257"/>
      <c r="AE183" s="257"/>
      <c r="AF183" s="257"/>
      <c r="AG183" s="257"/>
      <c r="AH183" s="257"/>
      <c r="AI183" s="257"/>
      <c r="AJ183" s="257"/>
      <c r="AK183" s="257"/>
      <c r="AL183" s="257"/>
      <c r="AM183" s="257"/>
      <c r="AN183" s="257"/>
      <c r="AO183" s="257"/>
      <c r="AP183" s="257"/>
      <c r="AQ183" s="257"/>
      <c r="AR183" s="257"/>
      <c r="AS183" s="257"/>
      <c r="AT183" s="257"/>
      <c r="AU183" s="257"/>
      <c r="AV183" s="257"/>
      <c r="AW183" s="257"/>
      <c r="AX183" s="257"/>
      <c r="AY183" s="257"/>
      <c r="AZ183" s="257"/>
      <c r="BA183" s="257"/>
      <c r="BB183" s="257"/>
      <c r="BC183" s="257"/>
      <c r="BD183" s="257"/>
      <c r="BE183" s="257"/>
      <c r="BF183" s="257"/>
      <c r="BG183" s="257"/>
      <c r="BH183" s="257"/>
      <c r="BI183" s="257"/>
      <c r="BJ183" s="257"/>
      <c r="BK183" s="257"/>
      <c r="BL183" s="257"/>
      <c r="BM183" s="257"/>
      <c r="BN183" s="257"/>
      <c r="BO183" s="257"/>
      <c r="BP183" s="257"/>
      <c r="BQ183" s="257"/>
      <c r="BR183" s="257"/>
      <c r="BS183" s="257"/>
      <c r="BT183" s="257"/>
      <c r="BU183" s="257"/>
      <c r="BV183" s="257"/>
      <c r="BW183" s="257"/>
      <c r="BX183" s="257"/>
      <c r="BY183" s="257"/>
      <c r="BZ183" s="257"/>
      <c r="CA183" s="257"/>
      <c r="CB183" s="257"/>
      <c r="CC183" s="257"/>
      <c r="CD183" s="257"/>
      <c r="CE183" s="257"/>
      <c r="CF183" s="257"/>
      <c r="CG183" s="257"/>
      <c r="CH183" s="257"/>
      <c r="CI183" s="257"/>
      <c r="CJ183" s="257"/>
      <c r="CK183" s="257"/>
      <c r="CL183" s="257"/>
      <c r="CM183" s="257"/>
      <c r="CN183" s="257"/>
      <c r="CO183" s="257"/>
      <c r="CP183" s="257"/>
      <c r="CQ183" s="257"/>
      <c r="CR183" s="257"/>
      <c r="CS183" s="257"/>
      <c r="CT183" s="257"/>
      <c r="CU183" s="257"/>
      <c r="CV183" s="257"/>
    </row>
  </sheetData>
  <sheetProtection algorithmName="SHA-512" hashValue="zxTePLIf9lg1k0y6rwYAhWoHNYuRIaFA6va4Mp35VJV4limAiKTxGEMOvld0m/J/53IYMnih4rcXpYeJkuEMGg==" saltValue="G/ujyheIlmoG+oRVNI8YYw==" spinCount="100000" sheet="1" objects="1" scenarios="1" formatColumns="0" formatRows="0" selectLockedCells="1"/>
  <customSheetViews>
    <customSheetView guid="{8BA4A88A-5522-45F5-A82B-CD7725CE50B1}" showPageBreaks="1" fitToPage="1" printArea="1" hiddenRows="1" hiddenColumns="1" view="pageBreakPreview" topLeftCell="A7">
      <selection activeCell="A16" sqref="A16"/>
      <pageMargins left="0.7" right="0.7" top="0.75" bottom="0.75" header="0.3" footer="0.3"/>
      <pageSetup paperSize="9" scale="75" fitToHeight="0" orientation="landscape" r:id="rId1"/>
    </customSheetView>
    <customSheetView guid="{889C3D82-0A24-4765-A688-A80A782F5056}" showPageBreaks="1" fitToPage="1" printArea="1" hiddenRows="1" hiddenColumns="1" view="pageBreakPreview" topLeftCell="A7">
      <selection activeCell="A16" sqref="A16"/>
      <pageMargins left="0.7" right="0.7" top="0.75" bottom="0.75" header="0.3" footer="0.3"/>
      <pageSetup paperSize="9" scale="75" fitToHeight="0" orientation="landscape" r:id="rId2"/>
    </customSheetView>
    <customSheetView guid="{89CB4E6A-722E-4E39-885D-E2A6D0D08321}" showPageBreaks="1" fitToPage="1" printArea="1" hiddenRows="1" hiddenColumns="1" view="pageBreakPreview" topLeftCell="A7">
      <selection activeCell="A16" sqref="A16"/>
      <pageMargins left="0.7" right="0.7" top="0.75" bottom="0.75" header="0.3" footer="0.3"/>
      <pageSetup paperSize="9" scale="75" fitToHeight="0" orientation="landscape" r:id="rId3"/>
    </customSheetView>
    <customSheetView guid="{915C64AD-BD67-44F0-9117-5B9D998BA799}" showPageBreaks="1" printArea="1" hiddenRows="1" hiddenColumns="1" view="pageBreakPreview" topLeftCell="A10">
      <selection activeCell="A16" sqref="A16"/>
      <pageMargins left="0.7" right="0.7" top="0.75" bottom="0.75" header="0.3" footer="0.3"/>
      <pageSetup paperSize="9" scale="57" orientation="landscape" r:id="rId4"/>
    </customSheetView>
    <customSheetView guid="{18EA11B4-BD82-47BF-99FA-7AB19BF74D0B}" showPageBreaks="1" printArea="1" hiddenRows="1" hiddenColumns="1" view="pageBreakPreview">
      <selection activeCell="A16" sqref="A16"/>
      <pageMargins left="0.7" right="0.7" top="0.75" bottom="0.75" header="0.3" footer="0.3"/>
      <pageSetup paperSize="9" scale="57" orientation="landscape" r:id="rId5"/>
    </customSheetView>
    <customSheetView guid="{CCA37BAE-906F-43D5-9FD9-B13563E4B9D7}" showPageBreaks="1" printArea="1" hiddenRows="1" hiddenColumns="1" view="pageBreakPreview">
      <selection activeCell="A16" sqref="A16"/>
      <pageMargins left="0.7" right="0.7" top="0.75" bottom="0.75" header="0.3" footer="0.3"/>
      <pageSetup paperSize="9" scale="57" orientation="landscape" r:id="rId6"/>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7"/>
    </customSheetView>
    <customSheetView guid="{63D51328-7CBC-4A1E-B96D-BAE91416501B}" scale="80" showPageBreaks="1" printArea="1" hiddenRows="1" hiddenColumns="1" view="pageBreakPreview">
      <selection activeCell="K30" sqref="K30"/>
      <pageMargins left="0.7" right="0.7" top="0.75" bottom="0.75" header="0.3" footer="0.3"/>
      <pageSetup paperSize="9" scale="57" orientation="landscape" r:id="rId8"/>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9"/>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10"/>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11"/>
    </customSheetView>
    <customSheetView guid="{A58DB4DF-40C7-4BEB-B85E-6BD6F54941CF}" showPageBreaks="1" printArea="1" hiddenRows="1" hiddenColumns="1" view="pageBreakPreview" topLeftCell="A10">
      <selection activeCell="A16" sqref="A16"/>
      <pageMargins left="0.7" right="0.7" top="0.75" bottom="0.75" header="0.3" footer="0.3"/>
      <pageSetup paperSize="9" scale="57" orientation="landscape" r:id="rId12"/>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1" zoomScaleNormal="70" zoomScaleSheetLayoutView="100" workbookViewId="0">
      <selection activeCell="G18" sqref="G18"/>
    </sheetView>
  </sheetViews>
  <sheetFormatPr defaultColWidth="9.109375" defaultRowHeight="14.4"/>
  <cols>
    <col min="1" max="2" width="5.6640625" style="141" customWidth="1"/>
    <col min="3" max="3" width="24.6640625" style="141" customWidth="1"/>
    <col min="4" max="4" width="15.33203125" style="141" customWidth="1"/>
    <col min="5" max="5" width="28.6640625" style="141" customWidth="1"/>
    <col min="6" max="6" width="14.6640625" style="141" customWidth="1"/>
    <col min="7" max="7" width="19.5546875" style="141" customWidth="1"/>
    <col min="8" max="8" width="23.6640625" style="128" hidden="1" customWidth="1"/>
    <col min="9" max="9" width="18" style="129" hidden="1" customWidth="1"/>
    <col min="10" max="10" width="16.88671875" style="130" hidden="1" customWidth="1"/>
    <col min="11" max="11" width="14.5546875" style="130" hidden="1" customWidth="1"/>
    <col min="12" max="12" width="18.5546875" style="130" hidden="1" customWidth="1"/>
    <col min="13" max="13" width="16.33203125" style="130" customWidth="1"/>
    <col min="14" max="14" width="39.6640625" style="130" customWidth="1"/>
    <col min="15" max="15" width="24.33203125" style="130" customWidth="1"/>
    <col min="16" max="17" width="16.33203125" style="130" customWidth="1"/>
    <col min="18" max="19" width="10.33203125" style="131" customWidth="1"/>
    <col min="20" max="20" width="9.109375" style="131" customWidth="1"/>
    <col min="21" max="21" width="9.109375" style="132" customWidth="1"/>
    <col min="22" max="23" width="9.109375" style="132"/>
    <col min="24" max="25" width="9.109375" style="133"/>
    <col min="26" max="16384" width="9.109375" style="134"/>
  </cols>
  <sheetData>
    <row r="1" spans="1:25" s="126" customFormat="1" ht="39.9" customHeight="1">
      <c r="A1" s="691" t="s">
        <v>164</v>
      </c>
      <c r="B1" s="691"/>
      <c r="C1" s="691"/>
      <c r="D1" s="691"/>
      <c r="E1" s="691"/>
      <c r="F1" s="691"/>
      <c r="G1" s="691"/>
      <c r="H1" s="121"/>
      <c r="I1" s="122"/>
      <c r="J1" s="123"/>
      <c r="K1" s="123"/>
      <c r="L1" s="123"/>
      <c r="M1" s="123"/>
      <c r="N1" s="123"/>
      <c r="O1" s="123"/>
      <c r="P1" s="123"/>
      <c r="Q1" s="123"/>
      <c r="R1" s="123"/>
      <c r="S1" s="123"/>
      <c r="T1" s="123"/>
      <c r="U1" s="124"/>
      <c r="V1" s="124"/>
      <c r="W1" s="124"/>
      <c r="X1" s="125"/>
      <c r="Y1" s="125"/>
    </row>
    <row r="2" spans="1:25" ht="18" customHeight="1">
      <c r="A2" s="92" t="str">
        <f>Cover!B3</f>
        <v>CC/NT/W-COND/DOM/A04/24/05656</v>
      </c>
      <c r="B2" s="92"/>
      <c r="C2" s="93"/>
      <c r="D2" s="127"/>
      <c r="E2" s="127"/>
      <c r="F2" s="127"/>
      <c r="G2" s="95" t="s">
        <v>165</v>
      </c>
    </row>
    <row r="3" spans="1:25" ht="12.75" customHeight="1">
      <c r="A3" s="96"/>
      <c r="B3" s="96"/>
      <c r="C3" s="97"/>
      <c r="D3" s="116"/>
      <c r="E3" s="116"/>
      <c r="F3" s="116"/>
      <c r="G3" s="98"/>
    </row>
    <row r="4" spans="1:25" ht="18.899999999999999" customHeight="1">
      <c r="A4" s="692" t="s">
        <v>166</v>
      </c>
      <c r="B4" s="692"/>
      <c r="C4" s="692"/>
      <c r="D4" s="692"/>
      <c r="E4" s="692"/>
      <c r="F4" s="692"/>
      <c r="G4" s="692"/>
    </row>
    <row r="5" spans="1:25" ht="21" customHeight="1">
      <c r="A5" s="135" t="s">
        <v>1</v>
      </c>
      <c r="B5" s="135"/>
      <c r="C5" s="136"/>
      <c r="D5" s="136"/>
      <c r="E5" s="136"/>
      <c r="F5" s="136"/>
      <c r="G5" s="136"/>
    </row>
    <row r="6" spans="1:25" ht="21" customHeight="1">
      <c r="A6" s="12" t="s">
        <v>2</v>
      </c>
      <c r="B6" s="12"/>
      <c r="C6" s="136"/>
      <c r="D6" s="136"/>
      <c r="E6" s="136"/>
      <c r="F6" s="136"/>
      <c r="G6" s="136"/>
      <c r="I6" s="470" t="s">
        <v>232</v>
      </c>
      <c r="J6" s="553">
        <f>'Sch-1'!N97</f>
        <v>0</v>
      </c>
      <c r="K6" s="469"/>
      <c r="L6" s="363"/>
    </row>
    <row r="7" spans="1:25" ht="21" customHeight="1">
      <c r="A7" s="12" t="s">
        <v>3</v>
      </c>
      <c r="B7" s="12"/>
      <c r="C7" s="136"/>
      <c r="D7" s="136"/>
      <c r="E7" s="136"/>
      <c r="F7" s="136"/>
      <c r="G7" s="136"/>
      <c r="I7" s="470" t="s">
        <v>234</v>
      </c>
      <c r="J7" s="553">
        <f>'Sch-2'!J97</f>
        <v>0</v>
      </c>
      <c r="K7" s="469"/>
    </row>
    <row r="8" spans="1:25" ht="21" customHeight="1">
      <c r="A8" s="12" t="s">
        <v>4</v>
      </c>
      <c r="B8" s="12"/>
      <c r="C8" s="136"/>
      <c r="D8" s="136"/>
      <c r="E8" s="136"/>
      <c r="F8" s="136"/>
      <c r="G8" s="136"/>
      <c r="I8" s="470" t="s">
        <v>235</v>
      </c>
      <c r="J8" s="553">
        <f>'Sch-3'!P49</f>
        <v>0</v>
      </c>
      <c r="K8" s="469"/>
    </row>
    <row r="9" spans="1:25" ht="21" customHeight="1">
      <c r="A9" s="12" t="s">
        <v>167</v>
      </c>
      <c r="B9" s="12"/>
      <c r="C9" s="136"/>
      <c r="D9" s="136"/>
      <c r="E9" s="136"/>
      <c r="F9" s="136"/>
      <c r="G9" s="136"/>
      <c r="I9" s="471" t="s">
        <v>195</v>
      </c>
      <c r="J9" s="554">
        <f>J6+J7+J8</f>
        <v>0</v>
      </c>
      <c r="K9" s="469"/>
    </row>
    <row r="10" spans="1:25" ht="21" customHeight="1">
      <c r="A10" s="12" t="s">
        <v>6</v>
      </c>
      <c r="B10" s="12"/>
      <c r="C10" s="136"/>
      <c r="D10" s="136"/>
      <c r="E10" s="136"/>
      <c r="F10" s="136"/>
      <c r="G10" s="136"/>
      <c r="J10" s="362"/>
    </row>
    <row r="11" spans="1:25" ht="14.25" customHeight="1">
      <c r="A11" s="136"/>
      <c r="B11" s="136"/>
      <c r="C11" s="136"/>
      <c r="D11" s="136"/>
      <c r="E11" s="136"/>
      <c r="F11" s="136"/>
      <c r="G11" s="136"/>
    </row>
    <row r="12" spans="1:25" ht="77.25" customHeight="1">
      <c r="A12" s="137" t="s">
        <v>168</v>
      </c>
      <c r="B12" s="421"/>
      <c r="C12" s="693" t="str">
        <f>Cover!$B$2</f>
        <v>Reconductoring Package - OH01 for (i) Reconductoring of 220kV Hisar (PG)-Hisar (IA) D/c line associated with ‘Reconductoring of 220kV Hisar (PG) – Hisar (IA) S/c line’; and (ii) Reconductoring of 400 kV S/c (TWIN ACSR MOOSE) Raichur – Veltoor (Mahabubnagar) line with TWIN HTLS conductor associated with ‘Reconductoring of Raichur – Veltoor (Mahabubnagar) 400kV S/c line with HTLS conductor’.</v>
      </c>
      <c r="D12" s="693"/>
      <c r="E12" s="693"/>
      <c r="F12" s="693"/>
      <c r="G12" s="693"/>
      <c r="J12" s="363"/>
    </row>
    <row r="13" spans="1:25" ht="21" customHeight="1" thickBot="1">
      <c r="A13" s="138" t="s">
        <v>169</v>
      </c>
      <c r="B13" s="138"/>
      <c r="C13" s="139"/>
      <c r="D13" s="138"/>
      <c r="E13" s="138"/>
      <c r="F13" s="138"/>
      <c r="G13" s="138"/>
      <c r="H13" s="360"/>
      <c r="K13" s="147"/>
      <c r="L13" s="147"/>
      <c r="M13" s="147"/>
    </row>
    <row r="14" spans="1:25" ht="41.25" customHeight="1" thickBot="1">
      <c r="A14" s="694" t="s">
        <v>170</v>
      </c>
      <c r="B14" s="694"/>
      <c r="C14" s="694"/>
      <c r="D14" s="694"/>
      <c r="E14" s="694"/>
      <c r="F14" s="694"/>
      <c r="G14" s="694"/>
      <c r="H14" s="472" t="s">
        <v>328</v>
      </c>
      <c r="I14" s="472" t="s">
        <v>329</v>
      </c>
      <c r="J14" s="473" t="s">
        <v>330</v>
      </c>
      <c r="K14" s="147"/>
      <c r="L14" s="147"/>
      <c r="M14" s="147"/>
      <c r="N14" s="140"/>
    </row>
    <row r="15" spans="1:25" ht="56.25" customHeight="1">
      <c r="B15" s="142">
        <v>1</v>
      </c>
      <c r="C15" s="698" t="s">
        <v>321</v>
      </c>
      <c r="D15" s="696"/>
      <c r="E15" s="696"/>
      <c r="F15" s="697"/>
      <c r="G15" s="143"/>
      <c r="H15" s="529">
        <f>IF(J6=0,0,(G15/J9)*J6)</f>
        <v>0</v>
      </c>
      <c r="I15" s="530">
        <f>IF(J7=0,0,(G15/J9)*J7)</f>
        <v>0</v>
      </c>
      <c r="J15" s="529">
        <f>IF(J8,(G15/J9)*J8,0)</f>
        <v>0</v>
      </c>
      <c r="K15" s="147"/>
      <c r="L15" s="147"/>
      <c r="M15" s="147"/>
    </row>
    <row r="16" spans="1:25" ht="55.5" customHeight="1">
      <c r="B16" s="142">
        <v>2</v>
      </c>
      <c r="C16" s="695" t="s">
        <v>473</v>
      </c>
      <c r="D16" s="696"/>
      <c r="E16" s="696"/>
      <c r="F16" s="697"/>
      <c r="G16" s="144"/>
      <c r="H16" s="531">
        <f>G16*J6</f>
        <v>0</v>
      </c>
      <c r="I16" s="532">
        <f>G16*J7</f>
        <v>0</v>
      </c>
      <c r="J16" s="531">
        <f>G16*J8</f>
        <v>0</v>
      </c>
      <c r="K16" s="147"/>
      <c r="L16" s="147"/>
      <c r="M16" s="147"/>
    </row>
    <row r="17" spans="1:25" s="145" customFormat="1" ht="39.75" customHeight="1" thickBot="1">
      <c r="B17" s="146">
        <v>3</v>
      </c>
      <c r="C17" s="686" t="s">
        <v>171</v>
      </c>
      <c r="D17" s="687"/>
      <c r="E17" s="687"/>
      <c r="F17" s="688"/>
      <c r="G17" s="357"/>
      <c r="H17" s="531"/>
      <c r="I17" s="531"/>
      <c r="J17" s="531"/>
      <c r="K17" s="147"/>
      <c r="L17" s="147"/>
      <c r="M17" s="147"/>
      <c r="N17" s="147"/>
      <c r="O17" s="147"/>
      <c r="P17" s="147"/>
      <c r="Q17" s="147"/>
      <c r="R17" s="148"/>
      <c r="S17" s="148"/>
      <c r="T17" s="148"/>
      <c r="U17" s="149"/>
      <c r="V17" s="149"/>
      <c r="W17" s="149"/>
      <c r="X17" s="150"/>
      <c r="Y17" s="150"/>
    </row>
    <row r="18" spans="1:25" s="145" customFormat="1" ht="21" customHeight="1" thickBot="1">
      <c r="B18" s="151"/>
      <c r="C18" s="689" t="s">
        <v>322</v>
      </c>
      <c r="D18" s="690"/>
      <c r="E18" s="690"/>
      <c r="F18" s="152" t="s">
        <v>172</v>
      </c>
      <c r="G18" s="358"/>
      <c r="H18" s="533">
        <f>G18</f>
        <v>0</v>
      </c>
      <c r="I18" s="534"/>
      <c r="J18" s="531"/>
      <c r="K18" s="147"/>
      <c r="L18" s="147"/>
      <c r="M18" s="147"/>
      <c r="N18" s="154"/>
      <c r="O18" s="153"/>
      <c r="P18" s="147"/>
      <c r="Q18" s="147"/>
      <c r="R18" s="148"/>
      <c r="S18" s="148"/>
      <c r="T18" s="148"/>
      <c r="U18" s="149"/>
      <c r="V18" s="149"/>
      <c r="W18" s="149"/>
      <c r="X18" s="150"/>
      <c r="Y18" s="150"/>
    </row>
    <row r="19" spans="1:25" s="145" customFormat="1" ht="33" customHeight="1" thickBot="1">
      <c r="B19" s="151"/>
      <c r="C19" s="705" t="s">
        <v>347</v>
      </c>
      <c r="D19" s="706"/>
      <c r="E19" s="706"/>
      <c r="F19" s="152" t="s">
        <v>172</v>
      </c>
      <c r="G19" s="358"/>
      <c r="H19" s="535"/>
      <c r="I19" s="533">
        <f>G19</f>
        <v>0</v>
      </c>
      <c r="J19" s="536"/>
      <c r="K19" s="147"/>
      <c r="L19" s="147"/>
      <c r="M19" s="147"/>
      <c r="N19" s="154"/>
      <c r="O19" s="153"/>
      <c r="P19" s="147"/>
      <c r="Q19" s="147"/>
      <c r="R19" s="148"/>
      <c r="S19" s="148"/>
      <c r="T19" s="148"/>
      <c r="U19" s="149"/>
      <c r="V19" s="149"/>
      <c r="W19" s="149"/>
      <c r="X19" s="150"/>
      <c r="Y19" s="150"/>
    </row>
    <row r="20" spans="1:25" s="145" customFormat="1" ht="21" customHeight="1" thickBot="1">
      <c r="B20" s="151"/>
      <c r="C20" s="689" t="s">
        <v>323</v>
      </c>
      <c r="D20" s="690"/>
      <c r="E20" s="690"/>
      <c r="F20" s="152" t="s">
        <v>172</v>
      </c>
      <c r="G20" s="358"/>
      <c r="H20" s="531"/>
      <c r="I20" s="530"/>
      <c r="J20" s="533">
        <f>G20</f>
        <v>0</v>
      </c>
      <c r="K20" s="147"/>
      <c r="L20" s="147"/>
      <c r="M20" s="147"/>
      <c r="N20" s="154"/>
      <c r="O20" s="153"/>
      <c r="P20" s="147"/>
      <c r="Q20" s="147"/>
      <c r="R20" s="148"/>
      <c r="S20" s="148"/>
      <c r="T20" s="148"/>
      <c r="U20" s="149"/>
      <c r="V20" s="149"/>
      <c r="W20" s="149"/>
      <c r="X20" s="150"/>
      <c r="Y20" s="150"/>
    </row>
    <row r="21" spans="1:25" s="145" customFormat="1" ht="21" hidden="1" customHeight="1">
      <c r="B21" s="151"/>
      <c r="C21" s="689" t="s">
        <v>324</v>
      </c>
      <c r="D21" s="690"/>
      <c r="E21" s="690"/>
      <c r="F21" s="152" t="s">
        <v>172</v>
      </c>
      <c r="G21" s="364"/>
      <c r="H21" s="531"/>
      <c r="I21" s="532"/>
      <c r="J21" s="529"/>
      <c r="K21" s="147"/>
      <c r="L21" s="147"/>
      <c r="M21" s="147"/>
      <c r="N21" s="154"/>
      <c r="O21" s="153"/>
      <c r="P21" s="147"/>
      <c r="Q21" s="147"/>
      <c r="R21" s="148"/>
      <c r="S21" s="148"/>
      <c r="T21" s="148"/>
      <c r="U21" s="149"/>
      <c r="V21" s="149"/>
      <c r="W21" s="149"/>
      <c r="X21" s="150"/>
      <c r="Y21" s="150"/>
    </row>
    <row r="22" spans="1:25" s="145" customFormat="1" ht="21" hidden="1" customHeight="1">
      <c r="B22" s="155"/>
      <c r="C22" s="689" t="s">
        <v>173</v>
      </c>
      <c r="D22" s="690"/>
      <c r="E22" s="690"/>
      <c r="F22" s="156" t="s">
        <v>172</v>
      </c>
      <c r="G22" s="364"/>
      <c r="H22" s="531"/>
      <c r="I22" s="532"/>
      <c r="J22" s="531"/>
      <c r="K22" s="147"/>
      <c r="L22" s="147"/>
      <c r="M22" s="147"/>
      <c r="N22" s="154"/>
      <c r="O22" s="153"/>
      <c r="P22" s="147"/>
      <c r="Q22" s="147"/>
      <c r="R22" s="148"/>
      <c r="S22" s="148"/>
      <c r="T22" s="148"/>
      <c r="U22" s="149"/>
      <c r="V22" s="149"/>
      <c r="W22" s="149"/>
      <c r="X22" s="150"/>
      <c r="Y22" s="150"/>
    </row>
    <row r="23" spans="1:25" s="145" customFormat="1" ht="54.9" customHeight="1" thickBot="1">
      <c r="B23" s="146">
        <v>4</v>
      </c>
      <c r="C23" s="701" t="s">
        <v>474</v>
      </c>
      <c r="D23" s="702"/>
      <c r="E23" s="702"/>
      <c r="F23" s="703"/>
      <c r="G23" s="357"/>
      <c r="H23" s="537"/>
      <c r="I23" s="532"/>
      <c r="J23" s="531"/>
      <c r="K23" s="147"/>
      <c r="L23" s="147"/>
      <c r="M23" s="147"/>
      <c r="N23" s="147"/>
      <c r="O23" s="147"/>
      <c r="P23" s="147"/>
      <c r="Q23" s="147"/>
      <c r="R23" s="148"/>
      <c r="S23" s="148"/>
      <c r="T23" s="148"/>
      <c r="U23" s="149"/>
      <c r="V23" s="149"/>
      <c r="W23" s="149"/>
      <c r="X23" s="150"/>
      <c r="Y23" s="150"/>
    </row>
    <row r="24" spans="1:25" s="145" customFormat="1" ht="21" customHeight="1" thickBot="1">
      <c r="A24" s="157"/>
      <c r="B24" s="151"/>
      <c r="C24" s="689" t="s">
        <v>322</v>
      </c>
      <c r="D24" s="690"/>
      <c r="E24" s="690"/>
      <c r="F24" s="152" t="s">
        <v>174</v>
      </c>
      <c r="G24" s="359"/>
      <c r="H24" s="538">
        <f>G24*J6</f>
        <v>0</v>
      </c>
      <c r="I24" s="534"/>
      <c r="J24" s="531"/>
      <c r="K24" s="147"/>
      <c r="L24" s="147"/>
      <c r="M24" s="147"/>
      <c r="N24" s="147"/>
      <c r="O24" s="147"/>
      <c r="P24" s="147"/>
      <c r="Q24" s="147"/>
      <c r="R24" s="148"/>
      <c r="S24" s="148"/>
      <c r="T24" s="148"/>
      <c r="U24" s="149"/>
      <c r="V24" s="149"/>
      <c r="W24" s="149"/>
      <c r="X24" s="150"/>
      <c r="Y24" s="150"/>
    </row>
    <row r="25" spans="1:25" s="145" customFormat="1" ht="33.75" customHeight="1" thickBot="1">
      <c r="A25" s="157"/>
      <c r="B25" s="151"/>
      <c r="C25" s="707" t="s">
        <v>347</v>
      </c>
      <c r="D25" s="708"/>
      <c r="E25" s="708"/>
      <c r="F25" s="152" t="s">
        <v>174</v>
      </c>
      <c r="G25" s="359"/>
      <c r="H25" s="539"/>
      <c r="I25" s="533">
        <f>G25*J7</f>
        <v>0</v>
      </c>
      <c r="J25" s="536"/>
      <c r="K25" s="147"/>
      <c r="L25" s="147"/>
      <c r="M25" s="147"/>
      <c r="N25" s="147"/>
      <c r="O25" s="147"/>
      <c r="P25" s="147"/>
      <c r="Q25" s="147"/>
      <c r="R25" s="148"/>
      <c r="S25" s="148"/>
      <c r="T25" s="148"/>
      <c r="U25" s="149"/>
      <c r="V25" s="149"/>
      <c r="W25" s="149"/>
      <c r="X25" s="150"/>
      <c r="Y25" s="150"/>
    </row>
    <row r="26" spans="1:25" s="145" customFormat="1" ht="21" customHeight="1" thickBot="1">
      <c r="A26" s="157"/>
      <c r="B26" s="151"/>
      <c r="C26" s="689" t="s">
        <v>323</v>
      </c>
      <c r="D26" s="690"/>
      <c r="E26" s="690"/>
      <c r="F26" s="152" t="s">
        <v>174</v>
      </c>
      <c r="G26" s="359"/>
      <c r="H26" s="537"/>
      <c r="I26" s="530"/>
      <c r="J26" s="533">
        <f>G26*J8</f>
        <v>0</v>
      </c>
      <c r="K26" s="147"/>
      <c r="L26" s="147"/>
      <c r="M26" s="147"/>
      <c r="N26" s="147"/>
      <c r="O26" s="147"/>
      <c r="P26" s="147"/>
      <c r="Q26" s="147"/>
      <c r="R26" s="148"/>
      <c r="S26" s="148"/>
      <c r="T26" s="148"/>
      <c r="U26" s="149"/>
      <c r="V26" s="149"/>
      <c r="W26" s="149"/>
      <c r="X26" s="150"/>
      <c r="Y26" s="150"/>
    </row>
    <row r="27" spans="1:25" s="145" customFormat="1" ht="21" hidden="1" customHeight="1">
      <c r="A27" s="157"/>
      <c r="B27" s="151"/>
      <c r="C27" s="689" t="s">
        <v>324</v>
      </c>
      <c r="D27" s="690"/>
      <c r="E27" s="690"/>
      <c r="F27" s="152" t="s">
        <v>174</v>
      </c>
      <c r="G27" s="365"/>
      <c r="H27" s="537"/>
      <c r="I27" s="532"/>
      <c r="J27" s="529"/>
      <c r="K27" s="147"/>
      <c r="L27" s="147"/>
      <c r="M27" s="147"/>
      <c r="N27" s="147"/>
      <c r="O27" s="147"/>
      <c r="P27" s="147"/>
      <c r="Q27" s="147"/>
      <c r="R27" s="148"/>
      <c r="S27" s="148"/>
      <c r="T27" s="148"/>
      <c r="U27" s="149"/>
      <c r="V27" s="149"/>
      <c r="W27" s="149"/>
      <c r="X27" s="150"/>
      <c r="Y27" s="150"/>
    </row>
    <row r="28" spans="1:25" s="145" customFormat="1" ht="21" hidden="1" customHeight="1">
      <c r="A28" s="157"/>
      <c r="B28" s="155"/>
      <c r="C28" s="712" t="s">
        <v>173</v>
      </c>
      <c r="D28" s="713"/>
      <c r="E28" s="713"/>
      <c r="F28" s="156" t="s">
        <v>174</v>
      </c>
      <c r="G28" s="365"/>
      <c r="H28" s="537"/>
      <c r="I28" s="532"/>
      <c r="J28" s="531"/>
      <c r="K28" s="147"/>
      <c r="L28" s="147"/>
      <c r="M28" s="147"/>
      <c r="N28" s="147"/>
      <c r="O28" s="147"/>
      <c r="P28" s="147"/>
      <c r="Q28" s="147"/>
      <c r="R28" s="148"/>
      <c r="S28" s="148"/>
      <c r="T28" s="148"/>
      <c r="U28" s="149"/>
      <c r="V28" s="149"/>
      <c r="W28" s="149"/>
      <c r="X28" s="150"/>
      <c r="Y28" s="150"/>
    </row>
    <row r="29" spans="1:25" s="145" customFormat="1" ht="15.6" hidden="1">
      <c r="A29" s="157"/>
      <c r="B29" s="158"/>
      <c r="C29" s="699" t="s">
        <v>175</v>
      </c>
      <c r="D29" s="700"/>
      <c r="E29" s="700"/>
      <c r="F29" s="700"/>
      <c r="G29" s="700"/>
      <c r="H29" s="540"/>
      <c r="I29" s="540"/>
      <c r="J29" s="540"/>
      <c r="K29" s="147"/>
      <c r="L29" s="147"/>
      <c r="M29" s="147"/>
      <c r="N29" s="147"/>
      <c r="O29" s="147"/>
      <c r="P29" s="147"/>
      <c r="Q29" s="147"/>
      <c r="R29" s="148"/>
      <c r="S29" s="148"/>
      <c r="T29" s="148"/>
      <c r="U29" s="149"/>
      <c r="V29" s="149"/>
      <c r="W29" s="149"/>
      <c r="X29" s="150"/>
      <c r="Y29" s="150"/>
    </row>
    <row r="30" spans="1:25" s="145" customFormat="1" ht="48.75" hidden="1" customHeight="1">
      <c r="A30" s="157"/>
      <c r="B30" s="159">
        <v>5</v>
      </c>
      <c r="C30" s="709" t="s">
        <v>176</v>
      </c>
      <c r="D30" s="709"/>
      <c r="E30" s="709"/>
      <c r="F30" s="709"/>
      <c r="G30" s="709"/>
      <c r="H30" s="541"/>
      <c r="I30" s="541"/>
      <c r="J30" s="541"/>
      <c r="K30" s="147"/>
      <c r="L30" s="147"/>
      <c r="M30" s="147"/>
      <c r="N30" s="147"/>
      <c r="O30" s="147"/>
      <c r="P30" s="147"/>
      <c r="Q30" s="147"/>
      <c r="R30" s="148"/>
      <c r="S30" s="148"/>
      <c r="T30" s="148"/>
      <c r="U30" s="149"/>
      <c r="V30" s="149"/>
      <c r="W30" s="149"/>
      <c r="X30" s="150"/>
      <c r="Y30" s="150"/>
    </row>
    <row r="31" spans="1:25" s="145" customFormat="1" ht="48.75" hidden="1" customHeight="1">
      <c r="A31" s="157"/>
      <c r="B31" s="710"/>
      <c r="C31" s="710"/>
      <c r="D31" s="710"/>
      <c r="E31" s="710"/>
      <c r="F31" s="710"/>
      <c r="G31" s="710"/>
      <c r="H31" s="542">
        <f>SUM(H15:H28)</f>
        <v>0</v>
      </c>
      <c r="I31" s="542">
        <f>SUM(I15:I28)</f>
        <v>0</v>
      </c>
      <c r="J31" s="542">
        <f>SUM(J15:J28)</f>
        <v>0</v>
      </c>
      <c r="K31" s="147">
        <f>SUM(K15:K28)</f>
        <v>0</v>
      </c>
      <c r="L31" s="147">
        <f>SUM(L15:L28)</f>
        <v>0</v>
      </c>
      <c r="M31" s="147"/>
      <c r="N31" s="147"/>
      <c r="O31" s="147"/>
      <c r="P31" s="147"/>
      <c r="Q31" s="147"/>
      <c r="R31" s="148"/>
      <c r="S31" s="148"/>
      <c r="T31" s="148"/>
      <c r="U31" s="149"/>
      <c r="V31" s="149"/>
      <c r="W31" s="149"/>
      <c r="X31" s="150"/>
      <c r="Y31" s="150"/>
    </row>
    <row r="32" spans="1:25" s="145" customFormat="1" ht="48.75" hidden="1" customHeight="1">
      <c r="A32" s="157"/>
      <c r="B32" s="160"/>
      <c r="C32" s="709" t="s">
        <v>177</v>
      </c>
      <c r="D32" s="711"/>
      <c r="E32" s="711"/>
      <c r="F32" s="711"/>
      <c r="G32" s="711"/>
      <c r="H32" s="543" t="e">
        <f>(1-(H31/I2))</f>
        <v>#DIV/0!</v>
      </c>
      <c r="I32" s="543" t="e">
        <f>(1-(I31/I3))</f>
        <v>#DIV/0!</v>
      </c>
      <c r="J32" s="544" t="e">
        <f>1-(J31/I4)</f>
        <v>#DIV/0!</v>
      </c>
      <c r="K32" s="147" t="e">
        <f>1-(K31/I5)</f>
        <v>#DIV/0!</v>
      </c>
      <c r="L32" s="147" t="e">
        <f>1-(L31/#REF!)</f>
        <v>#REF!</v>
      </c>
      <c r="M32" s="147"/>
      <c r="N32" s="147"/>
      <c r="O32" s="147"/>
      <c r="P32" s="147"/>
      <c r="Q32" s="147"/>
      <c r="R32" s="148"/>
      <c r="S32" s="148"/>
      <c r="T32" s="148"/>
      <c r="U32" s="149"/>
      <c r="V32" s="149"/>
      <c r="W32" s="149"/>
      <c r="X32" s="150"/>
      <c r="Y32" s="150"/>
    </row>
    <row r="33" spans="1:25" s="145" customFormat="1" ht="39" customHeight="1">
      <c r="A33" s="704" t="s">
        <v>325</v>
      </c>
      <c r="B33" s="704"/>
      <c r="C33" s="704"/>
      <c r="D33" s="704"/>
      <c r="E33" s="704"/>
      <c r="F33" s="704"/>
      <c r="G33" s="704"/>
      <c r="H33" s="545"/>
      <c r="I33" s="545"/>
      <c r="J33" s="545"/>
      <c r="K33" s="147"/>
      <c r="L33" s="147"/>
      <c r="M33" s="147"/>
      <c r="N33" s="147"/>
      <c r="O33" s="147"/>
      <c r="P33" s="147"/>
      <c r="Q33" s="147"/>
      <c r="R33" s="148"/>
      <c r="S33" s="148"/>
      <c r="T33" s="148"/>
      <c r="U33" s="149"/>
      <c r="V33" s="149"/>
      <c r="W33" s="149"/>
      <c r="X33" s="150"/>
      <c r="Y33" s="150"/>
    </row>
    <row r="34" spans="1:25" s="145" customFormat="1" ht="31.5" customHeight="1" thickBot="1">
      <c r="A34" s="138" t="s">
        <v>178</v>
      </c>
      <c r="B34" s="160"/>
      <c r="C34" s="161"/>
      <c r="E34" s="162"/>
      <c r="F34" s="162"/>
      <c r="G34" s="163"/>
      <c r="H34" s="545"/>
      <c r="I34" s="545"/>
      <c r="J34" s="545"/>
      <c r="K34" s="147"/>
      <c r="L34" s="147"/>
      <c r="M34" s="147"/>
      <c r="N34" s="147"/>
      <c r="O34" s="147"/>
      <c r="P34" s="147"/>
      <c r="Q34" s="147"/>
      <c r="R34" s="148"/>
      <c r="S34" s="148"/>
      <c r="T34" s="148"/>
      <c r="U34" s="149"/>
      <c r="V34" s="149"/>
      <c r="W34" s="149"/>
      <c r="X34" s="150"/>
      <c r="Y34" s="150"/>
    </row>
    <row r="35" spans="1:25" s="145" customFormat="1" ht="21" customHeight="1" thickBot="1">
      <c r="A35" s="98" t="s">
        <v>179</v>
      </c>
      <c r="B35" s="160"/>
      <c r="C35" s="161"/>
      <c r="E35" s="162"/>
      <c r="F35" s="162"/>
      <c r="G35" s="163"/>
      <c r="H35" s="546">
        <f>SUM(H15:H26)</f>
        <v>0</v>
      </c>
      <c r="I35" s="547">
        <f>SUM(I15:I26)</f>
        <v>0</v>
      </c>
      <c r="J35" s="548">
        <f>SUM(J15:J26)</f>
        <v>0</v>
      </c>
      <c r="K35" s="366"/>
      <c r="L35" s="147"/>
      <c r="M35" s="147"/>
      <c r="N35" s="147"/>
      <c r="O35" s="147"/>
      <c r="P35" s="147"/>
      <c r="Q35" s="147"/>
      <c r="R35" s="148"/>
      <c r="S35" s="148"/>
      <c r="T35" s="148"/>
      <c r="U35" s="149"/>
      <c r="V35" s="149"/>
      <c r="W35" s="149"/>
      <c r="X35" s="150"/>
      <c r="Y35" s="150"/>
    </row>
    <row r="36" spans="1:25" ht="19.5" customHeight="1" thickBot="1">
      <c r="A36" s="164"/>
      <c r="B36" s="164"/>
      <c r="C36" s="165"/>
      <c r="D36" s="97"/>
      <c r="E36" s="98"/>
      <c r="F36" s="98"/>
      <c r="G36" s="115" t="s">
        <v>180</v>
      </c>
      <c r="H36" s="475">
        <f>IF(J6=0,0,1-(H35/J6))</f>
        <v>0</v>
      </c>
      <c r="I36" s="475">
        <f>IF(J7=0,0,1-(I35/J7))</f>
        <v>0</v>
      </c>
      <c r="J36" s="476">
        <f>IF(J8=0,0,1-(J35/J8))</f>
        <v>0</v>
      </c>
      <c r="K36" s="461" t="s">
        <v>348</v>
      </c>
    </row>
    <row r="37" spans="1:25" ht="19.5" customHeight="1">
      <c r="A37" s="164"/>
      <c r="B37" s="164"/>
      <c r="C37" s="165"/>
      <c r="D37" s="97"/>
      <c r="E37" s="98"/>
      <c r="F37" s="98"/>
      <c r="G37" s="115" t="str">
        <f>"For and on behalf of "</f>
        <v xml:space="preserve">For and on behalf of </v>
      </c>
      <c r="H37" s="130"/>
    </row>
    <row r="38" spans="1:25" ht="19.5" customHeight="1">
      <c r="A38" s="166"/>
      <c r="B38" s="166"/>
      <c r="C38" s="166"/>
      <c r="D38" s="167"/>
      <c r="E38" s="168"/>
      <c r="F38" s="168"/>
      <c r="G38" s="134"/>
      <c r="H38" s="169"/>
    </row>
    <row r="39" spans="1:25" ht="23.25" customHeight="1">
      <c r="A39" s="170" t="s">
        <v>181</v>
      </c>
      <c r="B39" s="170"/>
      <c r="C39" s="495" t="str">
        <f>'Sch-7'!C21:D21</f>
        <v xml:space="preserve">  </v>
      </c>
      <c r="D39" s="167"/>
      <c r="E39" s="168" t="s">
        <v>182</v>
      </c>
      <c r="F39" s="551">
        <f>'Names of Bidder'!C19</f>
        <v>0</v>
      </c>
      <c r="G39" s="552"/>
      <c r="H39" s="363"/>
    </row>
    <row r="40" spans="1:25" ht="23.25" customHeight="1">
      <c r="A40" s="170" t="s">
        <v>183</v>
      </c>
      <c r="B40" s="170"/>
      <c r="C40" s="496" t="str">
        <f>'Sch-7'!C22:D22</f>
        <v/>
      </c>
      <c r="D40" s="171"/>
      <c r="E40" s="168" t="s">
        <v>184</v>
      </c>
      <c r="F40" s="551">
        <f>'Names of Bidder'!C20</f>
        <v>0</v>
      </c>
      <c r="G40" s="552"/>
      <c r="H40" s="130"/>
    </row>
  </sheetData>
  <sheetProtection algorithmName="SHA-512" hashValue="5f0LrfAIbCWpmUHgZWZz+JgCEODFLXy6mtseIXF9UEqPWUqr2JBiW+LwKWrKDG/0OP3iyKEXPaDWTLvQpDCNDw==" saltValue="QxHxizoVNzLL4vZyQGmuWA==" spinCount="100000" sheet="1" objects="1" scenarios="1" formatColumns="0" formatRows="0" selectLockedCells="1"/>
  <customSheetViews>
    <customSheetView guid="{8BA4A88A-5522-45F5-A82B-CD7725CE50B1}" showPageBreaks="1" zeroValues="0" printArea="1" hiddenRows="1" hiddenColumns="1" view="pageBreakPreview" topLeftCell="A11">
      <selection activeCell="G18" sqref="G18"/>
      <pageMargins left="0.72" right="0.49" top="0.62" bottom="0.52" header="0.32" footer="0.27"/>
      <pageSetup scale="77" orientation="portrait" r:id="rId1"/>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topLeftCell="A11">
      <selection activeCell="G18" sqref="G18"/>
      <pageMargins left="0.72" right="0.49" top="0.62" bottom="0.52" header="0.32" footer="0.27"/>
      <pageSetup scale="77" orientation="portrait" r:id="rId2"/>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72" right="0.49" top="0.62" bottom="0.52" header="0.32" footer="0.27"/>
      <pageSetup scale="77" orientation="portrait" r:id="rId3"/>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72" right="0.49" top="0.62" bottom="0.52" header="0.32" footer="0.27"/>
      <pageSetup scale="77" orientation="portrait" r:id="rId4"/>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72" right="0.49" top="0.62" bottom="0.52" header="0.32" footer="0.27"/>
      <pageSetup scale="77" orientation="portrait" r:id="rId5"/>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72" right="0.49" top="0.62" bottom="0.52" header="0.32" footer="0.27"/>
      <pageSetup scale="77" orientation="portrait" r:id="rId6"/>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7"/>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8" orientation="portrait" r:id="rId8"/>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9"/>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10"/>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11"/>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72" right="0.49" top="0.62" bottom="0.52" header="0.32" footer="0.27"/>
      <pageSetup scale="77" orientation="portrait" r:id="rId12"/>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3"/>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09375" defaultRowHeight="14.4"/>
  <cols>
    <col min="1" max="1" width="9.109375" style="116"/>
    <col min="2" max="2" width="30.6640625" style="98" customWidth="1"/>
    <col min="3" max="3" width="26.109375" style="98" customWidth="1"/>
    <col min="4" max="5" width="17.88671875" style="98" customWidth="1"/>
    <col min="6" max="16384" width="9.109375" style="43"/>
  </cols>
  <sheetData>
    <row r="1" spans="1:6">
      <c r="A1" s="172"/>
      <c r="B1" s="173"/>
      <c r="C1" s="173"/>
      <c r="D1" s="173"/>
      <c r="E1" s="173"/>
    </row>
    <row r="2" spans="1:6" ht="21.9" customHeight="1">
      <c r="A2" s="714" t="s">
        <v>185</v>
      </c>
      <c r="B2" s="714"/>
      <c r="C2" s="714"/>
      <c r="D2" s="714"/>
      <c r="E2" s="43"/>
    </row>
    <row r="3" spans="1:6">
      <c r="A3" s="172"/>
      <c r="B3" s="173"/>
      <c r="C3" s="173"/>
      <c r="D3" s="173"/>
      <c r="E3" s="173"/>
    </row>
    <row r="4" spans="1:6" ht="28.8">
      <c r="A4" s="174" t="s">
        <v>186</v>
      </c>
      <c r="B4" s="175" t="s">
        <v>187</v>
      </c>
      <c r="C4" s="174" t="s">
        <v>140</v>
      </c>
      <c r="D4" s="174" t="s">
        <v>188</v>
      </c>
      <c r="E4" s="174" t="s">
        <v>189</v>
      </c>
    </row>
    <row r="5" spans="1:6" ht="18" customHeight="1">
      <c r="A5" s="176" t="s">
        <v>190</v>
      </c>
      <c r="B5" s="176" t="s">
        <v>191</v>
      </c>
      <c r="C5" s="176" t="s">
        <v>192</v>
      </c>
      <c r="D5" s="176" t="s">
        <v>193</v>
      </c>
      <c r="E5" s="176" t="s">
        <v>194</v>
      </c>
    </row>
    <row r="6" spans="1:6" ht="45" customHeight="1">
      <c r="A6" s="177">
        <v>1</v>
      </c>
      <c r="B6" s="178"/>
      <c r="C6" s="179"/>
      <c r="D6" s="180"/>
      <c r="E6" s="181">
        <f t="shared" ref="E6:E15" si="0">C6*D6</f>
        <v>0</v>
      </c>
    </row>
    <row r="7" spans="1:6" ht="45" customHeight="1">
      <c r="A7" s="177">
        <v>2</v>
      </c>
      <c r="B7" s="178"/>
      <c r="C7" s="179"/>
      <c r="D7" s="180"/>
      <c r="E7" s="181">
        <f t="shared" si="0"/>
        <v>0</v>
      </c>
    </row>
    <row r="8" spans="1:6" ht="45" customHeight="1">
      <c r="A8" s="177">
        <v>3</v>
      </c>
      <c r="B8" s="178"/>
      <c r="C8" s="179"/>
      <c r="D8" s="180"/>
      <c r="E8" s="181">
        <f t="shared" si="0"/>
        <v>0</v>
      </c>
    </row>
    <row r="9" spans="1:6" ht="45" customHeight="1">
      <c r="A9" s="177">
        <v>4</v>
      </c>
      <c r="B9" s="178"/>
      <c r="C9" s="179"/>
      <c r="D9" s="180"/>
      <c r="E9" s="181">
        <f t="shared" si="0"/>
        <v>0</v>
      </c>
    </row>
    <row r="10" spans="1:6" ht="45" customHeight="1">
      <c r="A10" s="177">
        <v>5</v>
      </c>
      <c r="B10" s="178"/>
      <c r="C10" s="179"/>
      <c r="D10" s="180"/>
      <c r="E10" s="181">
        <f t="shared" si="0"/>
        <v>0</v>
      </c>
    </row>
    <row r="11" spans="1:6" ht="45" customHeight="1">
      <c r="A11" s="177">
        <v>6</v>
      </c>
      <c r="B11" s="178"/>
      <c r="C11" s="179"/>
      <c r="D11" s="180"/>
      <c r="E11" s="181">
        <f t="shared" si="0"/>
        <v>0</v>
      </c>
    </row>
    <row r="12" spans="1:6" ht="45" customHeight="1">
      <c r="A12" s="177">
        <v>7</v>
      </c>
      <c r="B12" s="178"/>
      <c r="C12" s="179"/>
      <c r="D12" s="180"/>
      <c r="E12" s="181">
        <f t="shared" si="0"/>
        <v>0</v>
      </c>
    </row>
    <row r="13" spans="1:6" ht="45" customHeight="1">
      <c r="A13" s="177">
        <v>8</v>
      </c>
      <c r="B13" s="178"/>
      <c r="C13" s="179"/>
      <c r="D13" s="180"/>
      <c r="E13" s="181">
        <f t="shared" si="0"/>
        <v>0</v>
      </c>
    </row>
    <row r="14" spans="1:6" ht="45" customHeight="1">
      <c r="A14" s="177">
        <v>9</v>
      </c>
      <c r="B14" s="178"/>
      <c r="C14" s="179"/>
      <c r="D14" s="180"/>
      <c r="E14" s="181">
        <f t="shared" si="0"/>
        <v>0</v>
      </c>
    </row>
    <row r="15" spans="1:6" ht="45" customHeight="1">
      <c r="A15" s="177">
        <v>10</v>
      </c>
      <c r="B15" s="178"/>
      <c r="C15" s="179"/>
      <c r="D15" s="180"/>
      <c r="E15" s="181">
        <f t="shared" si="0"/>
        <v>0</v>
      </c>
    </row>
    <row r="16" spans="1:6" ht="45" customHeight="1">
      <c r="A16" s="182"/>
      <c r="B16" s="183" t="s">
        <v>195</v>
      </c>
      <c r="C16" s="183"/>
      <c r="D16" s="183"/>
      <c r="E16" s="183">
        <f>SUM(E6:E15)</f>
        <v>0</v>
      </c>
      <c r="F16" s="184"/>
    </row>
    <row r="17" ht="30" customHeight="1"/>
    <row r="18" ht="30" customHeight="1"/>
    <row r="19" ht="30" customHeight="1"/>
    <row r="20" ht="30" customHeight="1"/>
    <row r="21" ht="30" customHeight="1"/>
  </sheetData>
  <sheetProtection password="916E" sheet="1" formatColumns="0" formatRows="0" selectLockedCells="1"/>
  <customSheetViews>
    <customSheetView guid="{8BA4A88A-5522-45F5-A82B-CD7725CE50B1}" state="hidden" topLeftCell="A4">
      <selection activeCell="D6" sqref="D6"/>
      <pageMargins left="0.75" right="0.75" top="0.65" bottom="1" header="0.5" footer="0.5"/>
      <pageSetup orientation="portrait" r:id="rId1"/>
      <headerFooter alignWithMargins="0"/>
    </customSheetView>
    <customSheetView guid="{889C3D82-0A24-4765-A688-A80A782F5056}" state="hidden" topLeftCell="A4">
      <selection activeCell="D6" sqref="D6"/>
      <pageMargins left="0.75" right="0.75" top="0.65" bottom="1" header="0.5" footer="0.5"/>
      <pageSetup orientation="portrait" r:id="rId2"/>
      <headerFooter alignWithMargins="0"/>
    </customSheetView>
    <customSheetView guid="{89CB4E6A-722E-4E39-885D-E2A6D0D08321}" state="hidden" topLeftCell="A4">
      <selection activeCell="D6" sqref="D6"/>
      <pageMargins left="0.75" right="0.75" top="0.65" bottom="1" header="0.5" footer="0.5"/>
      <pageSetup orientation="portrait" r:id="rId3"/>
      <headerFooter alignWithMargins="0"/>
    </customSheetView>
    <customSheetView guid="{915C64AD-BD67-44F0-9117-5B9D998BA799}" state="hidden" topLeftCell="A4">
      <selection activeCell="D6" sqref="D6"/>
      <pageMargins left="0.75" right="0.75" top="0.65" bottom="1" header="0.5" footer="0.5"/>
      <pageSetup orientation="portrait" r:id="rId4"/>
      <headerFooter alignWithMargins="0"/>
    </customSheetView>
    <customSheetView guid="{18EA11B4-BD82-47BF-99FA-7AB19BF74D0B}" state="hidden" topLeftCell="A4">
      <selection activeCell="D6" sqref="D6"/>
      <pageMargins left="0.75" right="0.75" top="0.65" bottom="1" header="0.5" footer="0.5"/>
      <pageSetup orientation="portrait" r:id="rId5"/>
      <headerFooter alignWithMargins="0"/>
    </customSheetView>
    <customSheetView guid="{CCA37BAE-906F-43D5-9FD9-B13563E4B9D7}" state="hidden" topLeftCell="A4">
      <selection activeCell="D6" sqref="D6"/>
      <pageMargins left="0.75" right="0.75" top="0.65" bottom="1" header="0.5" footer="0.5"/>
      <pageSetup orientation="portrait" r:id="rId6"/>
      <headerFooter alignWithMargins="0"/>
    </customSheetView>
    <customSheetView guid="{99CA2F10-F926-46DC-8609-4EAE5B9F3585}" state="hidden" topLeftCell="A4">
      <selection activeCell="D6" sqref="D6"/>
      <pageMargins left="0.75" right="0.75" top="0.65" bottom="1" header="0.5" footer="0.5"/>
      <pageSetup orientation="portrait" r:id="rId7"/>
      <headerFooter alignWithMargins="0"/>
    </customSheetView>
    <customSheetView guid="{63D51328-7CBC-4A1E-B96D-BAE91416501B}" state="hidden" topLeftCell="A4">
      <selection activeCell="D6" sqref="D6"/>
      <pageMargins left="0.75" right="0.75" top="0.65" bottom="1" header="0.5" footer="0.5"/>
      <pageSetup orientation="portrait" r:id="rId8"/>
      <headerFooter alignWithMargins="0"/>
    </customSheetView>
    <customSheetView guid="{3C00DDA0-7DDE-4169-A739-550DAF5DCF8D}" state="hidden" topLeftCell="A4">
      <selection activeCell="D6" sqref="D6"/>
      <pageMargins left="0.75" right="0.75" top="0.65" bottom="1" header="0.5" footer="0.5"/>
      <pageSetup orientation="portrait" r:id="rId9"/>
      <headerFooter alignWithMargins="0"/>
    </customSheetView>
    <customSheetView guid="{357C9841-BEC3-434B-AC63-C04FB4321BA3}" state="hidden" topLeftCell="A4">
      <selection activeCell="D6" sqref="D6"/>
      <pageMargins left="0.75" right="0.75" top="0.65" bottom="1" header="0.5" footer="0.5"/>
      <pageSetup orientation="portrait" r:id="rId10"/>
      <headerFooter alignWithMargins="0"/>
    </customSheetView>
    <customSheetView guid="{B96E710B-6DD7-4DE1-95AB-C9EE060CD030}" state="hidden" topLeftCell="A4">
      <selection activeCell="D6" sqref="D6"/>
      <pageMargins left="0.75" right="0.75" top="0.65" bottom="1" header="0.5" footer="0.5"/>
      <pageSetup orientation="portrait" r:id="rId11"/>
      <headerFooter alignWithMargins="0"/>
    </customSheetView>
    <customSheetView guid="{A58DB4DF-40C7-4BEB-B85E-6BD6F54941CF}" state="hidden" topLeftCell="A4">
      <selection activeCell="D6" sqref="D6"/>
      <pageMargins left="0.75" right="0.75" top="0.65" bottom="1" header="0.5" footer="0.5"/>
      <pageSetup orientation="portrait" r:id="rId12"/>
      <headerFooter alignWithMargins="0"/>
    </customSheetView>
  </customSheetViews>
  <mergeCells count="1">
    <mergeCell ref="A2:D2"/>
  </mergeCells>
  <pageMargins left="0.75" right="0.75" top="0.65" bottom="1" header="0.5" footer="0.5"/>
  <pageSetup orientation="portrait" r:id="rId13"/>
  <headerFooter alignWithMargins="0"/>
  <drawing r:id="rId1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09375" defaultRowHeight="14.4"/>
  <cols>
    <col min="1" max="1" width="9.109375" style="116"/>
    <col min="2" max="2" width="30.6640625" style="98" customWidth="1"/>
    <col min="3" max="3" width="26.109375" style="98" customWidth="1"/>
    <col min="4" max="5" width="17.88671875" style="98" customWidth="1"/>
    <col min="6" max="16384" width="9.109375" style="43"/>
  </cols>
  <sheetData>
    <row r="1" spans="1:6">
      <c r="A1" s="172"/>
      <c r="B1" s="173"/>
      <c r="C1" s="173"/>
      <c r="D1" s="173"/>
      <c r="E1" s="173"/>
    </row>
    <row r="2" spans="1:6" ht="21.9" customHeight="1">
      <c r="A2" s="714" t="s">
        <v>196</v>
      </c>
      <c r="B2" s="714"/>
      <c r="C2" s="714"/>
      <c r="D2" s="715"/>
      <c r="E2" s="18"/>
    </row>
    <row r="3" spans="1:6">
      <c r="A3" s="172"/>
      <c r="B3" s="173"/>
      <c r="C3" s="173"/>
      <c r="D3" s="173"/>
      <c r="E3" s="173"/>
    </row>
    <row r="4" spans="1:6" ht="28.8">
      <c r="A4" s="174" t="s">
        <v>186</v>
      </c>
      <c r="B4" s="175" t="s">
        <v>187</v>
      </c>
      <c r="C4" s="174" t="s">
        <v>197</v>
      </c>
      <c r="D4" s="174" t="s">
        <v>198</v>
      </c>
      <c r="E4" s="174" t="s">
        <v>199</v>
      </c>
    </row>
    <row r="5" spans="1:6" ht="18" customHeight="1">
      <c r="A5" s="176" t="s">
        <v>190</v>
      </c>
      <c r="B5" s="176" t="s">
        <v>191</v>
      </c>
      <c r="C5" s="176" t="s">
        <v>192</v>
      </c>
      <c r="D5" s="176" t="s">
        <v>193</v>
      </c>
      <c r="E5" s="176" t="s">
        <v>194</v>
      </c>
    </row>
    <row r="6" spans="1:6" ht="45" customHeight="1">
      <c r="A6" s="177">
        <v>1</v>
      </c>
      <c r="B6" s="178"/>
      <c r="C6" s="179"/>
      <c r="D6" s="180"/>
      <c r="E6" s="181">
        <f>C6*D6</f>
        <v>0</v>
      </c>
    </row>
    <row r="7" spans="1:6" ht="45" customHeight="1">
      <c r="A7" s="177">
        <v>2</v>
      </c>
      <c r="B7" s="178"/>
      <c r="C7" s="179"/>
      <c r="D7" s="180"/>
      <c r="E7" s="181">
        <f t="shared" ref="E7:E15" si="0">C7*D7</f>
        <v>0</v>
      </c>
    </row>
    <row r="8" spans="1:6" ht="45" customHeight="1">
      <c r="A8" s="177">
        <v>3</v>
      </c>
      <c r="B8" s="178"/>
      <c r="C8" s="179"/>
      <c r="D8" s="180"/>
      <c r="E8" s="181">
        <f t="shared" si="0"/>
        <v>0</v>
      </c>
    </row>
    <row r="9" spans="1:6" ht="45" customHeight="1">
      <c r="A9" s="177">
        <v>4</v>
      </c>
      <c r="B9" s="178"/>
      <c r="C9" s="179"/>
      <c r="D9" s="180"/>
      <c r="E9" s="181">
        <f t="shared" si="0"/>
        <v>0</v>
      </c>
    </row>
    <row r="10" spans="1:6" ht="45" customHeight="1">
      <c r="A10" s="177">
        <v>5</v>
      </c>
      <c r="B10" s="178"/>
      <c r="C10" s="179"/>
      <c r="D10" s="180"/>
      <c r="E10" s="181">
        <f t="shared" si="0"/>
        <v>0</v>
      </c>
    </row>
    <row r="11" spans="1:6" ht="45" customHeight="1">
      <c r="A11" s="177">
        <v>6</v>
      </c>
      <c r="B11" s="178"/>
      <c r="C11" s="179"/>
      <c r="D11" s="180"/>
      <c r="E11" s="181">
        <f t="shared" si="0"/>
        <v>0</v>
      </c>
    </row>
    <row r="12" spans="1:6" ht="45" customHeight="1">
      <c r="A12" s="177">
        <v>7</v>
      </c>
      <c r="B12" s="178"/>
      <c r="C12" s="179"/>
      <c r="D12" s="180"/>
      <c r="E12" s="181">
        <f t="shared" si="0"/>
        <v>0</v>
      </c>
    </row>
    <row r="13" spans="1:6" ht="45" customHeight="1">
      <c r="A13" s="177">
        <v>8</v>
      </c>
      <c r="B13" s="178"/>
      <c r="C13" s="179"/>
      <c r="D13" s="180"/>
      <c r="E13" s="181">
        <f t="shared" si="0"/>
        <v>0</v>
      </c>
    </row>
    <row r="14" spans="1:6" ht="45" customHeight="1">
      <c r="A14" s="177">
        <v>9</v>
      </c>
      <c r="B14" s="178"/>
      <c r="C14" s="179"/>
      <c r="D14" s="180"/>
      <c r="E14" s="181">
        <f t="shared" si="0"/>
        <v>0</v>
      </c>
    </row>
    <row r="15" spans="1:6" ht="45" customHeight="1">
      <c r="A15" s="177">
        <v>10</v>
      </c>
      <c r="B15" s="178"/>
      <c r="C15" s="179"/>
      <c r="D15" s="180"/>
      <c r="E15" s="181">
        <f t="shared" si="0"/>
        <v>0</v>
      </c>
    </row>
    <row r="16" spans="1:6" ht="45" customHeight="1">
      <c r="A16" s="182"/>
      <c r="B16" s="183" t="s">
        <v>195</v>
      </c>
      <c r="C16" s="183"/>
      <c r="D16" s="183"/>
      <c r="E16" s="183">
        <f>SUM(E6:E15)</f>
        <v>0</v>
      </c>
      <c r="F16" s="184"/>
    </row>
    <row r="17" ht="30" customHeight="1"/>
    <row r="18" ht="30" customHeight="1"/>
    <row r="19" ht="30" customHeight="1"/>
    <row r="20" ht="30" customHeight="1"/>
    <row r="21" ht="30" customHeight="1"/>
  </sheetData>
  <sheetProtection password="916E" sheet="1" formatColumns="0" formatRows="0" selectLockedCells="1"/>
  <customSheetViews>
    <customSheetView guid="{8BA4A88A-5522-45F5-A82B-CD7725CE50B1}" state="hidden" topLeftCell="A13">
      <selection activeCell="D6" sqref="D6"/>
      <pageMargins left="0.75" right="0.75" top="0.65" bottom="1" header="0.5" footer="0.5"/>
      <pageSetup orientation="portrait" r:id="rId1"/>
      <headerFooter alignWithMargins="0"/>
    </customSheetView>
    <customSheetView guid="{889C3D82-0A24-4765-A688-A80A782F5056}" state="hidden" topLeftCell="A13">
      <selection activeCell="D6" sqref="D6"/>
      <pageMargins left="0.75" right="0.75" top="0.65" bottom="1" header="0.5" footer="0.5"/>
      <pageSetup orientation="portrait" r:id="rId2"/>
      <headerFooter alignWithMargins="0"/>
    </customSheetView>
    <customSheetView guid="{89CB4E6A-722E-4E39-885D-E2A6D0D08321}" state="hidden" topLeftCell="A13">
      <selection activeCell="D6" sqref="D6"/>
      <pageMargins left="0.75" right="0.75" top="0.65" bottom="1" header="0.5" footer="0.5"/>
      <pageSetup orientation="portrait" r:id="rId3"/>
      <headerFooter alignWithMargins="0"/>
    </customSheetView>
    <customSheetView guid="{915C64AD-BD67-44F0-9117-5B9D998BA799}" state="hidden" topLeftCell="A13">
      <selection activeCell="D6" sqref="D6"/>
      <pageMargins left="0.75" right="0.75" top="0.65" bottom="1" header="0.5" footer="0.5"/>
      <pageSetup orientation="portrait" r:id="rId4"/>
      <headerFooter alignWithMargins="0"/>
    </customSheetView>
    <customSheetView guid="{18EA11B4-BD82-47BF-99FA-7AB19BF74D0B}" state="hidden" topLeftCell="A13">
      <selection activeCell="D6" sqref="D6"/>
      <pageMargins left="0.75" right="0.75" top="0.65" bottom="1" header="0.5" footer="0.5"/>
      <pageSetup orientation="portrait" r:id="rId5"/>
      <headerFooter alignWithMargins="0"/>
    </customSheetView>
    <customSheetView guid="{CCA37BAE-906F-43D5-9FD9-B13563E4B9D7}" state="hidden" topLeftCell="A13">
      <selection activeCell="D6" sqref="D6"/>
      <pageMargins left="0.75" right="0.75" top="0.65" bottom="1" header="0.5" footer="0.5"/>
      <pageSetup orientation="portrait" r:id="rId6"/>
      <headerFooter alignWithMargins="0"/>
    </customSheetView>
    <customSheetView guid="{99CA2F10-F926-46DC-8609-4EAE5B9F3585}" state="hidden" topLeftCell="A13">
      <selection activeCell="D6" sqref="D6"/>
      <pageMargins left="0.75" right="0.75" top="0.65" bottom="1" header="0.5" footer="0.5"/>
      <pageSetup orientation="portrait" r:id="rId7"/>
      <headerFooter alignWithMargins="0"/>
    </customSheetView>
    <customSheetView guid="{63D51328-7CBC-4A1E-B96D-BAE91416501B}" state="hidden" topLeftCell="A13">
      <selection activeCell="D6" sqref="D6"/>
      <pageMargins left="0.75" right="0.75" top="0.65" bottom="1" header="0.5" footer="0.5"/>
      <pageSetup orientation="portrait" r:id="rId8"/>
      <headerFooter alignWithMargins="0"/>
    </customSheetView>
    <customSheetView guid="{3C00DDA0-7DDE-4169-A739-550DAF5DCF8D}" state="hidden" topLeftCell="A13">
      <selection activeCell="D6" sqref="D6"/>
      <pageMargins left="0.75" right="0.75" top="0.65" bottom="1" header="0.5" footer="0.5"/>
      <pageSetup orientation="portrait" r:id="rId9"/>
      <headerFooter alignWithMargins="0"/>
    </customSheetView>
    <customSheetView guid="{357C9841-BEC3-434B-AC63-C04FB4321BA3}" state="hidden" topLeftCell="A13">
      <selection activeCell="D6" sqref="D6"/>
      <pageMargins left="0.75" right="0.75" top="0.65" bottom="1" header="0.5" footer="0.5"/>
      <pageSetup orientation="portrait" r:id="rId10"/>
      <headerFooter alignWithMargins="0"/>
    </customSheetView>
    <customSheetView guid="{B96E710B-6DD7-4DE1-95AB-C9EE060CD030}" state="hidden" topLeftCell="A13">
      <selection activeCell="D6" sqref="D6"/>
      <pageMargins left="0.75" right="0.75" top="0.65" bottom="1" header="0.5" footer="0.5"/>
      <pageSetup orientation="portrait" r:id="rId11"/>
      <headerFooter alignWithMargins="0"/>
    </customSheetView>
    <customSheetView guid="{A58DB4DF-40C7-4BEB-B85E-6BD6F54941CF}" state="hidden" topLeftCell="A13">
      <selection activeCell="D6" sqref="D6"/>
      <pageMargins left="0.75" right="0.75" top="0.65" bottom="1" header="0.5" footer="0.5"/>
      <pageSetup orientation="portrait" r:id="rId12"/>
      <headerFooter alignWithMargins="0"/>
    </customSheetView>
  </customSheetViews>
  <mergeCells count="1">
    <mergeCell ref="A2:D2"/>
  </mergeCells>
  <pageMargins left="0.75" right="0.75" top="0.65" bottom="1" header="0.5" footer="0.5"/>
  <pageSetup orientation="portrait" r:id="rId13"/>
  <headerFooter alignWithMargins="0"/>
  <drawing r:id="rId1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09375" defaultRowHeight="14.4"/>
  <cols>
    <col min="1" max="1" width="8.6640625" style="116" customWidth="1"/>
    <col min="2" max="4" width="23.5546875" style="98" customWidth="1"/>
    <col min="5" max="5" width="11" style="98" customWidth="1"/>
    <col min="6" max="6" width="14.44140625" style="98" customWidth="1"/>
    <col min="7" max="16384" width="9.109375" style="43"/>
  </cols>
  <sheetData>
    <row r="1" spans="1:7">
      <c r="A1" s="172"/>
      <c r="B1" s="173"/>
      <c r="C1" s="173"/>
      <c r="D1" s="173"/>
      <c r="E1" s="173"/>
      <c r="F1" s="173"/>
    </row>
    <row r="2" spans="1:7" ht="21.9" customHeight="1">
      <c r="A2" s="714" t="s">
        <v>200</v>
      </c>
      <c r="B2" s="714"/>
      <c r="C2" s="714"/>
      <c r="D2" s="714"/>
      <c r="E2" s="715"/>
      <c r="F2" s="43"/>
    </row>
    <row r="3" spans="1:7">
      <c r="A3" s="172"/>
      <c r="B3" s="173"/>
      <c r="C3" s="173"/>
      <c r="D3" s="173"/>
      <c r="E3" s="173"/>
      <c r="F3" s="173"/>
    </row>
    <row r="4" spans="1:7" ht="43.2">
      <c r="A4" s="174" t="s">
        <v>186</v>
      </c>
      <c r="B4" s="175" t="s">
        <v>187</v>
      </c>
      <c r="C4" s="174" t="s">
        <v>201</v>
      </c>
      <c r="D4" s="174" t="s">
        <v>202</v>
      </c>
      <c r="E4" s="174" t="s">
        <v>203</v>
      </c>
      <c r="F4" s="174" t="s">
        <v>204</v>
      </c>
    </row>
    <row r="5" spans="1:7" ht="18" customHeight="1">
      <c r="A5" s="176" t="s">
        <v>190</v>
      </c>
      <c r="B5" s="176" t="s">
        <v>191</v>
      </c>
      <c r="C5" s="176" t="s">
        <v>192</v>
      </c>
      <c r="D5" s="176" t="s">
        <v>193</v>
      </c>
      <c r="E5" s="185" t="s">
        <v>205</v>
      </c>
      <c r="F5" s="176" t="s">
        <v>206</v>
      </c>
    </row>
    <row r="6" spans="1:7" ht="45" customHeight="1">
      <c r="A6" s="177">
        <v>1</v>
      </c>
      <c r="B6" s="178"/>
      <c r="C6" s="179"/>
      <c r="D6" s="179"/>
      <c r="E6" s="180"/>
      <c r="F6" s="181">
        <f>C6*E6</f>
        <v>0</v>
      </c>
    </row>
    <row r="7" spans="1:7" ht="45" customHeight="1">
      <c r="A7" s="177">
        <v>2</v>
      </c>
      <c r="B7" s="178"/>
      <c r="C7" s="179"/>
      <c r="D7" s="179"/>
      <c r="E7" s="180"/>
      <c r="F7" s="181">
        <f t="shared" ref="F7:F15" si="0">C7*E7</f>
        <v>0</v>
      </c>
    </row>
    <row r="8" spans="1:7" ht="45" customHeight="1">
      <c r="A8" s="177">
        <v>3</v>
      </c>
      <c r="B8" s="178"/>
      <c r="C8" s="179"/>
      <c r="D8" s="179"/>
      <c r="E8" s="180"/>
      <c r="F8" s="181">
        <f t="shared" si="0"/>
        <v>0</v>
      </c>
    </row>
    <row r="9" spans="1:7" ht="45" customHeight="1">
      <c r="A9" s="177">
        <v>4</v>
      </c>
      <c r="B9" s="178"/>
      <c r="C9" s="179"/>
      <c r="D9" s="179"/>
      <c r="E9" s="180"/>
      <c r="F9" s="181">
        <f t="shared" si="0"/>
        <v>0</v>
      </c>
    </row>
    <row r="10" spans="1:7" ht="45" customHeight="1">
      <c r="A10" s="177">
        <v>5</v>
      </c>
      <c r="B10" s="178"/>
      <c r="C10" s="179"/>
      <c r="D10" s="179"/>
      <c r="E10" s="180"/>
      <c r="F10" s="181">
        <f t="shared" si="0"/>
        <v>0</v>
      </c>
    </row>
    <row r="11" spans="1:7" ht="45" customHeight="1">
      <c r="A11" s="177">
        <v>6</v>
      </c>
      <c r="B11" s="178"/>
      <c r="C11" s="179"/>
      <c r="D11" s="179"/>
      <c r="E11" s="180"/>
      <c r="F11" s="181">
        <f t="shared" si="0"/>
        <v>0</v>
      </c>
    </row>
    <row r="12" spans="1:7" ht="45" customHeight="1">
      <c r="A12" s="177">
        <v>7</v>
      </c>
      <c r="B12" s="178"/>
      <c r="C12" s="179"/>
      <c r="D12" s="179"/>
      <c r="E12" s="180"/>
      <c r="F12" s="181">
        <f t="shared" si="0"/>
        <v>0</v>
      </c>
    </row>
    <row r="13" spans="1:7" ht="45" customHeight="1">
      <c r="A13" s="177">
        <v>8</v>
      </c>
      <c r="B13" s="178"/>
      <c r="C13" s="179"/>
      <c r="D13" s="179"/>
      <c r="E13" s="180"/>
      <c r="F13" s="181">
        <f t="shared" si="0"/>
        <v>0</v>
      </c>
    </row>
    <row r="14" spans="1:7" ht="45" customHeight="1">
      <c r="A14" s="177">
        <v>9</v>
      </c>
      <c r="B14" s="178"/>
      <c r="C14" s="179"/>
      <c r="D14" s="179"/>
      <c r="E14" s="180"/>
      <c r="F14" s="181">
        <f t="shared" si="0"/>
        <v>0</v>
      </c>
    </row>
    <row r="15" spans="1:7" ht="45" customHeight="1">
      <c r="A15" s="177">
        <v>10</v>
      </c>
      <c r="B15" s="178"/>
      <c r="C15" s="179"/>
      <c r="D15" s="179"/>
      <c r="E15" s="180"/>
      <c r="F15" s="181">
        <f t="shared" si="0"/>
        <v>0</v>
      </c>
    </row>
    <row r="16" spans="1:7" ht="45" customHeight="1">
      <c r="A16" s="182"/>
      <c r="B16" s="183" t="s">
        <v>195</v>
      </c>
      <c r="C16" s="183"/>
      <c r="D16" s="183"/>
      <c r="E16" s="183"/>
      <c r="F16" s="183">
        <f>SUM(F6:F15)</f>
        <v>0</v>
      </c>
      <c r="G16" s="184"/>
    </row>
    <row r="17" ht="30" customHeight="1"/>
    <row r="18" ht="30" customHeight="1"/>
    <row r="19" ht="30" customHeight="1"/>
    <row r="20" ht="30" customHeight="1"/>
    <row r="21" ht="30" customHeight="1"/>
  </sheetData>
  <sheetProtection password="E848" sheet="1" formatColumns="0" formatRows="0" selectLockedCells="1"/>
  <customSheetViews>
    <customSheetView guid="{8BA4A88A-5522-45F5-A82B-CD7725CE50B1}" state="hidden" topLeftCell="A5">
      <selection activeCell="D11" sqref="D11"/>
      <pageMargins left="0.75" right="0.62" top="0.65" bottom="1" header="0.5" footer="0.5"/>
      <pageSetup orientation="portrait" r:id="rId1"/>
      <headerFooter alignWithMargins="0"/>
    </customSheetView>
    <customSheetView guid="{889C3D82-0A24-4765-A688-A80A782F5056}" state="hidden" topLeftCell="A5">
      <selection activeCell="D11" sqref="D11"/>
      <pageMargins left="0.75" right="0.62" top="0.65" bottom="1" header="0.5" footer="0.5"/>
      <pageSetup orientation="portrait" r:id="rId2"/>
      <headerFooter alignWithMargins="0"/>
    </customSheetView>
    <customSheetView guid="{89CB4E6A-722E-4E39-885D-E2A6D0D08321}" state="hidden" topLeftCell="A5">
      <selection activeCell="D11" sqref="D11"/>
      <pageMargins left="0.75" right="0.62" top="0.65" bottom="1" header="0.5" footer="0.5"/>
      <pageSetup orientation="portrait" r:id="rId3"/>
      <headerFooter alignWithMargins="0"/>
    </customSheetView>
    <customSheetView guid="{915C64AD-BD67-44F0-9117-5B9D998BA799}" state="hidden" topLeftCell="A5">
      <selection activeCell="D11" sqref="D11"/>
      <pageMargins left="0.75" right="0.62" top="0.65" bottom="1" header="0.5" footer="0.5"/>
      <pageSetup orientation="portrait" r:id="rId4"/>
      <headerFooter alignWithMargins="0"/>
    </customSheetView>
    <customSheetView guid="{18EA11B4-BD82-47BF-99FA-7AB19BF74D0B}" state="hidden" topLeftCell="A5">
      <selection activeCell="D11" sqref="D11"/>
      <pageMargins left="0.75" right="0.62" top="0.65" bottom="1" header="0.5" footer="0.5"/>
      <pageSetup orientation="portrait" r:id="rId5"/>
      <headerFooter alignWithMargins="0"/>
    </customSheetView>
    <customSheetView guid="{CCA37BAE-906F-43D5-9FD9-B13563E4B9D7}" state="hidden" topLeftCell="A5">
      <selection activeCell="D11" sqref="D11"/>
      <pageMargins left="0.75" right="0.62" top="0.65" bottom="1" header="0.5" footer="0.5"/>
      <pageSetup orientation="portrait" r:id="rId6"/>
      <headerFooter alignWithMargins="0"/>
    </customSheetView>
    <customSheetView guid="{99CA2F10-F926-46DC-8609-4EAE5B9F3585}" state="hidden" topLeftCell="A5">
      <selection activeCell="D11" sqref="D11"/>
      <pageMargins left="0.75" right="0.62" top="0.65" bottom="1" header="0.5" footer="0.5"/>
      <pageSetup orientation="portrait" r:id="rId7"/>
      <headerFooter alignWithMargins="0"/>
    </customSheetView>
    <customSheetView guid="{63D51328-7CBC-4A1E-B96D-BAE91416501B}" state="hidden" topLeftCell="A5">
      <selection activeCell="D11" sqref="D11"/>
      <pageMargins left="0.75" right="0.62" top="0.65" bottom="1" header="0.5" footer="0.5"/>
      <pageSetup orientation="portrait" r:id="rId8"/>
      <headerFooter alignWithMargins="0"/>
    </customSheetView>
    <customSheetView guid="{3C00DDA0-7DDE-4169-A739-550DAF5DCF8D}" state="hidden" topLeftCell="A5">
      <selection activeCell="D11" sqref="D11"/>
      <pageMargins left="0.75" right="0.62" top="0.65" bottom="1" header="0.5" footer="0.5"/>
      <pageSetup orientation="portrait" r:id="rId9"/>
      <headerFooter alignWithMargins="0"/>
    </customSheetView>
    <customSheetView guid="{357C9841-BEC3-434B-AC63-C04FB4321BA3}" state="hidden" topLeftCell="A5">
      <selection activeCell="D11" sqref="D11"/>
      <pageMargins left="0.75" right="0.62" top="0.65" bottom="1" header="0.5" footer="0.5"/>
      <pageSetup orientation="portrait" r:id="rId10"/>
      <headerFooter alignWithMargins="0"/>
    </customSheetView>
    <customSheetView guid="{B96E710B-6DD7-4DE1-95AB-C9EE060CD030}" state="hidden" topLeftCell="A5">
      <selection activeCell="D11" sqref="D11"/>
      <pageMargins left="0.75" right="0.62" top="0.65" bottom="1" header="0.5" footer="0.5"/>
      <pageSetup orientation="portrait" r:id="rId11"/>
      <headerFooter alignWithMargins="0"/>
    </customSheetView>
    <customSheetView guid="{A58DB4DF-40C7-4BEB-B85E-6BD6F54941CF}" state="hidden" topLeftCell="A5">
      <selection activeCell="D11" sqref="D11"/>
      <pageMargins left="0.75" right="0.62" top="0.65" bottom="1" header="0.5" footer="0.5"/>
      <pageSetup orientation="portrait" r:id="rId12"/>
      <headerFooter alignWithMargins="0"/>
    </customSheetView>
  </customSheetViews>
  <mergeCells count="1">
    <mergeCell ref="A2:E2"/>
  </mergeCells>
  <pageMargins left="0.75" right="0.62" top="0.65" bottom="1" header="0.5" footer="0.5"/>
  <pageSetup orientation="portrait" r:id="rId13"/>
  <headerFooter alignWithMargins="0"/>
  <drawing r:id="rId1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2"/>
  <sheetViews>
    <sheetView showGridLines="0" showZeros="0" view="pageBreakPreview" zoomScale="130" zoomScaleSheetLayoutView="130" workbookViewId="0">
      <selection activeCell="D50" sqref="D50:F50"/>
    </sheetView>
  </sheetViews>
  <sheetFormatPr defaultColWidth="9.109375" defaultRowHeight="14.4"/>
  <cols>
    <col min="1" max="1" width="10.6640625" style="189" customWidth="1"/>
    <col min="2" max="2" width="15.33203125" style="194" customWidth="1"/>
    <col min="3" max="3" width="16.33203125" style="189" customWidth="1"/>
    <col min="4" max="4" width="20.6640625" style="189" customWidth="1"/>
    <col min="5" max="5" width="12.6640625" style="189" customWidth="1"/>
    <col min="6" max="6" width="45.109375" style="189" customWidth="1"/>
    <col min="7" max="7" width="9.109375" style="189" customWidth="1"/>
    <col min="8" max="8" width="12" style="189" hidden="1" customWidth="1"/>
    <col min="9" max="18" width="9.109375" style="190" hidden="1" customWidth="1"/>
    <col min="19" max="19" width="8" style="190" hidden="1" customWidth="1"/>
    <col min="20" max="20" width="9.109375" style="190" hidden="1" customWidth="1"/>
    <col min="21" max="21" width="7.6640625" style="190" hidden="1" customWidth="1"/>
    <col min="22" max="22" width="9.109375" style="190" hidden="1" customWidth="1"/>
    <col min="23" max="23" width="5.5546875" style="190" hidden="1" customWidth="1"/>
    <col min="24" max="24" width="4.88671875" style="190" hidden="1" customWidth="1"/>
    <col min="25" max="25" width="9.109375" style="190" hidden="1" customWidth="1"/>
    <col min="26" max="26" width="66.6640625" style="190" hidden="1" customWidth="1"/>
    <col min="27" max="27" width="17.5546875" style="190" hidden="1" customWidth="1"/>
    <col min="28" max="28" width="20" style="190" hidden="1" customWidth="1"/>
    <col min="29" max="29" width="13.88671875" style="190" hidden="1" customWidth="1"/>
    <col min="30" max="30" width="9.109375" style="191" hidden="1" customWidth="1"/>
    <col min="31" max="31" width="9.109375" style="192" hidden="1" customWidth="1"/>
    <col min="32" max="32" width="13.6640625" style="192" hidden="1" customWidth="1"/>
    <col min="33" max="35" width="9.109375" style="191" hidden="1" customWidth="1"/>
    <col min="36" max="36" width="10.44140625" style="191" hidden="1" customWidth="1"/>
    <col min="37" max="41" width="9.109375" style="191" hidden="1" customWidth="1"/>
    <col min="42" max="16384" width="9.109375" style="190"/>
  </cols>
  <sheetData>
    <row r="1" spans="1:36" ht="24.75" customHeight="1">
      <c r="A1" s="186" t="str">
        <f>Cover!B3</f>
        <v>CC/NT/W-COND/DOM/A04/24/05656</v>
      </c>
      <c r="B1" s="186"/>
      <c r="C1" s="187"/>
      <c r="D1" s="187"/>
      <c r="E1" s="187"/>
      <c r="F1" s="188" t="s">
        <v>207</v>
      </c>
      <c r="Z1" s="190" t="str">
        <f>'[6]Names of Bidder'!D6</f>
        <v>Sole Bidder</v>
      </c>
      <c r="AE1" s="192">
        <v>1</v>
      </c>
      <c r="AF1" s="192" t="s">
        <v>208</v>
      </c>
      <c r="AI1" s="192">
        <v>1</v>
      </c>
      <c r="AJ1" s="191" t="s">
        <v>209</v>
      </c>
    </row>
    <row r="2" spans="1:36">
      <c r="B2" s="189"/>
      <c r="Z2" s="190">
        <f>'[6]Names of Bidder'!AA6</f>
        <v>0</v>
      </c>
      <c r="AE2" s="192">
        <v>2</v>
      </c>
      <c r="AF2" s="192" t="s">
        <v>210</v>
      </c>
      <c r="AI2" s="192">
        <v>2</v>
      </c>
      <c r="AJ2" s="191" t="s">
        <v>211</v>
      </c>
    </row>
    <row r="3" spans="1:36" ht="17.399999999999999">
      <c r="A3" s="722" t="s">
        <v>212</v>
      </c>
      <c r="B3" s="722"/>
      <c r="C3" s="722"/>
      <c r="D3" s="722"/>
      <c r="E3" s="722"/>
      <c r="F3" s="722"/>
      <c r="AE3" s="192">
        <v>3</v>
      </c>
      <c r="AF3" s="192" t="s">
        <v>213</v>
      </c>
      <c r="AI3" s="192">
        <v>3</v>
      </c>
      <c r="AJ3" s="191" t="s">
        <v>214</v>
      </c>
    </row>
    <row r="4" spans="1:36">
      <c r="A4" s="193"/>
      <c r="B4" s="193"/>
      <c r="C4" s="193"/>
      <c r="D4" s="193"/>
      <c r="E4" s="193"/>
      <c r="F4" s="193"/>
      <c r="AE4" s="192">
        <v>4</v>
      </c>
      <c r="AF4" s="192" t="s">
        <v>215</v>
      </c>
      <c r="AI4" s="192">
        <v>4</v>
      </c>
      <c r="AJ4" s="191" t="s">
        <v>216</v>
      </c>
    </row>
    <row r="5" spans="1:36">
      <c r="A5" s="194" t="s">
        <v>217</v>
      </c>
      <c r="C5" s="723"/>
      <c r="D5" s="723"/>
      <c r="E5" s="723"/>
      <c r="F5" s="723"/>
      <c r="AE5" s="192">
        <v>5</v>
      </c>
      <c r="AF5" s="192" t="s">
        <v>215</v>
      </c>
      <c r="AI5" s="192">
        <v>5</v>
      </c>
      <c r="AJ5" s="191" t="s">
        <v>218</v>
      </c>
    </row>
    <row r="6" spans="1:36">
      <c r="A6" s="194" t="s">
        <v>219</v>
      </c>
      <c r="B6" s="724" t="str">
        <f>'Names of Bidder'!C22&amp;'Names of Bidder'!D22&amp;'Names of Bidder'!E22</f>
        <v/>
      </c>
      <c r="C6" s="724"/>
      <c r="AE6" s="192">
        <v>6</v>
      </c>
      <c r="AF6" s="192" t="s">
        <v>215</v>
      </c>
      <c r="AG6" s="195" t="e">
        <f>DAY(B6)</f>
        <v>#VALUE!</v>
      </c>
      <c r="AI6" s="192">
        <v>6</v>
      </c>
      <c r="AJ6" s="191" t="s">
        <v>220</v>
      </c>
    </row>
    <row r="7" spans="1:36">
      <c r="A7" s="194"/>
      <c r="B7" s="196"/>
      <c r="C7" s="196"/>
      <c r="AE7" s="192">
        <v>7</v>
      </c>
      <c r="AF7" s="192" t="s">
        <v>215</v>
      </c>
      <c r="AG7" s="195" t="e">
        <f>MONTH(B6)</f>
        <v>#VALUE!</v>
      </c>
      <c r="AI7" s="192">
        <v>7</v>
      </c>
      <c r="AJ7" s="191" t="s">
        <v>221</v>
      </c>
    </row>
    <row r="8" spans="1:36">
      <c r="A8" s="197" t="s">
        <v>1</v>
      </c>
      <c r="B8" s="198"/>
      <c r="F8" s="199"/>
      <c r="AE8" s="192">
        <v>8</v>
      </c>
      <c r="AF8" s="192" t="s">
        <v>215</v>
      </c>
      <c r="AG8" s="195" t="e">
        <f>LOOKUP(AG7,AI1:AI12,AJ1:AJ12)</f>
        <v>#VALUE!</v>
      </c>
      <c r="AI8" s="192">
        <v>8</v>
      </c>
      <c r="AJ8" s="191" t="s">
        <v>222</v>
      </c>
    </row>
    <row r="9" spans="1:36">
      <c r="A9" s="200">
        <f>'Sch-1'!L8</f>
        <v>0</v>
      </c>
      <c r="B9" s="200"/>
      <c r="F9" s="199"/>
      <c r="AE9" s="192">
        <v>9</v>
      </c>
      <c r="AF9" s="192" t="s">
        <v>215</v>
      </c>
      <c r="AG9" s="195" t="e">
        <f>YEAR(B6)</f>
        <v>#VALUE!</v>
      </c>
      <c r="AI9" s="192">
        <v>9</v>
      </c>
      <c r="AJ9" s="191" t="s">
        <v>223</v>
      </c>
    </row>
    <row r="10" spans="1:36">
      <c r="A10" s="200" t="str">
        <f>'Sch-1'!K9</f>
        <v>Power Grid Corporation of India Ltd.,</v>
      </c>
      <c r="B10" s="200"/>
      <c r="F10" s="199"/>
      <c r="AE10" s="192">
        <v>10</v>
      </c>
      <c r="AF10" s="192" t="s">
        <v>215</v>
      </c>
      <c r="AI10" s="192">
        <v>10</v>
      </c>
      <c r="AJ10" s="191" t="s">
        <v>224</v>
      </c>
    </row>
    <row r="11" spans="1:36">
      <c r="A11" s="200" t="str">
        <f>'Sch-1'!K10</f>
        <v>"Saudamini", Plot No.-2</v>
      </c>
      <c r="B11" s="200"/>
      <c r="F11" s="199"/>
      <c r="AE11" s="192">
        <v>11</v>
      </c>
      <c r="AF11" s="192" t="s">
        <v>215</v>
      </c>
      <c r="AI11" s="192">
        <v>11</v>
      </c>
      <c r="AJ11" s="191" t="s">
        <v>225</v>
      </c>
    </row>
    <row r="12" spans="1:36">
      <c r="A12" s="200" t="str">
        <f>'Sch-1'!K11</f>
        <v xml:space="preserve">Sector-29, </v>
      </c>
      <c r="B12" s="200"/>
      <c r="F12" s="199"/>
      <c r="AE12" s="192">
        <v>12</v>
      </c>
      <c r="AF12" s="192" t="s">
        <v>215</v>
      </c>
      <c r="AI12" s="192">
        <v>12</v>
      </c>
      <c r="AJ12" s="191" t="s">
        <v>226</v>
      </c>
    </row>
    <row r="13" spans="1:36">
      <c r="A13" s="200" t="str">
        <f>'Sch-1'!K12</f>
        <v>Gurgaon (Haryana) - 122001</v>
      </c>
      <c r="B13" s="200"/>
      <c r="F13" s="199"/>
      <c r="AE13" s="192">
        <v>13</v>
      </c>
      <c r="AF13" s="192" t="s">
        <v>215</v>
      </c>
    </row>
    <row r="14" spans="1:36" ht="22.5" customHeight="1">
      <c r="A14" s="194"/>
      <c r="F14" s="199"/>
      <c r="AE14" s="192">
        <v>14</v>
      </c>
      <c r="AF14" s="192" t="s">
        <v>215</v>
      </c>
    </row>
    <row r="15" spans="1:36" ht="87.75" customHeight="1">
      <c r="A15" s="454" t="s">
        <v>227</v>
      </c>
      <c r="B15" s="455"/>
      <c r="C15" s="725" t="str">
        <f>Cover!B2</f>
        <v>Reconductoring Package - OH01 for (i) Reconductoring of 220kV Hisar (PG)-Hisar (IA) D/c line associated with ‘Reconductoring of 220kV Hisar (PG) – Hisar (IA) S/c line’; and (ii) Reconductoring of 400 kV S/c (TWIN ACSR MOOSE) Raichur – Veltoor (Mahabubnagar) line with TWIN HTLS conductor associated with ‘Reconductoring of Raichur – Veltoor (Mahabubnagar) 400kV S/c line with HTLS conductor’.</v>
      </c>
      <c r="D15" s="725"/>
      <c r="E15" s="725"/>
      <c r="F15" s="725"/>
      <c r="AE15" s="192">
        <v>15</v>
      </c>
      <c r="AF15" s="192" t="s">
        <v>215</v>
      </c>
    </row>
    <row r="16" spans="1:36" ht="27.75" customHeight="1">
      <c r="A16" s="189" t="s">
        <v>228</v>
      </c>
      <c r="B16" s="189"/>
      <c r="C16" s="199"/>
      <c r="D16" s="199"/>
      <c r="E16" s="199"/>
      <c r="F16" s="199"/>
      <c r="AE16" s="192">
        <v>16</v>
      </c>
      <c r="AF16" s="192" t="s">
        <v>215</v>
      </c>
    </row>
    <row r="17" spans="1:41" ht="99.75" customHeight="1">
      <c r="A17" s="202">
        <v>1</v>
      </c>
      <c r="B17" s="720"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720"/>
      <c r="D17" s="720"/>
      <c r="E17" s="720"/>
      <c r="F17" s="720"/>
      <c r="H17" s="527" t="s">
        <v>293</v>
      </c>
      <c r="Z17" s="203"/>
      <c r="AA17" s="204"/>
      <c r="AB17" s="205"/>
      <c r="AC17" s="206"/>
      <c r="AE17" s="192">
        <v>17</v>
      </c>
      <c r="AF17" s="192" t="s">
        <v>215</v>
      </c>
    </row>
    <row r="18" spans="1:41" ht="24.75" customHeight="1">
      <c r="A18" s="202"/>
      <c r="B18" s="720"/>
      <c r="C18" s="720"/>
      <c r="D18" s="720"/>
      <c r="E18" s="720"/>
      <c r="F18" s="720"/>
      <c r="H18" s="205">
        <f>ROUND('Sch-6 (After Discount)'!D28,2)</f>
        <v>0</v>
      </c>
      <c r="I18" s="190" t="s">
        <v>460</v>
      </c>
      <c r="Z18" s="203"/>
      <c r="AA18" s="204"/>
      <c r="AB18" s="205"/>
      <c r="AC18" s="206"/>
    </row>
    <row r="19" spans="1:41" ht="13.5" customHeight="1">
      <c r="A19" s="202"/>
      <c r="B19" s="720"/>
      <c r="C19" s="720"/>
      <c r="D19" s="720"/>
      <c r="E19" s="720"/>
      <c r="F19" s="720"/>
      <c r="H19" s="528" t="str">
        <f>'N-W (Cr.)'!P4</f>
        <v/>
      </c>
      <c r="N19" s="190" t="s">
        <v>459</v>
      </c>
      <c r="Z19" s="203"/>
      <c r="AA19" s="204"/>
      <c r="AB19" s="205"/>
      <c r="AC19" s="206"/>
    </row>
    <row r="20" spans="1:41" ht="39" customHeight="1">
      <c r="B20" s="721" t="s">
        <v>229</v>
      </c>
      <c r="C20" s="721"/>
      <c r="D20" s="721"/>
      <c r="E20" s="721"/>
      <c r="F20" s="721"/>
      <c r="H20" s="189" t="s">
        <v>292</v>
      </c>
      <c r="AE20" s="192">
        <v>18</v>
      </c>
      <c r="AF20" s="192" t="s">
        <v>215</v>
      </c>
    </row>
    <row r="21" spans="1:41" s="189" customFormat="1" ht="27.75" customHeight="1">
      <c r="A21" s="207">
        <v>2</v>
      </c>
      <c r="B21" s="719" t="s">
        <v>230</v>
      </c>
      <c r="C21" s="719"/>
      <c r="D21" s="719"/>
      <c r="E21" s="719"/>
      <c r="F21" s="719"/>
      <c r="AD21" s="208"/>
      <c r="AE21" s="192">
        <v>19</v>
      </c>
      <c r="AF21" s="192" t="s">
        <v>215</v>
      </c>
      <c r="AG21" s="208"/>
      <c r="AH21" s="208"/>
      <c r="AI21" s="208"/>
      <c r="AJ21" s="208"/>
      <c r="AK21" s="208"/>
      <c r="AL21" s="208"/>
      <c r="AM21" s="208"/>
      <c r="AN21" s="208"/>
      <c r="AO21" s="208"/>
    </row>
    <row r="22" spans="1:41" ht="39.75" customHeight="1">
      <c r="A22" s="202">
        <v>2.1</v>
      </c>
      <c r="B22" s="717" t="s">
        <v>231</v>
      </c>
      <c r="C22" s="717"/>
      <c r="D22" s="717"/>
      <c r="E22" s="717"/>
      <c r="F22" s="717"/>
      <c r="AE22" s="192">
        <v>20</v>
      </c>
      <c r="AF22" s="192" t="s">
        <v>215</v>
      </c>
    </row>
    <row r="23" spans="1:41" ht="36.75" customHeight="1">
      <c r="B23" s="716" t="s">
        <v>232</v>
      </c>
      <c r="C23" s="716"/>
      <c r="D23" s="717" t="s">
        <v>233</v>
      </c>
      <c r="E23" s="717"/>
      <c r="F23" s="717"/>
      <c r="AE23" s="192">
        <v>21</v>
      </c>
      <c r="AF23" s="192" t="s">
        <v>208</v>
      </c>
    </row>
    <row r="24" spans="1:41" ht="33" customHeight="1">
      <c r="B24" s="716" t="s">
        <v>234</v>
      </c>
      <c r="C24" s="716"/>
      <c r="D24" s="201" t="s">
        <v>294</v>
      </c>
      <c r="E24" s="201"/>
      <c r="F24" s="201"/>
      <c r="AE24" s="192">
        <v>22</v>
      </c>
      <c r="AF24" s="192" t="s">
        <v>215</v>
      </c>
    </row>
    <row r="25" spans="1:41" ht="27.9" customHeight="1">
      <c r="B25" s="716" t="s">
        <v>235</v>
      </c>
      <c r="C25" s="716"/>
      <c r="D25" s="201" t="s">
        <v>236</v>
      </c>
      <c r="E25" s="201"/>
      <c r="F25" s="201"/>
      <c r="H25" s="208" t="str">
        <f>'[6]Names of Bidder'!D6</f>
        <v>Sole Bidder</v>
      </c>
      <c r="AE25" s="192">
        <v>23</v>
      </c>
      <c r="AF25" s="192" t="s">
        <v>215</v>
      </c>
    </row>
    <row r="26" spans="1:41" ht="27.9" customHeight="1">
      <c r="B26" s="716" t="s">
        <v>237</v>
      </c>
      <c r="C26" s="716"/>
      <c r="D26" s="201" t="s">
        <v>468</v>
      </c>
      <c r="E26" s="201"/>
      <c r="F26" s="201"/>
      <c r="AE26" s="192">
        <v>24</v>
      </c>
      <c r="AF26" s="192" t="s">
        <v>215</v>
      </c>
    </row>
    <row r="27" spans="1:41" ht="27.9" customHeight="1">
      <c r="B27" s="716" t="s">
        <v>238</v>
      </c>
      <c r="C27" s="716"/>
      <c r="D27" s="201" t="s">
        <v>469</v>
      </c>
      <c r="E27" s="201"/>
      <c r="F27" s="201"/>
      <c r="AE27" s="192">
        <v>25</v>
      </c>
      <c r="AF27" s="192" t="s">
        <v>215</v>
      </c>
    </row>
    <row r="28" spans="1:41" ht="27.9" customHeight="1">
      <c r="B28" s="716" t="s">
        <v>239</v>
      </c>
      <c r="C28" s="716"/>
      <c r="D28" s="201" t="s">
        <v>504</v>
      </c>
      <c r="E28" s="201"/>
      <c r="F28" s="201"/>
      <c r="AE28" s="192">
        <v>26</v>
      </c>
      <c r="AF28" s="192" t="s">
        <v>215</v>
      </c>
    </row>
    <row r="29" spans="1:41" ht="44.25" customHeight="1">
      <c r="B29" s="716" t="s">
        <v>30</v>
      </c>
      <c r="C29" s="716"/>
      <c r="D29" s="718" t="s">
        <v>471</v>
      </c>
      <c r="E29" s="718"/>
      <c r="F29" s="718"/>
      <c r="AE29" s="192">
        <v>27</v>
      </c>
      <c r="AF29" s="192" t="s">
        <v>215</v>
      </c>
    </row>
    <row r="30" spans="1:41" ht="98.25" customHeight="1">
      <c r="A30" s="209">
        <v>2.2000000000000002</v>
      </c>
      <c r="B30" s="717" t="s">
        <v>240</v>
      </c>
      <c r="C30" s="717"/>
      <c r="D30" s="717"/>
      <c r="E30" s="717"/>
      <c r="F30" s="717"/>
      <c r="AE30" s="192">
        <v>28</v>
      </c>
      <c r="AF30" s="192" t="s">
        <v>215</v>
      </c>
    </row>
    <row r="31" spans="1:41" ht="68.25" customHeight="1">
      <c r="A31" s="209">
        <v>2.2999999999999998</v>
      </c>
      <c r="B31" s="717" t="s">
        <v>503</v>
      </c>
      <c r="C31" s="717"/>
      <c r="D31" s="717"/>
      <c r="E31" s="717"/>
      <c r="F31" s="717"/>
      <c r="AE31" s="192">
        <v>29</v>
      </c>
      <c r="AF31" s="192" t="s">
        <v>215</v>
      </c>
    </row>
    <row r="32" spans="1:41" ht="129.75" customHeight="1">
      <c r="A32" s="209">
        <v>2.4</v>
      </c>
      <c r="B32" s="717" t="s">
        <v>241</v>
      </c>
      <c r="C32" s="717"/>
      <c r="D32" s="717"/>
      <c r="E32" s="717"/>
      <c r="F32" s="717"/>
      <c r="AE32" s="192">
        <v>30</v>
      </c>
      <c r="AF32" s="192" t="s">
        <v>215</v>
      </c>
    </row>
    <row r="33" spans="1:32" ht="79.5" customHeight="1">
      <c r="A33" s="209">
        <v>2.5</v>
      </c>
      <c r="B33" s="717" t="s">
        <v>242</v>
      </c>
      <c r="C33" s="717"/>
      <c r="D33" s="717"/>
      <c r="E33" s="717"/>
      <c r="F33" s="717"/>
      <c r="AE33" s="192">
        <v>31</v>
      </c>
      <c r="AF33" s="192" t="s">
        <v>208</v>
      </c>
    </row>
    <row r="34" spans="1:32" ht="81" customHeight="1">
      <c r="A34" s="202">
        <v>3</v>
      </c>
      <c r="B34" s="717" t="s">
        <v>467</v>
      </c>
      <c r="C34" s="717"/>
      <c r="D34" s="717"/>
      <c r="E34" s="717"/>
      <c r="F34" s="717"/>
    </row>
    <row r="35" spans="1:32" ht="63" customHeight="1">
      <c r="A35" s="202">
        <v>3.1</v>
      </c>
      <c r="B35" s="718" t="s">
        <v>295</v>
      </c>
      <c r="C35" s="718"/>
      <c r="D35" s="718"/>
      <c r="E35" s="718"/>
      <c r="F35" s="718"/>
    </row>
    <row r="36" spans="1:32" ht="114" customHeight="1">
      <c r="A36" s="209">
        <v>3.2</v>
      </c>
      <c r="B36" s="717" t="s">
        <v>296</v>
      </c>
      <c r="C36" s="717"/>
      <c r="D36" s="717"/>
      <c r="E36" s="717"/>
      <c r="F36" s="717"/>
    </row>
    <row r="37" spans="1:32" ht="65.25" customHeight="1">
      <c r="A37" s="209">
        <v>3.3</v>
      </c>
      <c r="B37" s="717" t="s">
        <v>297</v>
      </c>
      <c r="C37" s="717"/>
      <c r="D37" s="717"/>
      <c r="E37" s="717"/>
      <c r="F37" s="717"/>
    </row>
    <row r="38" spans="1:32" ht="66" customHeight="1">
      <c r="A38" s="202">
        <v>4</v>
      </c>
      <c r="B38" s="717" t="s">
        <v>243</v>
      </c>
      <c r="C38" s="717"/>
      <c r="D38" s="717"/>
      <c r="E38" s="717"/>
      <c r="F38" s="717"/>
    </row>
    <row r="39" spans="1:32" ht="93" customHeight="1">
      <c r="A39" s="202">
        <v>5</v>
      </c>
      <c r="B39" s="717" t="s">
        <v>244</v>
      </c>
      <c r="C39" s="717"/>
      <c r="D39" s="717"/>
      <c r="E39" s="717"/>
      <c r="F39" s="717"/>
    </row>
    <row r="40" spans="1:32" ht="20.25" customHeight="1">
      <c r="B40" s="69" t="str">
        <f>IF(ISERROR("Dated this " &amp; AG6 &amp; LOOKUP(AG6,AE1:AE33,AF1:AF33) &amp; " day of " &amp; AG8 &amp; " " &amp;AG9), "", "Dated this " &amp; AG6 &amp; LOOKUP(AG6,AE1:AE33,AF1:AF33) &amp; " day of " &amp; AG8 &amp; " " &amp;AG9)</f>
        <v/>
      </c>
      <c r="C40" s="69"/>
      <c r="D40" s="69"/>
      <c r="E40" s="210"/>
      <c r="F40" s="210"/>
    </row>
    <row r="41" spans="1:32" ht="30" customHeight="1">
      <c r="B41" s="69" t="s">
        <v>179</v>
      </c>
      <c r="C41" s="18"/>
      <c r="D41" s="67"/>
      <c r="E41" s="67"/>
      <c r="F41" s="67"/>
    </row>
    <row r="42" spans="1:32" ht="20.25" customHeight="1">
      <c r="B42" s="211"/>
      <c r="C42" s="67"/>
      <c r="D42" s="67"/>
      <c r="E42" s="69"/>
      <c r="F42" s="212" t="s">
        <v>180</v>
      </c>
    </row>
    <row r="43" spans="1:32" ht="18" customHeight="1">
      <c r="B43" s="211"/>
      <c r="C43" s="67"/>
      <c r="D43" s="69"/>
      <c r="E43" s="69"/>
      <c r="F43" s="212" t="str">
        <f>"For and on behalf of " &amp; '[6]Sch-1'!B8</f>
        <v>For and on behalf of test</v>
      </c>
    </row>
    <row r="44" spans="1:32" ht="30" customHeight="1">
      <c r="A44" s="190"/>
      <c r="B44" s="190"/>
      <c r="C44" s="213"/>
      <c r="D44" s="190"/>
      <c r="E44" s="214" t="s">
        <v>245</v>
      </c>
      <c r="F44" s="194"/>
    </row>
    <row r="45" spans="1:32" ht="30" customHeight="1">
      <c r="A45" s="215" t="s">
        <v>181</v>
      </c>
      <c r="B45" s="731" t="str">
        <f>Discount!C39</f>
        <v xml:space="preserve">  </v>
      </c>
      <c r="C45" s="724"/>
      <c r="D45" s="190"/>
      <c r="E45" s="214" t="s">
        <v>182</v>
      </c>
      <c r="F45" s="367">
        <f>Discount!F39</f>
        <v>0</v>
      </c>
    </row>
    <row r="46" spans="1:32" ht="30" customHeight="1">
      <c r="A46" s="215" t="s">
        <v>183</v>
      </c>
      <c r="B46" s="726" t="str">
        <f>Discount!C40</f>
        <v/>
      </c>
      <c r="C46" s="724"/>
      <c r="D46" s="190"/>
      <c r="E46" s="214" t="s">
        <v>184</v>
      </c>
      <c r="F46" s="367">
        <f>Discount!F40</f>
        <v>0</v>
      </c>
    </row>
    <row r="47" spans="1:32" ht="30" customHeight="1">
      <c r="B47" s="189"/>
      <c r="D47" s="190"/>
      <c r="E47" s="214" t="s">
        <v>246</v>
      </c>
    </row>
    <row r="48" spans="1:32" ht="30" customHeight="1">
      <c r="A48" s="728" t="str">
        <f>IF(H25="Sole Bidder", "", "In case of bid from a Joint Venture, name &amp; designation of representative of JV partner is to be provided and Bid Form is also to be signed by him.")</f>
        <v/>
      </c>
      <c r="B48" s="728"/>
      <c r="C48" s="728"/>
      <c r="D48" s="728"/>
      <c r="E48" s="728"/>
      <c r="F48" s="728"/>
    </row>
    <row r="49" spans="1:41" s="189" customFormat="1" ht="33" customHeight="1">
      <c r="A49" s="216" t="s">
        <v>247</v>
      </c>
      <c r="B49" s="217"/>
      <c r="C49" s="218"/>
      <c r="D49" s="69"/>
      <c r="E49" s="212"/>
      <c r="F49" s="69"/>
      <c r="H49" s="194"/>
      <c r="AD49" s="208"/>
      <c r="AE49" s="192"/>
      <c r="AF49" s="192"/>
      <c r="AG49" s="208"/>
      <c r="AH49" s="208"/>
      <c r="AI49" s="208"/>
      <c r="AJ49" s="208"/>
      <c r="AK49" s="208"/>
      <c r="AL49" s="208"/>
      <c r="AM49" s="208"/>
      <c r="AN49" s="208"/>
      <c r="AO49" s="208"/>
    </row>
    <row r="50" spans="1:41" s="189" customFormat="1" ht="33" customHeight="1">
      <c r="A50" s="733" t="s">
        <v>248</v>
      </c>
      <c r="B50" s="733"/>
      <c r="C50" s="733"/>
      <c r="D50" s="727"/>
      <c r="E50" s="727"/>
      <c r="F50" s="727"/>
      <c r="H50" s="194"/>
      <c r="AD50" s="208"/>
      <c r="AE50" s="192"/>
      <c r="AF50" s="192"/>
      <c r="AG50" s="208"/>
      <c r="AH50" s="208"/>
      <c r="AI50" s="208"/>
      <c r="AJ50" s="208"/>
      <c r="AK50" s="208"/>
      <c r="AL50" s="208"/>
      <c r="AM50" s="208"/>
      <c r="AN50" s="208"/>
      <c r="AO50" s="208"/>
    </row>
    <row r="51" spans="1:41" s="189" customFormat="1" ht="33" customHeight="1">
      <c r="A51" s="729"/>
      <c r="B51" s="729"/>
      <c r="C51" s="729"/>
      <c r="D51" s="219"/>
      <c r="E51" s="219"/>
      <c r="F51" s="219"/>
      <c r="H51" s="194"/>
      <c r="AD51" s="208"/>
      <c r="AE51" s="192"/>
      <c r="AF51" s="192"/>
      <c r="AG51" s="208"/>
      <c r="AH51" s="208"/>
      <c r="AI51" s="208"/>
      <c r="AJ51" s="208"/>
      <c r="AK51" s="208"/>
      <c r="AL51" s="208"/>
      <c r="AM51" s="208"/>
      <c r="AN51" s="208"/>
      <c r="AO51" s="208"/>
    </row>
    <row r="52" spans="1:41" s="189" customFormat="1" ht="33" customHeight="1">
      <c r="A52" s="730"/>
      <c r="B52" s="730"/>
      <c r="C52" s="730"/>
      <c r="D52" s="219"/>
      <c r="E52" s="219"/>
      <c r="F52" s="219"/>
      <c r="H52" s="194"/>
      <c r="AD52" s="208"/>
      <c r="AE52" s="192"/>
      <c r="AF52" s="192"/>
      <c r="AG52" s="208"/>
      <c r="AH52" s="208"/>
      <c r="AI52" s="208"/>
      <c r="AJ52" s="208"/>
      <c r="AK52" s="208"/>
      <c r="AL52" s="208"/>
      <c r="AM52" s="208"/>
      <c r="AN52" s="208"/>
      <c r="AO52" s="208"/>
    </row>
    <row r="53" spans="1:41" s="189" customFormat="1" ht="33" customHeight="1">
      <c r="A53" s="732" t="s">
        <v>249</v>
      </c>
      <c r="B53" s="732"/>
      <c r="C53" s="732"/>
      <c r="D53" s="727"/>
      <c r="E53" s="727"/>
      <c r="F53" s="727"/>
      <c r="H53" s="194"/>
      <c r="AD53" s="208"/>
      <c r="AE53" s="192"/>
      <c r="AF53" s="192"/>
      <c r="AG53" s="208"/>
      <c r="AH53" s="208"/>
      <c r="AI53" s="208"/>
      <c r="AJ53" s="208"/>
      <c r="AK53" s="208"/>
      <c r="AL53" s="208"/>
      <c r="AM53" s="208"/>
      <c r="AN53" s="208"/>
      <c r="AO53" s="208"/>
    </row>
    <row r="54" spans="1:41" s="189" customFormat="1" ht="33" customHeight="1">
      <c r="A54" s="732" t="s">
        <v>250</v>
      </c>
      <c r="B54" s="732"/>
      <c r="C54" s="732"/>
      <c r="D54" s="727"/>
      <c r="E54" s="727"/>
      <c r="F54" s="727"/>
      <c r="H54" s="194"/>
      <c r="AD54" s="208"/>
      <c r="AE54" s="192"/>
      <c r="AF54" s="192"/>
      <c r="AG54" s="208"/>
      <c r="AH54" s="208"/>
      <c r="AI54" s="208"/>
      <c r="AJ54" s="208"/>
      <c r="AK54" s="208"/>
      <c r="AL54" s="208"/>
      <c r="AM54" s="208"/>
      <c r="AN54" s="208"/>
      <c r="AO54" s="208"/>
    </row>
    <row r="55" spans="1:41" s="189" customFormat="1" ht="33" customHeight="1">
      <c r="A55" s="732" t="s">
        <v>251</v>
      </c>
      <c r="B55" s="732"/>
      <c r="C55" s="732"/>
      <c r="D55" s="727"/>
      <c r="E55" s="727"/>
      <c r="F55" s="727"/>
      <c r="H55" s="194"/>
      <c r="AD55" s="208"/>
      <c r="AE55" s="192"/>
      <c r="AF55" s="192"/>
      <c r="AG55" s="208"/>
      <c r="AH55" s="208"/>
      <c r="AI55" s="208"/>
      <c r="AJ55" s="208"/>
      <c r="AK55" s="208"/>
      <c r="AL55" s="208"/>
      <c r="AM55" s="208"/>
      <c r="AN55" s="208"/>
      <c r="AO55" s="208"/>
    </row>
    <row r="56" spans="1:41" s="189" customFormat="1" ht="33" customHeight="1">
      <c r="A56" s="733" t="s">
        <v>252</v>
      </c>
      <c r="B56" s="733"/>
      <c r="C56" s="733"/>
      <c r="D56" s="727"/>
      <c r="E56" s="727"/>
      <c r="F56" s="727"/>
      <c r="H56" s="194"/>
      <c r="AD56" s="208"/>
      <c r="AE56" s="192"/>
      <c r="AF56" s="192"/>
      <c r="AG56" s="208"/>
      <c r="AH56" s="208"/>
      <c r="AI56" s="208"/>
      <c r="AJ56" s="208"/>
      <c r="AK56" s="208"/>
      <c r="AL56" s="208"/>
      <c r="AM56" s="208"/>
      <c r="AN56" s="208"/>
      <c r="AO56" s="208"/>
    </row>
    <row r="57" spans="1:41" s="189" customFormat="1" ht="33" customHeight="1">
      <c r="A57" s="729"/>
      <c r="B57" s="729"/>
      <c r="C57" s="729"/>
      <c r="D57" s="219"/>
      <c r="E57" s="219"/>
      <c r="F57" s="219"/>
      <c r="H57" s="194"/>
      <c r="AD57" s="208"/>
      <c r="AE57" s="192"/>
      <c r="AF57" s="192"/>
      <c r="AG57" s="208"/>
      <c r="AH57" s="208"/>
      <c r="AI57" s="208"/>
      <c r="AJ57" s="208"/>
      <c r="AK57" s="208"/>
      <c r="AL57" s="208"/>
      <c r="AM57" s="208"/>
      <c r="AN57" s="208"/>
      <c r="AO57" s="208"/>
    </row>
    <row r="58" spans="1:41" s="189" customFormat="1" ht="33" customHeight="1">
      <c r="A58" s="730"/>
      <c r="B58" s="730"/>
      <c r="C58" s="730"/>
      <c r="D58" s="219"/>
      <c r="E58" s="219"/>
      <c r="F58" s="219"/>
      <c r="H58" s="194"/>
      <c r="AD58" s="208"/>
      <c r="AE58" s="192"/>
      <c r="AF58" s="192"/>
      <c r="AG58" s="208"/>
      <c r="AH58" s="208"/>
      <c r="AI58" s="208"/>
      <c r="AJ58" s="208"/>
      <c r="AK58" s="208"/>
      <c r="AL58" s="208"/>
      <c r="AM58" s="208"/>
      <c r="AN58" s="208"/>
      <c r="AO58" s="208"/>
    </row>
    <row r="59" spans="1:41" s="189" customFormat="1" ht="60.75" customHeight="1">
      <c r="A59" s="735"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9" s="735"/>
      <c r="C59" s="735"/>
      <c r="D59" s="735"/>
      <c r="E59" s="735"/>
      <c r="F59" s="735"/>
      <c r="H59" s="194"/>
      <c r="AD59" s="208"/>
      <c r="AE59" s="192"/>
      <c r="AF59" s="192"/>
      <c r="AG59" s="208"/>
      <c r="AH59" s="208"/>
      <c r="AI59" s="208"/>
      <c r="AJ59" s="208"/>
      <c r="AK59" s="208"/>
      <c r="AL59" s="208"/>
      <c r="AM59" s="208"/>
      <c r="AN59" s="208"/>
      <c r="AO59" s="208"/>
    </row>
    <row r="60" spans="1:41" s="189" customFormat="1" ht="33" customHeight="1">
      <c r="A60" s="734" t="s">
        <v>114</v>
      </c>
      <c r="B60" s="734"/>
      <c r="C60" s="734"/>
      <c r="D60" s="734"/>
      <c r="E60" s="734"/>
      <c r="F60" s="734"/>
      <c r="H60" s="194"/>
      <c r="AD60" s="208"/>
      <c r="AE60" s="192"/>
      <c r="AF60" s="192"/>
      <c r="AG60" s="208"/>
      <c r="AH60" s="208"/>
      <c r="AI60" s="208"/>
      <c r="AJ60" s="208"/>
      <c r="AK60" s="208"/>
      <c r="AL60" s="208"/>
      <c r="AM60" s="208"/>
      <c r="AN60" s="208"/>
      <c r="AO60" s="208"/>
    </row>
    <row r="61" spans="1:41">
      <c r="A61" s="194"/>
    </row>
    <row r="62" spans="1:41">
      <c r="A62" s="194"/>
    </row>
    <row r="63" spans="1:41">
      <c r="A63" s="194"/>
    </row>
    <row r="64" spans="1:41">
      <c r="A64" s="194"/>
    </row>
    <row r="65" spans="1:1">
      <c r="A65" s="194"/>
    </row>
    <row r="66" spans="1:1">
      <c r="A66" s="194"/>
    </row>
    <row r="67" spans="1:1">
      <c r="A67" s="194"/>
    </row>
    <row r="68" spans="1:1">
      <c r="A68" s="194"/>
    </row>
    <row r="69" spans="1:1">
      <c r="A69" s="194"/>
    </row>
    <row r="70" spans="1:1">
      <c r="A70" s="194"/>
    </row>
    <row r="71" spans="1:1">
      <c r="A71" s="194"/>
    </row>
    <row r="72" spans="1:1">
      <c r="A72" s="194"/>
    </row>
  </sheetData>
  <sheetProtection algorithmName="SHA-512" hashValue="1xzyzAw45JkOnrJI58lVF9uAMX1DxXOjNBYm3JZVKPE3eptjRbz/W1QEHiW+B0LNN/C5YH1Gg2rMH9Dl12UWXg==" saltValue="KDH2YDD8b/Q0jX3ZjDRJyg==" spinCount="100000" sheet="1" objects="1" scenarios="1" formatColumns="0" formatRows="0" selectLockedCells="1"/>
  <customSheetViews>
    <customSheetView guid="{8BA4A88A-5522-45F5-A82B-CD7725CE50B1}" scale="130" showPageBreaks="1" showGridLines="0" zeroValues="0" fitToPage="1" printArea="1" hiddenColumns="1" view="pageBreakPreview" topLeftCell="A28">
      <selection activeCell="D50" sqref="D50:F50"/>
      <rowBreaks count="1" manualBreakCount="1">
        <brk id="48" max="5" man="1"/>
      </rowBreaks>
      <pageMargins left="0.75" right="0.77" top="0.62" bottom="0.61" header="0.39" footer="0.32"/>
      <pageSetup scale="73" fitToHeight="3" orientation="portrait" r:id="rId1"/>
      <headerFooter alignWithMargins="0">
        <oddFooter>&amp;R&amp;"Book Antiqua,Bold"&amp;8Bid Form (1st Envelope)  / Page &amp;P of &amp;N</oddFooter>
      </headerFooter>
    </customSheetView>
    <customSheetView guid="{889C3D82-0A24-4765-A688-A80A782F5056}" scale="130" showPageBreaks="1" showGridLines="0" zeroValues="0" fitToPage="1" printArea="1" hiddenColumns="1" view="pageBreakPreview">
      <selection activeCell="D50" sqref="D50:F50"/>
      <rowBreaks count="1" manualBreakCount="1">
        <brk id="48" max="5" man="1"/>
      </rowBreaks>
      <pageMargins left="0.75" right="0.77" top="0.62" bottom="0.61" header="0.39" footer="0.32"/>
      <pageSetup scale="73" fitToHeight="3" orientation="portrait" r:id="rId2"/>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75" right="0.77" top="0.62" bottom="0.61" header="0.39" footer="0.32"/>
      <pageSetup scale="73" fitToHeight="3" orientation="portrait" r:id="rId3"/>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3" fitToHeight="3" orientation="portrait" r:id="rId4"/>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8"/>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11"/>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4" fitToHeight="3" orientation="portrait" r:id="rId12"/>
      <headerFooter alignWithMargins="0">
        <oddFooter>&amp;R&amp;"Book Antiqua,Bold"&amp;8Bid Form (1st Envelope)  / Page &amp;P of &amp;N</oddFooter>
      </headerFooter>
    </customSheetView>
  </customSheetViews>
  <mergeCells count="46">
    <mergeCell ref="A54:C54"/>
    <mergeCell ref="A60:F60"/>
    <mergeCell ref="A55:C55"/>
    <mergeCell ref="D55:F55"/>
    <mergeCell ref="A56:C56"/>
    <mergeCell ref="D56:F56"/>
    <mergeCell ref="A58:C58"/>
    <mergeCell ref="A59:F59"/>
    <mergeCell ref="A57:C57"/>
    <mergeCell ref="D54:F54"/>
    <mergeCell ref="B46:C46"/>
    <mergeCell ref="B31:F31"/>
    <mergeCell ref="B38:F38"/>
    <mergeCell ref="D53:F53"/>
    <mergeCell ref="B39:F39"/>
    <mergeCell ref="B35:F35"/>
    <mergeCell ref="A48:F48"/>
    <mergeCell ref="A51:C51"/>
    <mergeCell ref="A52:C52"/>
    <mergeCell ref="B45:C45"/>
    <mergeCell ref="A53:C53"/>
    <mergeCell ref="A50:C50"/>
    <mergeCell ref="D50:F50"/>
    <mergeCell ref="B32:F32"/>
    <mergeCell ref="B33:F33"/>
    <mergeCell ref="B34:F34"/>
    <mergeCell ref="B36:F36"/>
    <mergeCell ref="B37:F37"/>
    <mergeCell ref="B26:C26"/>
    <mergeCell ref="B29:C29"/>
    <mergeCell ref="B30:F30"/>
    <mergeCell ref="B21:F21"/>
    <mergeCell ref="B22:F22"/>
    <mergeCell ref="B17:F19"/>
    <mergeCell ref="B20:F20"/>
    <mergeCell ref="A3:F3"/>
    <mergeCell ref="C5:F5"/>
    <mergeCell ref="B6:C6"/>
    <mergeCell ref="C15:F15"/>
    <mergeCell ref="B25:C25"/>
    <mergeCell ref="D23:F23"/>
    <mergeCell ref="B27:C27"/>
    <mergeCell ref="B28:C28"/>
    <mergeCell ref="D29:F29"/>
    <mergeCell ref="B23:C23"/>
    <mergeCell ref="B24:C24"/>
  </mergeCells>
  <pageMargins left="0.75" right="0.77" top="0.62" bottom="0.61" header="0.39" footer="0.32"/>
  <pageSetup scale="73" fitToHeight="3" orientation="portrait" r:id="rId13"/>
  <headerFooter alignWithMargins="0">
    <oddFooter>&amp;R&amp;"Book Antiqua,Bold"&amp;8Bid Form (1st Envelope)  / Page &amp;P of &amp;N</oddFooter>
  </headerFooter>
  <rowBreaks count="1" manualBreakCount="1">
    <brk id="48" max="5" man="1"/>
  </rowBreak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tabSelected="1" view="pageBreakPreview" zoomScaleSheetLayoutView="100" workbookViewId="0">
      <selection activeCell="B2" sqref="B2:E2"/>
    </sheetView>
  </sheetViews>
  <sheetFormatPr defaultColWidth="9.109375" defaultRowHeight="13.8"/>
  <cols>
    <col min="1" max="1" width="9.88671875" style="40" customWidth="1"/>
    <col min="2" max="2" width="12.6640625" style="40" customWidth="1"/>
    <col min="3" max="4" width="44.109375" style="40" customWidth="1"/>
    <col min="5" max="5" width="12.88671875" style="40" customWidth="1"/>
    <col min="6" max="6" width="9.88671875" style="28" customWidth="1"/>
    <col min="7" max="7" width="9.109375" style="28" customWidth="1"/>
    <col min="8" max="8" width="23.109375" style="28" customWidth="1"/>
    <col min="9" max="9" width="9.109375" style="28" customWidth="1"/>
    <col min="10" max="16384" width="9.109375" style="24"/>
  </cols>
  <sheetData>
    <row r="1" spans="1:10" ht="30.75" customHeight="1">
      <c r="A1" s="20"/>
      <c r="B1" s="565"/>
      <c r="C1" s="566"/>
      <c r="D1" s="566"/>
      <c r="E1" s="567"/>
      <c r="F1" s="21"/>
      <c r="G1" s="556"/>
      <c r="H1" s="557"/>
      <c r="I1" s="22"/>
      <c r="J1" s="23"/>
    </row>
    <row r="2" spans="1:10" ht="93" customHeight="1">
      <c r="A2" s="568" t="s">
        <v>43</v>
      </c>
      <c r="B2" s="571" t="str">
        <f>Basic!B1</f>
        <v>Reconductoring Package - OH01 for (i) Reconductoring of 220kV Hisar (PG)-Hisar (IA) D/c line associated with ‘Reconductoring of 220kV Hisar (PG) – Hisar (IA) S/c line’; and (ii) Reconductoring of 400 kV S/c (TWIN ACSR MOOSE) Raichur – Veltoor (Mahabubnagar) line with TWIN HTLS conductor associated with ‘Reconductoring of Raichur – Veltoor (Mahabubnagar) 400kV S/c line with HTLS conductor’.</v>
      </c>
      <c r="C2" s="572"/>
      <c r="D2" s="572"/>
      <c r="E2" s="573"/>
      <c r="F2" s="568" t="s">
        <v>485</v>
      </c>
      <c r="G2" s="22"/>
      <c r="H2" s="22"/>
      <c r="I2" s="22"/>
      <c r="J2" s="23"/>
    </row>
    <row r="3" spans="1:10" ht="23.25" customHeight="1">
      <c r="A3" s="569"/>
      <c r="B3" s="574" t="str">
        <f>Basic!B5</f>
        <v>CC/NT/W-COND/DOM/A04/24/05656</v>
      </c>
      <c r="C3" s="575"/>
      <c r="D3" s="575"/>
      <c r="E3" s="576"/>
      <c r="F3" s="569"/>
      <c r="G3" s="22"/>
      <c r="H3" s="22"/>
      <c r="I3" s="22"/>
      <c r="J3" s="23"/>
    </row>
    <row r="4" spans="1:10" ht="39.9" customHeight="1">
      <c r="A4" s="569"/>
      <c r="B4" s="25">
        <v>1</v>
      </c>
      <c r="C4" s="577" t="s">
        <v>44</v>
      </c>
      <c r="D4" s="577"/>
      <c r="E4" s="578"/>
      <c r="F4" s="569"/>
      <c r="G4" s="26"/>
      <c r="H4" s="27" t="s">
        <v>45</v>
      </c>
      <c r="I4" s="22"/>
      <c r="J4" s="23"/>
    </row>
    <row r="5" spans="1:10" ht="30" customHeight="1">
      <c r="A5" s="569"/>
      <c r="B5" s="25">
        <v>2</v>
      </c>
      <c r="C5" s="577" t="s">
        <v>46</v>
      </c>
      <c r="D5" s="577"/>
      <c r="E5" s="578"/>
      <c r="F5" s="569"/>
      <c r="G5" s="22"/>
      <c r="H5" s="22"/>
      <c r="I5" s="22"/>
      <c r="J5" s="23"/>
    </row>
    <row r="6" spans="1:10" s="28" customFormat="1" ht="30" customHeight="1">
      <c r="A6" s="569"/>
      <c r="B6" s="25">
        <v>3</v>
      </c>
      <c r="C6" s="577" t="s">
        <v>47</v>
      </c>
      <c r="D6" s="577"/>
      <c r="E6" s="578"/>
      <c r="F6" s="569"/>
      <c r="G6" s="22"/>
      <c r="H6" s="22"/>
      <c r="I6" s="22"/>
      <c r="J6" s="22"/>
    </row>
    <row r="7" spans="1:10" ht="52.5" hidden="1" customHeight="1">
      <c r="A7" s="569"/>
      <c r="B7" s="25">
        <v>4</v>
      </c>
      <c r="C7" s="577" t="s">
        <v>48</v>
      </c>
      <c r="D7" s="577"/>
      <c r="E7" s="578"/>
      <c r="F7" s="569"/>
      <c r="G7" s="22"/>
      <c r="H7" s="22"/>
      <c r="I7" s="22"/>
      <c r="J7" s="23"/>
    </row>
    <row r="8" spans="1:10" ht="9.75" customHeight="1">
      <c r="A8" s="569"/>
      <c r="B8" s="29"/>
      <c r="C8" s="30"/>
      <c r="D8" s="30"/>
      <c r="E8" s="31"/>
      <c r="F8" s="569"/>
      <c r="G8" s="22"/>
      <c r="H8" s="22"/>
      <c r="I8" s="22"/>
      <c r="J8" s="23"/>
    </row>
    <row r="9" spans="1:10" ht="23.25" customHeight="1">
      <c r="A9" s="569"/>
      <c r="B9" s="579"/>
      <c r="C9" s="580"/>
      <c r="D9" s="580"/>
      <c r="E9" s="581"/>
      <c r="F9" s="569"/>
      <c r="G9" s="22"/>
      <c r="H9" s="22"/>
      <c r="I9" s="22"/>
      <c r="J9" s="23"/>
    </row>
    <row r="10" spans="1:10" ht="10.5" customHeight="1">
      <c r="A10" s="569"/>
      <c r="B10" s="32"/>
      <c r="C10" s="33"/>
      <c r="D10" s="33"/>
      <c r="E10" s="34"/>
      <c r="F10" s="569"/>
      <c r="G10" s="22"/>
      <c r="H10" s="22"/>
      <c r="I10" s="22"/>
      <c r="J10" s="23"/>
    </row>
    <row r="11" spans="1:10" ht="24" customHeight="1">
      <c r="A11" s="569"/>
      <c r="B11" s="582" t="s">
        <v>49</v>
      </c>
      <c r="C11" s="583"/>
      <c r="D11" s="583"/>
      <c r="E11" s="35"/>
      <c r="F11" s="569"/>
    </row>
    <row r="12" spans="1:10" ht="15.9" customHeight="1">
      <c r="A12" s="570"/>
      <c r="B12" s="584" t="s">
        <v>50</v>
      </c>
      <c r="C12" s="585"/>
      <c r="D12" s="585"/>
      <c r="E12" s="36"/>
      <c r="F12" s="570"/>
      <c r="G12" s="22"/>
      <c r="H12" s="22"/>
      <c r="I12" s="22"/>
      <c r="J12" s="23"/>
    </row>
    <row r="13" spans="1:10" ht="24" customHeight="1">
      <c r="A13" s="559"/>
      <c r="B13" s="560" t="s">
        <v>51</v>
      </c>
      <c r="C13" s="561"/>
      <c r="D13" s="561"/>
      <c r="E13" s="35"/>
      <c r="F13" s="562"/>
      <c r="G13" s="37"/>
      <c r="H13" s="37"/>
      <c r="I13" s="37"/>
      <c r="J13" s="37"/>
    </row>
    <row r="14" spans="1:10" ht="15.9" customHeight="1">
      <c r="A14" s="559"/>
      <c r="B14" s="563" t="s">
        <v>52</v>
      </c>
      <c r="C14" s="564"/>
      <c r="D14" s="564"/>
      <c r="E14" s="38"/>
      <c r="F14" s="562"/>
      <c r="G14" s="37"/>
      <c r="H14" s="37"/>
      <c r="I14" s="37"/>
      <c r="J14" s="37"/>
    </row>
    <row r="15" spans="1:10" ht="15.6">
      <c r="A15" s="30"/>
      <c r="B15" s="39"/>
      <c r="C15" s="39"/>
      <c r="D15" s="39"/>
      <c r="E15" s="39"/>
      <c r="F15" s="22"/>
      <c r="G15" s="22"/>
      <c r="H15" s="22"/>
      <c r="I15" s="22"/>
      <c r="J15" s="23"/>
    </row>
    <row r="16" spans="1:10" ht="15.6">
      <c r="A16" s="30"/>
      <c r="B16" s="30"/>
      <c r="C16" s="30"/>
      <c r="D16" s="30"/>
      <c r="E16" s="30"/>
      <c r="F16" s="22"/>
      <c r="G16" s="22"/>
      <c r="H16" s="22"/>
      <c r="I16" s="22"/>
      <c r="J16" s="23"/>
    </row>
    <row r="17" spans="1:10" ht="15.6">
      <c r="A17" s="30"/>
      <c r="B17" s="30"/>
      <c r="C17" s="30"/>
      <c r="D17" s="30"/>
      <c r="E17" s="30"/>
      <c r="F17" s="22"/>
      <c r="G17" s="22"/>
      <c r="H17" s="22"/>
      <c r="I17" s="22"/>
      <c r="J17" s="23"/>
    </row>
  </sheetData>
  <sheetProtection algorithmName="SHA-512" hashValue="wANShZ7iiVVHOHe5c5QzfOY5c/RDt8QAFu+E+4xsVugMgAR3Xm6pLHWf4k2olzD918C4uouSAX2ihsnuC76fsA==" saltValue="glA6ur3Qi1jRpp2y6TEdAQ==" spinCount="100000" sheet="1" selectLockedCells="1"/>
  <customSheetViews>
    <customSheetView guid="{8BA4A88A-5522-45F5-A82B-CD7725CE50B1}" showPageBreaks="1" showGridLines="0" printArea="1" hiddenRows="1" view="pageBreakPreview">
      <selection activeCell="G2" sqref="G2"/>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889C3D82-0A24-4765-A688-A80A782F5056}" scale="130" showPageBreaks="1" showGridLines="0" printArea="1" hiddenRows="1" view="pageBreakPreview">
      <selection activeCell="G2" sqref="G2"/>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89CB4E6A-722E-4E39-885D-E2A6D0D08321}" scale="130" showPageBreaks="1" showGridLines="0" printArea="1" hiddenRows="1" view="pageBreakPreview">
      <selection activeCell="G2" sqref="G2"/>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915C64AD-BD67-44F0-9117-5B9D998BA799}"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18EA11B4-BD82-47BF-99FA-7AB19BF74D0B}"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A58DB4DF-40C7-4BEB-B85E-6BD6F54941C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3"/>
  <headerFooter alignWithMargins="0"/>
  <drawing r:id="rId1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4.4"/>
  <cols>
    <col min="1" max="1" width="12.33203125" bestFit="1" customWidth="1"/>
    <col min="2" max="2" width="34.33203125" customWidth="1"/>
    <col min="3" max="3" width="12.44140625" customWidth="1"/>
    <col min="4" max="4" width="18" bestFit="1" customWidth="1"/>
    <col min="5" max="5" width="10.33203125" bestFit="1" customWidth="1"/>
    <col min="6" max="6" width="22" customWidth="1"/>
    <col min="7" max="7" width="7.44140625" bestFit="1" customWidth="1"/>
    <col min="8" max="8" width="17.109375" customWidth="1"/>
    <col min="9" max="9" width="19.88671875" customWidth="1"/>
  </cols>
  <sheetData>
    <row r="1" spans="1:9">
      <c r="A1" t="s">
        <v>274</v>
      </c>
    </row>
    <row r="2" spans="1:9" ht="15.6">
      <c r="A2" s="289"/>
      <c r="B2" s="290"/>
      <c r="C2" s="291"/>
      <c r="D2" s="292"/>
      <c r="E2" s="293"/>
      <c r="F2" s="336"/>
      <c r="G2" s="336"/>
      <c r="H2" s="274"/>
      <c r="I2" s="294"/>
    </row>
    <row r="3" spans="1:9" ht="15.6">
      <c r="A3" s="263"/>
      <c r="B3" s="264" t="s">
        <v>261</v>
      </c>
      <c r="C3" s="265"/>
      <c r="D3" s="266"/>
      <c r="E3" s="295"/>
      <c r="F3" s="336"/>
      <c r="G3" s="336"/>
      <c r="H3" s="296">
        <f>SUMIF(I1:I2,"Direct",H1:H2)</f>
        <v>0</v>
      </c>
      <c r="I3" s="267"/>
    </row>
    <row r="4" spans="1:9" ht="31.2">
      <c r="A4" s="263"/>
      <c r="B4" s="264" t="s">
        <v>262</v>
      </c>
      <c r="C4" s="265"/>
      <c r="D4" s="266"/>
      <c r="E4" s="295"/>
      <c r="F4" s="336"/>
      <c r="G4" s="336"/>
      <c r="H4" s="296">
        <f>SUMIF(J1:J2,"Bought-Out",H1:H2)</f>
        <v>0</v>
      </c>
      <c r="I4" s="267"/>
    </row>
    <row r="5" spans="1:9" ht="15.6">
      <c r="A5" s="268"/>
      <c r="B5" s="264" t="s">
        <v>263</v>
      </c>
      <c r="C5" s="269"/>
      <c r="D5" s="270"/>
      <c r="E5" s="271"/>
      <c r="F5" s="271"/>
      <c r="G5" s="271"/>
      <c r="H5" s="297">
        <f>H3+H4</f>
        <v>0</v>
      </c>
      <c r="I5" s="272"/>
    </row>
    <row r="6" spans="1:9" ht="15.6">
      <c r="A6" s="273"/>
      <c r="B6" s="741" t="s">
        <v>264</v>
      </c>
      <c r="C6" s="741"/>
      <c r="D6" s="741"/>
      <c r="E6" s="274"/>
      <c r="F6" s="336"/>
      <c r="G6" s="336"/>
      <c r="H6" s="296" t="e">
        <f>'Sch-7'!#REF!</f>
        <v>#REF!</v>
      </c>
      <c r="I6" s="275"/>
    </row>
    <row r="7" spans="1:9" ht="16.2" thickBot="1">
      <c r="A7" s="276"/>
      <c r="B7" s="742" t="s">
        <v>265</v>
      </c>
      <c r="C7" s="742"/>
      <c r="D7" s="742"/>
      <c r="E7" s="277"/>
      <c r="F7" s="277"/>
      <c r="G7" s="277"/>
      <c r="H7" s="298" t="e">
        <f>H5+H6</f>
        <v>#REF!</v>
      </c>
      <c r="I7" s="278"/>
    </row>
    <row r="8" spans="1:9" ht="15.6">
      <c r="A8" s="743"/>
      <c r="B8" s="743"/>
      <c r="C8" s="743"/>
      <c r="D8" s="743"/>
      <c r="E8" s="743"/>
      <c r="F8" s="743"/>
      <c r="G8" s="743"/>
    </row>
    <row r="9" spans="1:9" ht="15.6">
      <c r="A9" s="2"/>
      <c r="B9" s="740"/>
      <c r="C9" s="740"/>
      <c r="D9" s="740"/>
      <c r="E9" s="740"/>
      <c r="F9" s="740"/>
      <c r="G9" s="740"/>
    </row>
    <row r="10" spans="1:9" ht="15.6">
      <c r="A10" s="279"/>
      <c r="B10" s="279"/>
      <c r="C10" s="279"/>
      <c r="D10" s="279"/>
      <c r="E10" s="279"/>
      <c r="F10" s="279"/>
      <c r="G10" s="279"/>
    </row>
    <row r="11" spans="1:9" ht="90" customHeight="1">
      <c r="A11" s="280" t="s">
        <v>266</v>
      </c>
      <c r="B11" s="744" t="s">
        <v>267</v>
      </c>
      <c r="C11" s="744"/>
      <c r="D11" s="744"/>
      <c r="E11" s="744"/>
      <c r="F11" s="744"/>
      <c r="G11" s="744"/>
      <c r="H11" s="744"/>
      <c r="I11" s="744"/>
    </row>
    <row r="12" spans="1:9" ht="116.25" customHeight="1">
      <c r="A12" s="281" t="s">
        <v>268</v>
      </c>
      <c r="B12" s="611" t="s">
        <v>269</v>
      </c>
      <c r="C12" s="611"/>
      <c r="D12" s="611"/>
      <c r="E12" s="611"/>
      <c r="F12" s="611"/>
      <c r="G12" s="611"/>
      <c r="H12" s="611"/>
      <c r="I12" s="611"/>
    </row>
    <row r="13" spans="1:9" ht="15.6">
      <c r="A13" s="281"/>
      <c r="B13" s="611"/>
      <c r="C13" s="611"/>
      <c r="D13" s="611"/>
      <c r="E13" s="611"/>
      <c r="F13" s="611"/>
      <c r="G13" s="611"/>
    </row>
    <row r="14" spans="1:9" ht="15.6">
      <c r="A14" s="282" t="s">
        <v>161</v>
      </c>
      <c r="B14" s="283" t="str">
        <f>'Names of Bidder'!C$22&amp;"-"&amp; 'Names of Bidder'!D$22&amp;"-" &amp;'Names of Bidder'!E$22</f>
        <v>--</v>
      </c>
      <c r="C14" s="284"/>
      <c r="D14" s="285"/>
      <c r="E14" s="1"/>
      <c r="F14" s="1"/>
      <c r="G14" s="286"/>
    </row>
    <row r="15" spans="1:9" ht="15.6">
      <c r="A15" s="282" t="s">
        <v>162</v>
      </c>
      <c r="B15" s="283" t="str">
        <f>IF('Names of Bidder'!C$23=0, "", 'Names of Bidder'!C$23)</f>
        <v/>
      </c>
      <c r="C15" s="1"/>
      <c r="D15" s="285" t="s">
        <v>143</v>
      </c>
      <c r="E15" s="286" t="str">
        <f>IF('Names of Bidder'!C$19=0, "", 'Names of Bidder'!C$19)</f>
        <v/>
      </c>
      <c r="F15" s="1"/>
      <c r="G15" s="283" t="str">
        <f>'[6]Names of Bidder'!I14&amp;"-"&amp; '[6]Names of Bidder'!J14&amp;"-" &amp;'[6]Names of Bidder'!K14</f>
        <v>--</v>
      </c>
    </row>
    <row r="16" spans="1:9" ht="15.6">
      <c r="A16" s="287"/>
      <c r="B16" s="288"/>
      <c r="C16" s="4"/>
      <c r="D16" s="285" t="s">
        <v>145</v>
      </c>
      <c r="E16" s="286" t="str">
        <f>IF('Names of Bidder'!C$20=0, "", 'Names of Bidder'!C$20)</f>
        <v/>
      </c>
      <c r="F16" s="4"/>
      <c r="G16" s="4"/>
    </row>
    <row r="18" spans="1:11">
      <c r="A18" t="s">
        <v>275</v>
      </c>
    </row>
    <row r="20" spans="1:11" ht="16.2" thickBot="1">
      <c r="A20" s="299"/>
      <c r="B20" s="300" t="s">
        <v>276</v>
      </c>
      <c r="C20" s="301"/>
      <c r="D20" s="300"/>
      <c r="E20" s="277"/>
      <c r="F20" s="277"/>
      <c r="G20" s="277"/>
      <c r="H20" s="302" t="s">
        <v>290</v>
      </c>
    </row>
    <row r="21" spans="1:11" ht="16.2" thickBot="1">
      <c r="A21" s="303"/>
      <c r="B21" s="737"/>
      <c r="C21" s="737"/>
      <c r="D21" s="737"/>
      <c r="E21" s="737"/>
      <c r="F21" s="737"/>
    </row>
    <row r="22" spans="1:11" ht="15.6">
      <c r="A22" s="304"/>
      <c r="B22" s="738"/>
      <c r="C22" s="738"/>
      <c r="D22" s="738"/>
      <c r="E22" s="738"/>
      <c r="F22" s="738"/>
    </row>
    <row r="23" spans="1:11" ht="15.6">
      <c r="A23" s="282" t="s">
        <v>161</v>
      </c>
      <c r="B23" s="283" t="s">
        <v>255</v>
      </c>
      <c r="C23" s="305"/>
      <c r="D23" s="285"/>
      <c r="E23" s="1"/>
      <c r="F23" s="1"/>
    </row>
    <row r="24" spans="1:11" ht="15.6">
      <c r="A24" s="282" t="s">
        <v>162</v>
      </c>
      <c r="B24" s="283" t="s">
        <v>256</v>
      </c>
      <c r="C24" s="2"/>
      <c r="D24" s="285" t="s">
        <v>143</v>
      </c>
      <c r="E24" s="286" t="s">
        <v>277</v>
      </c>
      <c r="F24" s="1"/>
    </row>
    <row r="25" spans="1:11" ht="15.6">
      <c r="A25" s="287"/>
      <c r="B25" s="288"/>
      <c r="C25" s="287"/>
      <c r="D25" s="285" t="s">
        <v>145</v>
      </c>
      <c r="E25" s="286" t="s">
        <v>278</v>
      </c>
      <c r="F25" s="4"/>
    </row>
    <row r="27" spans="1:11">
      <c r="A27" t="s">
        <v>279</v>
      </c>
    </row>
    <row r="29" spans="1:11" ht="15.6">
      <c r="A29" s="306"/>
      <c r="B29" s="307" t="s">
        <v>280</v>
      </c>
      <c r="C29" s="307"/>
      <c r="D29" s="307"/>
      <c r="E29" s="308"/>
      <c r="F29" s="308"/>
      <c r="G29" s="308"/>
      <c r="H29" s="308"/>
      <c r="I29" s="308"/>
      <c r="J29" s="308"/>
      <c r="K29" s="309" t="e">
        <f>SUM(#REF!)</f>
        <v>#REF!</v>
      </c>
    </row>
    <row r="30" spans="1:11" ht="15.6">
      <c r="A30" s="304"/>
      <c r="B30" s="739"/>
      <c r="C30" s="740"/>
      <c r="D30" s="740"/>
      <c r="E30" s="740"/>
      <c r="F30" s="740"/>
      <c r="G30" s="740"/>
    </row>
    <row r="31" spans="1:11" ht="15.6">
      <c r="A31" s="310" t="s">
        <v>161</v>
      </c>
      <c r="B31" s="311" t="s">
        <v>255</v>
      </c>
      <c r="C31" s="312"/>
      <c r="D31" s="313"/>
      <c r="E31" s="314"/>
      <c r="F31" s="314"/>
      <c r="G31" s="4"/>
    </row>
    <row r="32" spans="1:11" ht="15.6">
      <c r="A32" s="310" t="s">
        <v>162</v>
      </c>
      <c r="B32" s="311" t="s">
        <v>256</v>
      </c>
      <c r="C32" s="314"/>
      <c r="D32" s="313" t="s">
        <v>143</v>
      </c>
      <c r="E32" s="315" t="s">
        <v>277</v>
      </c>
      <c r="F32" s="314"/>
      <c r="G32" s="4"/>
    </row>
    <row r="33" spans="1:8" ht="15.6">
      <c r="A33" s="316"/>
      <c r="B33" s="317"/>
      <c r="C33" s="318"/>
      <c r="D33" s="313" t="s">
        <v>145</v>
      </c>
      <c r="E33" s="315" t="s">
        <v>278</v>
      </c>
      <c r="F33" s="318"/>
      <c r="G33" s="4"/>
    </row>
    <row r="35" spans="1:8">
      <c r="A35" t="s">
        <v>283</v>
      </c>
    </row>
    <row r="37" spans="1:8">
      <c r="A37" s="319" t="s">
        <v>161</v>
      </c>
      <c r="B37" s="320" t="s">
        <v>253</v>
      </c>
      <c r="C37" s="321"/>
      <c r="D37" s="677" t="s">
        <v>281</v>
      </c>
      <c r="E37" s="677"/>
      <c r="F37" s="736"/>
    </row>
    <row r="38" spans="1:8">
      <c r="A38" s="319" t="s">
        <v>162</v>
      </c>
      <c r="B38" s="320" t="s">
        <v>254</v>
      </c>
      <c r="C38" s="9"/>
      <c r="D38" s="677" t="s">
        <v>282</v>
      </c>
      <c r="E38" s="677"/>
      <c r="F38" s="736"/>
    </row>
    <row r="40" spans="1:8">
      <c r="A40" t="s">
        <v>284</v>
      </c>
    </row>
    <row r="42" spans="1:8" ht="15.6">
      <c r="A42" s="322"/>
      <c r="B42" s="323" t="s">
        <v>285</v>
      </c>
      <c r="C42" s="323"/>
      <c r="D42" s="323"/>
      <c r="E42" s="323"/>
      <c r="F42" s="323"/>
      <c r="G42" s="323"/>
      <c r="H42" s="324" t="s">
        <v>291</v>
      </c>
    </row>
    <row r="43" spans="1:8">
      <c r="A43" s="325"/>
      <c r="B43" s="326"/>
      <c r="C43" s="326"/>
      <c r="D43" s="326"/>
      <c r="E43" s="326"/>
      <c r="F43" s="326"/>
      <c r="G43" s="327"/>
    </row>
    <row r="44" spans="1:8">
      <c r="A44" s="326"/>
      <c r="B44" s="326"/>
      <c r="C44" s="326"/>
      <c r="D44" s="326"/>
      <c r="E44" s="326"/>
      <c r="F44" s="326"/>
      <c r="G44" s="328"/>
    </row>
    <row r="45" spans="1:8">
      <c r="A45" s="676"/>
      <c r="B45" s="676"/>
      <c r="C45" s="676"/>
      <c r="D45" s="676"/>
      <c r="E45" s="676"/>
      <c r="F45" s="676"/>
      <c r="G45" s="676"/>
    </row>
    <row r="46" spans="1:8">
      <c r="A46" s="329"/>
      <c r="B46" s="329"/>
      <c r="C46" s="677"/>
      <c r="D46" s="677"/>
      <c r="E46" s="677"/>
      <c r="F46" s="677"/>
      <c r="G46" s="677"/>
    </row>
    <row r="47" spans="1:8">
      <c r="A47" s="330" t="s">
        <v>161</v>
      </c>
      <c r="B47" s="331" t="s">
        <v>255</v>
      </c>
      <c r="C47" s="677" t="s">
        <v>286</v>
      </c>
      <c r="D47" s="677"/>
      <c r="E47" s="677"/>
      <c r="F47" s="677"/>
      <c r="G47" s="677"/>
    </row>
    <row r="48" spans="1:8">
      <c r="A48" s="330" t="s">
        <v>162</v>
      </c>
      <c r="B48" s="332" t="s">
        <v>256</v>
      </c>
      <c r="C48" s="677" t="s">
        <v>287</v>
      </c>
      <c r="D48" s="677"/>
      <c r="E48" s="677"/>
      <c r="F48" s="677"/>
      <c r="G48" s="677"/>
    </row>
    <row r="49" spans="1:7">
      <c r="A49" s="8"/>
      <c r="B49" s="7"/>
      <c r="C49" s="677"/>
      <c r="D49" s="677"/>
      <c r="E49" s="677"/>
      <c r="F49" s="677"/>
      <c r="G49" s="677"/>
    </row>
    <row r="50" spans="1:7">
      <c r="A50" s="8"/>
      <c r="B50" s="7"/>
      <c r="C50" s="326"/>
      <c r="D50" s="326"/>
      <c r="E50" s="326"/>
      <c r="F50" s="326"/>
      <c r="G50" s="326"/>
    </row>
    <row r="51" spans="1:7">
      <c r="A51" s="333" t="s">
        <v>288</v>
      </c>
      <c r="B51" s="678" t="s">
        <v>289</v>
      </c>
      <c r="C51" s="678"/>
      <c r="D51" s="678"/>
      <c r="E51" s="678"/>
      <c r="F51" s="678"/>
      <c r="G51" s="334"/>
    </row>
    <row r="52" spans="1:7">
      <c r="A52" s="335"/>
      <c r="B52" s="11"/>
      <c r="C52" s="11"/>
      <c r="D52" s="11"/>
      <c r="E52" s="11"/>
      <c r="F52" s="11"/>
      <c r="G52" s="11"/>
    </row>
    <row r="60" spans="1:7">
      <c r="B60" t="s">
        <v>257</v>
      </c>
    </row>
    <row r="61" spans="1:7">
      <c r="B61" t="s">
        <v>258</v>
      </c>
    </row>
  </sheetData>
  <customSheetViews>
    <customSheetView guid="{8BA4A88A-5522-45F5-A82B-CD7725CE50B1}" state="hidden">
      <selection activeCell="H42" sqref="H42"/>
      <pageMargins left="0.7" right="0.7" top="0.75" bottom="0.75" header="0.3" footer="0.3"/>
    </customSheetView>
    <customSheetView guid="{889C3D82-0A24-4765-A688-A80A782F5056}" state="hidden">
      <selection activeCell="H42" sqref="H42"/>
      <pageMargins left="0.7" right="0.7" top="0.75" bottom="0.75" header="0.3" footer="0.3"/>
    </customSheetView>
    <customSheetView guid="{89CB4E6A-722E-4E39-885D-E2A6D0D08321}" state="hidden">
      <selection activeCell="H42" sqref="H42"/>
      <pageMargins left="0.7" right="0.7" top="0.75" bottom="0.75" header="0.3" footer="0.3"/>
    </customSheetView>
    <customSheetView guid="{915C64AD-BD67-44F0-9117-5B9D998BA799}" state="hidden">
      <selection activeCell="H42" sqref="H42"/>
      <pageMargins left="0.7" right="0.7" top="0.75" bottom="0.75" header="0.3" footer="0.3"/>
    </customSheetView>
    <customSheetView guid="{18EA11B4-BD82-47BF-99FA-7AB19BF74D0B}" state="hidden">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A58DB4DF-40C7-4BEB-B85E-6BD6F54941CF}" state="hidden">
      <selection activeCell="H42" sqref="H42"/>
      <pageMargins left="0.7" right="0.7" top="0.75" bottom="0.75" header="0.3" footer="0.3"/>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4.4"/>
  <sheetData/>
  <customSheetViews>
    <customSheetView guid="{8BA4A88A-5522-45F5-A82B-CD7725CE50B1}" state="hidden">
      <pageMargins left="0.7" right="0.7" top="0.75" bottom="0.75" header="0.3" footer="0.3"/>
    </customSheetView>
    <customSheetView guid="{889C3D82-0A24-4765-A688-A80A782F5056}" state="hidden">
      <pageMargins left="0.7" right="0.7" top="0.75" bottom="0.75" header="0.3" footer="0.3"/>
    </customSheetView>
    <customSheetView guid="{89CB4E6A-722E-4E39-885D-E2A6D0D08321}" state="hidden">
      <pageMargins left="0.7" right="0.7" top="0.75" bottom="0.75" header="0.3" footer="0.3"/>
    </customSheetView>
    <customSheetView guid="{915C64AD-BD67-44F0-9117-5B9D998BA799}" state="hidden">
      <pageMargins left="0.7" right="0.7" top="0.75" bottom="0.75" header="0.3" footer="0.3"/>
    </customSheetView>
    <customSheetView guid="{18EA11B4-BD82-47BF-99FA-7AB19BF74D0B}" state="hidden">
      <pageMargins left="0.7" right="0.7" top="0.75" bottom="0.75" header="0.3" footer="0.3"/>
    </customSheetView>
    <customSheetView guid="{CCA37BAE-906F-43D5-9FD9-B13563E4B9D7}"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A58DB4DF-40C7-4BEB-B85E-6BD6F54941CF}" state="hidden">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09375" defaultRowHeight="13.2"/>
  <cols>
    <col min="1" max="1" width="5.109375" style="518" hidden="1" customWidth="1"/>
    <col min="2" max="2" width="13.33203125" style="518" hidden="1" customWidth="1"/>
    <col min="3" max="3" width="0" style="518" hidden="1" customWidth="1"/>
    <col min="4" max="4" width="10.33203125" style="518" hidden="1" customWidth="1"/>
    <col min="5" max="5" width="3.44140625" style="518" hidden="1" customWidth="1"/>
    <col min="6" max="6" width="5.5546875" style="518" hidden="1" customWidth="1"/>
    <col min="7" max="7" width="11.44140625" style="518" hidden="1" customWidth="1"/>
    <col min="8" max="8" width="0" style="518" hidden="1" customWidth="1"/>
    <col min="9" max="9" width="10" style="518" hidden="1" customWidth="1"/>
    <col min="10" max="10" width="3.33203125" style="518" hidden="1" customWidth="1"/>
    <col min="11" max="11" width="5" style="518" hidden="1" customWidth="1"/>
    <col min="12" max="12" width="11.33203125" style="518" hidden="1" customWidth="1"/>
    <col min="13" max="13" width="0" style="518" hidden="1" customWidth="1"/>
    <col min="14" max="14" width="10.33203125" style="518" hidden="1" customWidth="1"/>
    <col min="15" max="15" width="3.6640625" style="518" hidden="1" customWidth="1"/>
    <col min="16" max="16" width="6.44140625" style="518" customWidth="1"/>
    <col min="17" max="17" width="14.88671875" style="518" customWidth="1"/>
    <col min="18" max="18" width="9.109375" style="518" customWidth="1"/>
    <col min="19" max="19" width="12" style="518" customWidth="1"/>
    <col min="20" max="20" width="3.33203125" style="518" hidden="1" customWidth="1"/>
    <col min="21" max="21" width="6.109375" style="518" hidden="1" customWidth="1"/>
    <col min="22" max="22" width="8.5546875" style="518" hidden="1" customWidth="1"/>
    <col min="23" max="23" width="8.44140625" style="518" hidden="1" customWidth="1"/>
    <col min="24" max="24" width="8.88671875" style="518" hidden="1" customWidth="1"/>
    <col min="25" max="116" width="0" style="518" hidden="1" customWidth="1"/>
    <col min="117" max="16384" width="9.109375" style="518"/>
  </cols>
  <sheetData>
    <row r="1" spans="1:27" ht="13.8" thickBot="1">
      <c r="A1" s="745" t="e">
        <v>#REF!</v>
      </c>
      <c r="B1" s="746"/>
      <c r="C1" s="499"/>
      <c r="D1" s="500"/>
      <c r="E1" s="499"/>
      <c r="F1" s="745">
        <v>0</v>
      </c>
      <c r="G1" s="746"/>
      <c r="H1" s="499"/>
      <c r="I1" s="500"/>
      <c r="K1" s="745" t="e">
        <v>#REF!</v>
      </c>
      <c r="L1" s="746"/>
      <c r="M1" s="499"/>
      <c r="N1" s="500"/>
      <c r="P1" s="745">
        <f>'Sch-6 (After Discount)'!D28</f>
        <v>0</v>
      </c>
      <c r="Q1" s="746"/>
      <c r="R1" s="499"/>
      <c r="S1" s="500"/>
      <c r="U1" s="521" t="e">
        <v>#REF!</v>
      </c>
    </row>
    <row r="2" spans="1:27">
      <c r="A2" s="747"/>
      <c r="B2" s="748"/>
      <c r="C2" s="499"/>
      <c r="D2" s="500"/>
      <c r="E2" s="499"/>
      <c r="F2" s="501"/>
      <c r="G2" s="499"/>
      <c r="H2" s="499"/>
      <c r="I2" s="500"/>
      <c r="K2" s="501"/>
      <c r="L2" s="499"/>
      <c r="M2" s="499"/>
      <c r="N2" s="500"/>
      <c r="P2" s="501"/>
      <c r="Q2" s="499"/>
      <c r="R2" s="499"/>
      <c r="S2" s="500"/>
      <c r="U2" s="521" t="e">
        <v>#REF!</v>
      </c>
    </row>
    <row r="3" spans="1:27">
      <c r="A3" s="501"/>
      <c r="B3" s="502"/>
      <c r="C3" s="502"/>
      <c r="D3" s="503"/>
      <c r="E3" s="502"/>
      <c r="F3" s="501"/>
      <c r="G3" s="502"/>
      <c r="H3" s="502"/>
      <c r="I3" s="503"/>
      <c r="K3" s="501"/>
      <c r="L3" s="502"/>
      <c r="M3" s="502"/>
      <c r="N3" s="503"/>
      <c r="P3" s="501"/>
      <c r="Q3" s="502"/>
      <c r="R3" s="502"/>
      <c r="S3" s="503"/>
      <c r="U3" s="521" t="s">
        <v>453</v>
      </c>
    </row>
    <row r="4" spans="1:27" ht="66.75" customHeight="1" thickBot="1">
      <c r="A4" s="755" t="e">
        <f>IF(OR((A1&gt;9999999999),(A1&lt;0)),"Invalid Entry - More than 1000 crore OR -ve value",IF(A1=0, "",+CONCATENATE(#REF!,B11,D11,B10,D10,B9,D9,B8,D8,B7,D7,B6," Only")))</f>
        <v>#REF!</v>
      </c>
      <c r="B4" s="756"/>
      <c r="C4" s="756"/>
      <c r="D4" s="757"/>
      <c r="E4" s="499"/>
      <c r="F4" s="755" t="str">
        <f>IF(OR((F1&gt;9999999999),(F1&lt;0)),"Invalid Entry - More than 1000 crore OR -ve value",IF(F1=0, "",+CONCATENATE(U1, G11,I11,G10,I10,G9,I9,G8,I8,G7,I7,G6," Only")))</f>
        <v/>
      </c>
      <c r="G4" s="756"/>
      <c r="H4" s="756"/>
      <c r="I4" s="757"/>
      <c r="J4" s="499"/>
      <c r="K4" s="755" t="e">
        <f>IF(OR((K1&gt;9999999999),(K1&lt;0)),"Invalid Entry - More than 1000 crore OR -ve value",IF(K1=0, "",+CONCATENATE(U2, L11,N11,L10,N10,L9,N9,L8,N8,L7,N7,L6," Only")))</f>
        <v>#REF!</v>
      </c>
      <c r="L4" s="756"/>
      <c r="M4" s="756"/>
      <c r="N4" s="757"/>
      <c r="P4" s="755" t="str">
        <f>IF(OR((P1&gt;9999999999),(P1&lt;0)),"Invalid Entry - More than 1000 crore OR -ve value",IF(P1=0, "",+CONCATENATE(U3, Q11,S11,Q10,S10,Q9,S9,Q8,S8,Q7,S7,Q6," Only")))</f>
        <v/>
      </c>
      <c r="Q4" s="756"/>
      <c r="R4" s="756"/>
      <c r="S4" s="757"/>
      <c r="U4" s="749" t="e">
        <f>VLOOKUP(1,T28:Y43,6,FALSE)</f>
        <v>#N/A</v>
      </c>
      <c r="V4" s="749"/>
      <c r="W4" s="749"/>
      <c r="X4" s="749"/>
      <c r="Y4" s="749"/>
      <c r="Z4" s="749"/>
      <c r="AA4" s="749"/>
    </row>
    <row r="5" spans="1:27" ht="18.75" customHeight="1" thickBot="1">
      <c r="A5" s="501"/>
      <c r="B5" s="502"/>
      <c r="C5" s="502"/>
      <c r="D5" s="503"/>
      <c r="E5" s="502"/>
      <c r="F5" s="501"/>
      <c r="G5" s="502"/>
      <c r="H5" s="502"/>
      <c r="I5" s="503"/>
      <c r="K5" s="501"/>
      <c r="L5" s="502"/>
      <c r="M5" s="502"/>
      <c r="N5" s="503"/>
      <c r="P5" s="501"/>
      <c r="Q5" s="502"/>
      <c r="R5" s="502"/>
      <c r="S5" s="503"/>
      <c r="U5" s="750" t="e">
        <f>VLOOKUP(1,T8:Y23,6,FALSE)</f>
        <v>#N/A</v>
      </c>
      <c r="V5" s="751"/>
      <c r="W5" s="751"/>
      <c r="X5" s="751"/>
      <c r="Y5" s="751"/>
      <c r="Z5" s="751"/>
      <c r="AA5" s="752"/>
    </row>
    <row r="6" spans="1:27">
      <c r="A6" s="504" t="e">
        <f>-INT(A1/100)*100+ROUND(A1,0)</f>
        <v>#REF!</v>
      </c>
      <c r="B6" s="502" t="e">
        <f t="shared" ref="B6:B11" si="0">IF(A6=0,"",LOOKUP(A6,$A$13:$A$112,$B$13:$B$112))</f>
        <v>#REF!</v>
      </c>
      <c r="C6" s="502"/>
      <c r="D6" s="505"/>
      <c r="E6" s="502"/>
      <c r="F6" s="504">
        <f>-INT(F1/100)*100+ROUND(F1,0)</f>
        <v>0</v>
      </c>
      <c r="G6" s="502" t="str">
        <f t="shared" ref="G6:G11" si="1">IF(F6=0,"",LOOKUP(F6,$A$13:$A$112,$B$13:$B$112))</f>
        <v/>
      </c>
      <c r="H6" s="502"/>
      <c r="I6" s="505"/>
      <c r="K6" s="504" t="e">
        <f>-INT(K1/100)*100+ROUND(K1,0)</f>
        <v>#REF!</v>
      </c>
      <c r="L6" s="502" t="e">
        <f t="shared" ref="L6:L11" si="2">IF(K6=0,"",LOOKUP(K6,$A$13:$A$112,$B$13:$B$112))</f>
        <v>#REF!</v>
      </c>
      <c r="M6" s="502"/>
      <c r="N6" s="505"/>
      <c r="P6" s="504">
        <f>-INT(P1/100)*100+ROUND(P1,0)</f>
        <v>0</v>
      </c>
      <c r="Q6" s="502" t="str">
        <f t="shared" ref="Q6:Q11" si="3">IF(P6=0,"",LOOKUP(P6,$A$13:$A$112,$B$13:$B$112))</f>
        <v/>
      </c>
      <c r="R6" s="502"/>
      <c r="S6" s="505"/>
    </row>
    <row r="7" spans="1:27">
      <c r="A7" s="504" t="e">
        <f>-INT(A1/1000)*10+INT(A1/100)</f>
        <v>#REF!</v>
      </c>
      <c r="B7" s="502" t="e">
        <f t="shared" si="0"/>
        <v>#REF!</v>
      </c>
      <c r="C7" s="502"/>
      <c r="D7" s="505" t="e">
        <f>+IF(B7="",""," Hundred ")</f>
        <v>#REF!</v>
      </c>
      <c r="E7" s="502"/>
      <c r="F7" s="504">
        <f>-INT(F1/1000)*10+INT(F1/100)</f>
        <v>0</v>
      </c>
      <c r="G7" s="502" t="str">
        <f t="shared" si="1"/>
        <v/>
      </c>
      <c r="H7" s="502"/>
      <c r="I7" s="505" t="str">
        <f>+IF(G7="",""," Hundred ")</f>
        <v/>
      </c>
      <c r="K7" s="504" t="e">
        <f>-INT(K1/1000)*10+INT(K1/100)</f>
        <v>#REF!</v>
      </c>
      <c r="L7" s="502" t="e">
        <f t="shared" si="2"/>
        <v>#REF!</v>
      </c>
      <c r="M7" s="502"/>
      <c r="N7" s="505" t="e">
        <f>+IF(L7="",""," Hundred ")</f>
        <v>#REF!</v>
      </c>
      <c r="P7" s="504">
        <f>-INT(P1/1000)*10+INT(P1/100)</f>
        <v>0</v>
      </c>
      <c r="Q7" s="502" t="str">
        <f t="shared" si="3"/>
        <v/>
      </c>
      <c r="R7" s="502"/>
      <c r="S7" s="505" t="str">
        <f>+IF(Q7="",""," Hundred ")</f>
        <v/>
      </c>
    </row>
    <row r="8" spans="1:27">
      <c r="A8" s="504" t="e">
        <f>-INT(A1/100000)*100+INT(A1/1000)</f>
        <v>#REF!</v>
      </c>
      <c r="B8" s="502" t="e">
        <f t="shared" si="0"/>
        <v>#REF!</v>
      </c>
      <c r="C8" s="502"/>
      <c r="D8" s="505" t="e">
        <f>IF((B8=""),IF(C8="",""," Thousand ")," Thousand ")</f>
        <v>#REF!</v>
      </c>
      <c r="E8" s="502"/>
      <c r="F8" s="504">
        <f>-INT(F1/100000)*100+INT(F1/1000)</f>
        <v>0</v>
      </c>
      <c r="G8" s="502" t="str">
        <f t="shared" si="1"/>
        <v/>
      </c>
      <c r="H8" s="502"/>
      <c r="I8" s="505" t="str">
        <f>IF((G8=""),IF(H8="",""," Thousand ")," Thousand ")</f>
        <v/>
      </c>
      <c r="K8" s="504" t="e">
        <f>-INT(K1/100000)*100+INT(K1/1000)</f>
        <v>#REF!</v>
      </c>
      <c r="L8" s="502" t="e">
        <f t="shared" si="2"/>
        <v>#REF!</v>
      </c>
      <c r="M8" s="502"/>
      <c r="N8" s="505" t="e">
        <f>IF((L8=""),IF(M8="",""," Thousand ")," Thousand ")</f>
        <v>#REF!</v>
      </c>
      <c r="P8" s="504">
        <f>-INT(P1/100000)*100+INT(P1/1000)</f>
        <v>0</v>
      </c>
      <c r="Q8" s="502" t="str">
        <f t="shared" si="3"/>
        <v/>
      </c>
      <c r="R8" s="502"/>
      <c r="S8" s="505" t="str">
        <f>IF((Q8=""),IF(R8="",""," Thousand ")," Thousand ")</f>
        <v/>
      </c>
      <c r="T8" s="522" t="e">
        <f>IF(Y8="",0, 1)</f>
        <v>#REF!</v>
      </c>
      <c r="U8" s="518">
        <v>0</v>
      </c>
      <c r="V8" s="518">
        <v>0</v>
      </c>
      <c r="W8" s="518">
        <v>0</v>
      </c>
      <c r="X8" s="518">
        <v>0</v>
      </c>
      <c r="Y8" s="523" t="e">
        <f>IF(AND($A$1=0,$F$1=0,$K$1=0,$P$1=0)," Zero only", "")</f>
        <v>#REF!</v>
      </c>
      <c r="AA8" s="518" t="s">
        <v>454</v>
      </c>
    </row>
    <row r="9" spans="1:27">
      <c r="A9" s="504" t="e">
        <f>-INT(A1/10000000)*100+INT(A1/100000)</f>
        <v>#REF!</v>
      </c>
      <c r="B9" s="502" t="e">
        <f t="shared" si="0"/>
        <v>#REF!</v>
      </c>
      <c r="C9" s="502"/>
      <c r="D9" s="505" t="e">
        <f>IF((B9=""),IF(C9="",""," Lac ")," Lac ")</f>
        <v>#REF!</v>
      </c>
      <c r="E9" s="502"/>
      <c r="F9" s="504">
        <f>-INT(F1/10000000)*100+INT(F1/100000)</f>
        <v>0</v>
      </c>
      <c r="G9" s="502" t="str">
        <f t="shared" si="1"/>
        <v/>
      </c>
      <c r="H9" s="502"/>
      <c r="I9" s="505" t="str">
        <f>IF((G9=""),IF(H9="",""," Lac ")," Lac ")</f>
        <v/>
      </c>
      <c r="K9" s="504" t="e">
        <f>-INT(K1/10000000)*100+INT(K1/100000)</f>
        <v>#REF!</v>
      </c>
      <c r="L9" s="502" t="e">
        <f t="shared" si="2"/>
        <v>#REF!</v>
      </c>
      <c r="M9" s="502"/>
      <c r="N9" s="505" t="e">
        <f>IF((L9=""),IF(M9="",""," Lac ")," Lac ")</f>
        <v>#REF!</v>
      </c>
      <c r="P9" s="504">
        <f>-INT(P1/10000000)*100+INT(P1/100000)</f>
        <v>0</v>
      </c>
      <c r="Q9" s="502" t="str">
        <f t="shared" si="3"/>
        <v/>
      </c>
      <c r="R9" s="502"/>
      <c r="S9" s="505" t="str">
        <f>IF((Q9=""),IF(R9="",""," Lac ")," Lac ")</f>
        <v/>
      </c>
      <c r="T9" s="522" t="e">
        <f t="shared" ref="T9:T23" si="4">IF(Y9="",0, 1)</f>
        <v>#REF!</v>
      </c>
      <c r="U9" s="518">
        <v>0</v>
      </c>
      <c r="V9" s="518">
        <v>0</v>
      </c>
      <c r="W9" s="518">
        <v>0</v>
      </c>
      <c r="X9" s="518">
        <v>1</v>
      </c>
      <c r="Y9" s="524" t="e">
        <f>IF(AND($A$1=0,$F$1=0,$K$1=0,$P$1&gt;0),$P$4, "")</f>
        <v>#REF!</v>
      </c>
    </row>
    <row r="10" spans="1:27">
      <c r="A10" s="504" t="e">
        <f>-INT(A1/1000000000)*100+INT(A1/10000000)</f>
        <v>#REF!</v>
      </c>
      <c r="B10" s="506" t="e">
        <f t="shared" si="0"/>
        <v>#REF!</v>
      </c>
      <c r="C10" s="502"/>
      <c r="D10" s="505" t="e">
        <f>IF((B10=""),IF(C10="",""," Crore ")," Crore ")</f>
        <v>#REF!</v>
      </c>
      <c r="E10" s="502"/>
      <c r="F10" s="504">
        <f>-INT(F1/1000000000)*100+INT(F1/10000000)</f>
        <v>0</v>
      </c>
      <c r="G10" s="506" t="str">
        <f t="shared" si="1"/>
        <v/>
      </c>
      <c r="H10" s="502"/>
      <c r="I10" s="505" t="str">
        <f>IF((G10=""),IF(H10="",""," Crore ")," Crore ")</f>
        <v/>
      </c>
      <c r="K10" s="504" t="e">
        <f>-INT(K1/1000000000)*100+INT(K1/10000000)</f>
        <v>#REF!</v>
      </c>
      <c r="L10" s="506" t="e">
        <f t="shared" si="2"/>
        <v>#REF!</v>
      </c>
      <c r="M10" s="502"/>
      <c r="N10" s="505" t="e">
        <f>IF((L10=""),IF(M10="",""," Crore ")," Crore ")</f>
        <v>#REF!</v>
      </c>
      <c r="P10" s="504">
        <f>-INT(P1/1000000000)*100+INT(P1/10000000)</f>
        <v>0</v>
      </c>
      <c r="Q10" s="506" t="str">
        <f t="shared" si="3"/>
        <v/>
      </c>
      <c r="R10" s="502"/>
      <c r="S10" s="505" t="str">
        <f>IF((Q10=""),IF(R10="",""," Crore ")," Crore ")</f>
        <v/>
      </c>
      <c r="T10" s="522" t="e">
        <f t="shared" si="4"/>
        <v>#REF!</v>
      </c>
      <c r="U10" s="518">
        <v>0</v>
      </c>
      <c r="V10" s="518">
        <v>0</v>
      </c>
      <c r="W10" s="518">
        <v>1</v>
      </c>
      <c r="X10" s="518">
        <v>0</v>
      </c>
      <c r="Y10" s="524" t="e">
        <f>IF(AND($A$1=0,$F$1=0,$K$1&gt;0,$P$1=0),$K$4, "")</f>
        <v>#REF!</v>
      </c>
    </row>
    <row r="11" spans="1:27">
      <c r="A11" s="507" t="e">
        <f>-INT(A1/10000000000)*1000+INT(A1/1000000000)</f>
        <v>#REF!</v>
      </c>
      <c r="B11" s="506" t="e">
        <f t="shared" si="0"/>
        <v>#REF!</v>
      </c>
      <c r="C11" s="502"/>
      <c r="D11" s="505" t="e">
        <f>IF((B11=""),IF(C11="",""," Hundred ")," Hundred ")</f>
        <v>#REF!</v>
      </c>
      <c r="E11" s="502"/>
      <c r="F11" s="507">
        <f>-INT(F1/10000000000)*1000+INT(F1/1000000000)</f>
        <v>0</v>
      </c>
      <c r="G11" s="506" t="str">
        <f t="shared" si="1"/>
        <v/>
      </c>
      <c r="H11" s="502"/>
      <c r="I11" s="505" t="str">
        <f>IF((G11=""),IF(H11="",""," Hundred ")," Hundred ")</f>
        <v/>
      </c>
      <c r="K11" s="507" t="e">
        <f>-INT(K1/10000000000)*1000+INT(K1/1000000000)</f>
        <v>#REF!</v>
      </c>
      <c r="L11" s="506" t="e">
        <f t="shared" si="2"/>
        <v>#REF!</v>
      </c>
      <c r="M11" s="502"/>
      <c r="N11" s="505" t="e">
        <f>IF((L11=""),IF(M11="",""," Hundred ")," Hundred ")</f>
        <v>#REF!</v>
      </c>
      <c r="P11" s="507">
        <f>-INT(P1/10000000000)*1000+INT(P1/1000000000)</f>
        <v>0</v>
      </c>
      <c r="Q11" s="506" t="str">
        <f t="shared" si="3"/>
        <v/>
      </c>
      <c r="R11" s="502"/>
      <c r="S11" s="505" t="str">
        <f>IF((Q11=""),IF(R11="",""," Hundred ")," Hundred ")</f>
        <v/>
      </c>
      <c r="T11" s="522" t="e">
        <f t="shared" si="4"/>
        <v>#REF!</v>
      </c>
      <c r="U11" s="518">
        <v>0</v>
      </c>
      <c r="V11" s="518">
        <v>0</v>
      </c>
      <c r="W11" s="518">
        <v>1</v>
      </c>
      <c r="X11" s="518">
        <v>1</v>
      </c>
      <c r="Y11" s="524" t="e">
        <f>IF(AND($A$1=0,$F$1=0,$K$1&gt;0,$P$1&gt;0),$K$4&amp;$AA$8&amp;$P$4, "")</f>
        <v>#REF!</v>
      </c>
    </row>
    <row r="12" spans="1:27">
      <c r="A12" s="508"/>
      <c r="B12" s="502"/>
      <c r="C12" s="502"/>
      <c r="D12" s="503"/>
      <c r="E12" s="502"/>
      <c r="F12" s="508"/>
      <c r="G12" s="502"/>
      <c r="H12" s="502"/>
      <c r="I12" s="503"/>
      <c r="K12" s="508"/>
      <c r="L12" s="502"/>
      <c r="M12" s="502"/>
      <c r="N12" s="503"/>
      <c r="P12" s="508"/>
      <c r="Q12" s="502"/>
      <c r="R12" s="502"/>
      <c r="S12" s="503"/>
      <c r="T12" s="522" t="e">
        <f t="shared" si="4"/>
        <v>#REF!</v>
      </c>
      <c r="U12" s="518">
        <v>0</v>
      </c>
      <c r="V12" s="518">
        <v>1</v>
      </c>
      <c r="W12" s="518">
        <v>0</v>
      </c>
      <c r="X12" s="518">
        <v>0</v>
      </c>
      <c r="Y12" s="524" t="e">
        <f>IF(AND($A$1=0,$F$1&gt;0,$K$1=0,$P$1=0),$F$4, "")</f>
        <v>#REF!</v>
      </c>
    </row>
    <row r="13" spans="1:27">
      <c r="A13" s="509">
        <v>1</v>
      </c>
      <c r="B13" s="510" t="s">
        <v>353</v>
      </c>
      <c r="C13" s="502"/>
      <c r="D13" s="503"/>
      <c r="E13" s="502"/>
      <c r="F13" s="509">
        <v>1</v>
      </c>
      <c r="G13" s="510" t="s">
        <v>353</v>
      </c>
      <c r="H13" s="502"/>
      <c r="I13" s="503"/>
      <c r="K13" s="509">
        <v>1</v>
      </c>
      <c r="L13" s="510" t="s">
        <v>353</v>
      </c>
      <c r="M13" s="502"/>
      <c r="N13" s="503"/>
      <c r="P13" s="509">
        <v>1</v>
      </c>
      <c r="Q13" s="510" t="s">
        <v>353</v>
      </c>
      <c r="R13" s="502"/>
      <c r="S13" s="503"/>
      <c r="T13" s="522" t="e">
        <f t="shared" si="4"/>
        <v>#REF!</v>
      </c>
      <c r="U13" s="518">
        <v>0</v>
      </c>
      <c r="V13" s="518">
        <v>1</v>
      </c>
      <c r="W13" s="518">
        <v>0</v>
      </c>
      <c r="X13" s="518">
        <v>1</v>
      </c>
      <c r="Y13" s="524" t="e">
        <f>IF(AND($A$1=0,$F$1&gt;0,$K$1=0,$P$1&gt;0),$F$4&amp;$AA$8&amp;$P$4, "")</f>
        <v>#REF!</v>
      </c>
    </row>
    <row r="14" spans="1:27">
      <c r="A14" s="509">
        <v>2</v>
      </c>
      <c r="B14" s="510" t="s">
        <v>354</v>
      </c>
      <c r="C14" s="502"/>
      <c r="D14" s="503"/>
      <c r="E14" s="502"/>
      <c r="F14" s="509">
        <v>2</v>
      </c>
      <c r="G14" s="510" t="s">
        <v>354</v>
      </c>
      <c r="H14" s="502"/>
      <c r="I14" s="503"/>
      <c r="K14" s="509">
        <v>2</v>
      </c>
      <c r="L14" s="510" t="s">
        <v>354</v>
      </c>
      <c r="M14" s="502"/>
      <c r="N14" s="503"/>
      <c r="P14" s="509">
        <v>2</v>
      </c>
      <c r="Q14" s="510" t="s">
        <v>354</v>
      </c>
      <c r="R14" s="502"/>
      <c r="S14" s="503"/>
      <c r="T14" s="522" t="e">
        <f t="shared" si="4"/>
        <v>#REF!</v>
      </c>
      <c r="U14" s="518">
        <v>0</v>
      </c>
      <c r="V14" s="518">
        <v>1</v>
      </c>
      <c r="W14" s="518">
        <v>1</v>
      </c>
      <c r="X14" s="518">
        <v>0</v>
      </c>
      <c r="Y14" s="524" t="e">
        <f>IF(AND($A$1=0,$F$1&gt;0,$K$1&gt;0,$P$1=0),$F$4&amp;$AA$8&amp;$K$4, "")</f>
        <v>#REF!</v>
      </c>
    </row>
    <row r="15" spans="1:27">
      <c r="A15" s="509">
        <v>3</v>
      </c>
      <c r="B15" s="510" t="s">
        <v>355</v>
      </c>
      <c r="C15" s="502"/>
      <c r="D15" s="503"/>
      <c r="E15" s="502"/>
      <c r="F15" s="509">
        <v>3</v>
      </c>
      <c r="G15" s="510" t="s">
        <v>355</v>
      </c>
      <c r="H15" s="502"/>
      <c r="I15" s="503"/>
      <c r="K15" s="509">
        <v>3</v>
      </c>
      <c r="L15" s="510" t="s">
        <v>355</v>
      </c>
      <c r="M15" s="502"/>
      <c r="N15" s="503"/>
      <c r="P15" s="509">
        <v>3</v>
      </c>
      <c r="Q15" s="510" t="s">
        <v>355</v>
      </c>
      <c r="R15" s="502"/>
      <c r="S15" s="503"/>
      <c r="T15" s="522" t="e">
        <f t="shared" si="4"/>
        <v>#REF!</v>
      </c>
      <c r="U15" s="518">
        <v>0</v>
      </c>
      <c r="V15" s="518">
        <v>1</v>
      </c>
      <c r="W15" s="518">
        <v>1</v>
      </c>
      <c r="X15" s="518">
        <v>1</v>
      </c>
      <c r="Y15" s="525" t="e">
        <f>IF(AND($A$1=0,$F$1&gt;0,$K$1&gt;0,$P$1&gt;0),$F$4&amp;$AA$8&amp;$K$4&amp;$AA$8&amp;$P$4, "")</f>
        <v>#REF!</v>
      </c>
    </row>
    <row r="16" spans="1:27">
      <c r="A16" s="509">
        <v>4</v>
      </c>
      <c r="B16" s="510" t="s">
        <v>356</v>
      </c>
      <c r="C16" s="502"/>
      <c r="D16" s="503"/>
      <c r="E16" s="502"/>
      <c r="F16" s="509">
        <v>4</v>
      </c>
      <c r="G16" s="510" t="s">
        <v>356</v>
      </c>
      <c r="H16" s="502"/>
      <c r="I16" s="503"/>
      <c r="K16" s="509">
        <v>4</v>
      </c>
      <c r="L16" s="510" t="s">
        <v>356</v>
      </c>
      <c r="M16" s="502"/>
      <c r="N16" s="503"/>
      <c r="P16" s="509">
        <v>4</v>
      </c>
      <c r="Q16" s="510" t="s">
        <v>356</v>
      </c>
      <c r="R16" s="502"/>
      <c r="S16" s="503"/>
      <c r="T16" s="522" t="e">
        <f t="shared" si="4"/>
        <v>#REF!</v>
      </c>
      <c r="U16" s="518">
        <v>1</v>
      </c>
      <c r="V16" s="518">
        <v>0</v>
      </c>
      <c r="W16" s="518">
        <v>0</v>
      </c>
      <c r="X16" s="518">
        <v>0</v>
      </c>
      <c r="Y16" s="523" t="e">
        <f>IF(AND($A$1&gt;0,$F$1=0,$K$1=0,$P$1=0), $A$4, "")</f>
        <v>#REF!</v>
      </c>
    </row>
    <row r="17" spans="1:27">
      <c r="A17" s="509">
        <v>5</v>
      </c>
      <c r="B17" s="510" t="s">
        <v>357</v>
      </c>
      <c r="C17" s="502"/>
      <c r="D17" s="503"/>
      <c r="E17" s="502"/>
      <c r="F17" s="509">
        <v>5</v>
      </c>
      <c r="G17" s="510" t="s">
        <v>357</v>
      </c>
      <c r="H17" s="502"/>
      <c r="I17" s="503"/>
      <c r="K17" s="509">
        <v>5</v>
      </c>
      <c r="L17" s="510" t="s">
        <v>357</v>
      </c>
      <c r="M17" s="502"/>
      <c r="N17" s="503"/>
      <c r="P17" s="509">
        <v>5</v>
      </c>
      <c r="Q17" s="510" t="s">
        <v>357</v>
      </c>
      <c r="R17" s="502"/>
      <c r="S17" s="503"/>
      <c r="T17" s="522" t="e">
        <f t="shared" si="4"/>
        <v>#REF!</v>
      </c>
      <c r="U17" s="518">
        <v>1</v>
      </c>
      <c r="V17" s="518">
        <v>0</v>
      </c>
      <c r="W17" s="518">
        <v>0</v>
      </c>
      <c r="X17" s="518">
        <v>1</v>
      </c>
      <c r="Y17" s="524" t="e">
        <f>IF(AND($A$1&gt;0,$F$1=0,$K$1=0,$P$1&gt;0),$A$4&amp;$AA$8&amp;$P$4, "")</f>
        <v>#REF!</v>
      </c>
    </row>
    <row r="18" spans="1:27">
      <c r="A18" s="509">
        <v>6</v>
      </c>
      <c r="B18" s="510" t="s">
        <v>358</v>
      </c>
      <c r="C18" s="502"/>
      <c r="D18" s="503"/>
      <c r="E18" s="502"/>
      <c r="F18" s="509">
        <v>6</v>
      </c>
      <c r="G18" s="510" t="s">
        <v>358</v>
      </c>
      <c r="H18" s="502"/>
      <c r="I18" s="503"/>
      <c r="K18" s="509">
        <v>6</v>
      </c>
      <c r="L18" s="510" t="s">
        <v>358</v>
      </c>
      <c r="M18" s="502"/>
      <c r="N18" s="503"/>
      <c r="P18" s="509">
        <v>6</v>
      </c>
      <c r="Q18" s="510" t="s">
        <v>358</v>
      </c>
      <c r="R18" s="502"/>
      <c r="S18" s="503"/>
      <c r="T18" s="522" t="e">
        <f t="shared" si="4"/>
        <v>#REF!</v>
      </c>
      <c r="U18" s="518">
        <v>1</v>
      </c>
      <c r="V18" s="518">
        <v>0</v>
      </c>
      <c r="W18" s="518">
        <v>1</v>
      </c>
      <c r="X18" s="518">
        <v>0</v>
      </c>
      <c r="Y18" s="524" t="e">
        <f>IF(AND($A$1&gt;0,$F$1=0,$K$1&gt;0,$P$1=0),$A$4&amp;$AA$8&amp;$K$4, "")</f>
        <v>#REF!</v>
      </c>
    </row>
    <row r="19" spans="1:27">
      <c r="A19" s="509">
        <v>7</v>
      </c>
      <c r="B19" s="510" t="s">
        <v>359</v>
      </c>
      <c r="C19" s="502"/>
      <c r="D19" s="503"/>
      <c r="E19" s="502"/>
      <c r="F19" s="509">
        <v>7</v>
      </c>
      <c r="G19" s="510" t="s">
        <v>359</v>
      </c>
      <c r="H19" s="502"/>
      <c r="I19" s="503"/>
      <c r="K19" s="509">
        <v>7</v>
      </c>
      <c r="L19" s="510" t="s">
        <v>359</v>
      </c>
      <c r="M19" s="502"/>
      <c r="N19" s="503"/>
      <c r="P19" s="509">
        <v>7</v>
      </c>
      <c r="Q19" s="510" t="s">
        <v>359</v>
      </c>
      <c r="R19" s="502"/>
      <c r="S19" s="503"/>
      <c r="T19" s="522" t="e">
        <f t="shared" si="4"/>
        <v>#REF!</v>
      </c>
      <c r="U19" s="518">
        <v>1</v>
      </c>
      <c r="V19" s="518">
        <v>0</v>
      </c>
      <c r="W19" s="518">
        <v>1</v>
      </c>
      <c r="X19" s="518">
        <v>1</v>
      </c>
      <c r="Y19" s="524" t="e">
        <f>IF(AND($A$1&gt;0,$F$1=0,$K$1&gt;0,$P$1&gt;0),$A$4&amp;$AA$8&amp;$K$4&amp;$AA$8&amp;$P$4, "")</f>
        <v>#REF!</v>
      </c>
    </row>
    <row r="20" spans="1:27">
      <c r="A20" s="509">
        <v>8</v>
      </c>
      <c r="B20" s="510" t="s">
        <v>360</v>
      </c>
      <c r="C20" s="502"/>
      <c r="D20" s="503"/>
      <c r="E20" s="502"/>
      <c r="F20" s="509">
        <v>8</v>
      </c>
      <c r="G20" s="510" t="s">
        <v>360</v>
      </c>
      <c r="H20" s="502"/>
      <c r="I20" s="503"/>
      <c r="K20" s="509">
        <v>8</v>
      </c>
      <c r="L20" s="510" t="s">
        <v>360</v>
      </c>
      <c r="M20" s="502"/>
      <c r="N20" s="503"/>
      <c r="P20" s="509">
        <v>8</v>
      </c>
      <c r="Q20" s="510" t="s">
        <v>360</v>
      </c>
      <c r="R20" s="502"/>
      <c r="S20" s="503"/>
      <c r="T20" s="522" t="e">
        <f t="shared" si="4"/>
        <v>#REF!</v>
      </c>
      <c r="U20" s="518">
        <v>1</v>
      </c>
      <c r="V20" s="518">
        <v>1</v>
      </c>
      <c r="W20" s="518">
        <v>0</v>
      </c>
      <c r="X20" s="518">
        <v>0</v>
      </c>
      <c r="Y20" s="524" t="e">
        <f>IF(AND($A$1&gt;0,$F$1&gt;0,$K$1=0,$P$1=0),$A$4&amp;$AA$8&amp;$F$4, "")</f>
        <v>#REF!</v>
      </c>
    </row>
    <row r="21" spans="1:27">
      <c r="A21" s="509">
        <v>9</v>
      </c>
      <c r="B21" s="510" t="s">
        <v>361</v>
      </c>
      <c r="C21" s="502"/>
      <c r="D21" s="503"/>
      <c r="E21" s="502"/>
      <c r="F21" s="509">
        <v>9</v>
      </c>
      <c r="G21" s="510" t="s">
        <v>361</v>
      </c>
      <c r="H21" s="502"/>
      <c r="I21" s="503"/>
      <c r="K21" s="509">
        <v>9</v>
      </c>
      <c r="L21" s="510" t="s">
        <v>361</v>
      </c>
      <c r="M21" s="502"/>
      <c r="N21" s="503"/>
      <c r="P21" s="509">
        <v>9</v>
      </c>
      <c r="Q21" s="510" t="s">
        <v>361</v>
      </c>
      <c r="R21" s="502"/>
      <c r="S21" s="503"/>
      <c r="T21" s="522" t="e">
        <f t="shared" si="4"/>
        <v>#REF!</v>
      </c>
      <c r="U21" s="518">
        <v>1</v>
      </c>
      <c r="V21" s="518">
        <v>1</v>
      </c>
      <c r="W21" s="518">
        <v>0</v>
      </c>
      <c r="X21" s="518">
        <v>1</v>
      </c>
      <c r="Y21" s="524" t="e">
        <f>IF(AND($A$1&gt;0,$F$1&gt;0,$K$1=0,$P$1&gt;0),$A$4&amp;$AA$8&amp;$F$4&amp;$AA$8&amp;$P$4, "")</f>
        <v>#REF!</v>
      </c>
    </row>
    <row r="22" spans="1:27">
      <c r="A22" s="509">
        <v>10</v>
      </c>
      <c r="B22" s="510" t="s">
        <v>362</v>
      </c>
      <c r="C22" s="502"/>
      <c r="D22" s="503"/>
      <c r="E22" s="502"/>
      <c r="F22" s="509">
        <v>10</v>
      </c>
      <c r="G22" s="510" t="s">
        <v>362</v>
      </c>
      <c r="H22" s="502"/>
      <c r="I22" s="503"/>
      <c r="K22" s="509">
        <v>10</v>
      </c>
      <c r="L22" s="510" t="s">
        <v>362</v>
      </c>
      <c r="M22" s="502"/>
      <c r="N22" s="503"/>
      <c r="P22" s="509">
        <v>10</v>
      </c>
      <c r="Q22" s="510" t="s">
        <v>362</v>
      </c>
      <c r="R22" s="502"/>
      <c r="S22" s="503"/>
      <c r="T22" s="522" t="e">
        <f t="shared" si="4"/>
        <v>#REF!</v>
      </c>
      <c r="U22" s="518">
        <v>1</v>
      </c>
      <c r="V22" s="518">
        <v>1</v>
      </c>
      <c r="W22" s="518">
        <v>1</v>
      </c>
      <c r="X22" s="518">
        <v>0</v>
      </c>
      <c r="Y22" s="524" t="e">
        <f>IF(AND($A$1&gt;0,$F$1&gt;0,$K$1&gt;0,$P$1=0),$A$4&amp;$AA$8&amp;$F$4&amp;$AA$8&amp;$K$4, "")</f>
        <v>#REF!</v>
      </c>
    </row>
    <row r="23" spans="1:27">
      <c r="A23" s="509">
        <v>11</v>
      </c>
      <c r="B23" s="510" t="s">
        <v>363</v>
      </c>
      <c r="C23" s="502"/>
      <c r="D23" s="503"/>
      <c r="E23" s="502"/>
      <c r="F23" s="509">
        <v>11</v>
      </c>
      <c r="G23" s="510" t="s">
        <v>363</v>
      </c>
      <c r="H23" s="502"/>
      <c r="I23" s="503"/>
      <c r="K23" s="509">
        <v>11</v>
      </c>
      <c r="L23" s="510" t="s">
        <v>363</v>
      </c>
      <c r="M23" s="502"/>
      <c r="N23" s="503"/>
      <c r="P23" s="509">
        <v>11</v>
      </c>
      <c r="Q23" s="510" t="s">
        <v>363</v>
      </c>
      <c r="R23" s="502"/>
      <c r="S23" s="503"/>
      <c r="T23" s="522" t="e">
        <f t="shared" si="4"/>
        <v>#REF!</v>
      </c>
      <c r="U23" s="518">
        <v>1</v>
      </c>
      <c r="V23" s="518">
        <v>1</v>
      </c>
      <c r="W23" s="518">
        <v>1</v>
      </c>
      <c r="X23" s="518">
        <v>1</v>
      </c>
      <c r="Y23" s="525" t="e">
        <f>IF(AND($A$1&gt;0,$F$1&gt;0,$K$1&gt;0,$P$1&gt;0),$A$4&amp;$AA$8&amp;$F$4&amp;$AA$8&amp;$K$4&amp;$AA$8&amp;$P$4, "")</f>
        <v>#REF!</v>
      </c>
    </row>
    <row r="24" spans="1:27">
      <c r="A24" s="509">
        <v>12</v>
      </c>
      <c r="B24" s="510" t="s">
        <v>364</v>
      </c>
      <c r="C24" s="502"/>
      <c r="D24" s="503"/>
      <c r="E24" s="502"/>
      <c r="F24" s="509">
        <v>12</v>
      </c>
      <c r="G24" s="510" t="s">
        <v>364</v>
      </c>
      <c r="H24" s="502"/>
      <c r="I24" s="503"/>
      <c r="K24" s="509">
        <v>12</v>
      </c>
      <c r="L24" s="510" t="s">
        <v>364</v>
      </c>
      <c r="M24" s="502"/>
      <c r="N24" s="503"/>
      <c r="P24" s="509">
        <v>12</v>
      </c>
      <c r="Q24" s="510" t="s">
        <v>364</v>
      </c>
      <c r="R24" s="502"/>
      <c r="S24" s="503"/>
    </row>
    <row r="25" spans="1:27">
      <c r="A25" s="509">
        <v>13</v>
      </c>
      <c r="B25" s="510" t="s">
        <v>365</v>
      </c>
      <c r="C25" s="502"/>
      <c r="D25" s="503"/>
      <c r="E25" s="502"/>
      <c r="F25" s="509">
        <v>13</v>
      </c>
      <c r="G25" s="510" t="s">
        <v>365</v>
      </c>
      <c r="H25" s="502"/>
      <c r="I25" s="503"/>
      <c r="K25" s="509">
        <v>13</v>
      </c>
      <c r="L25" s="510" t="s">
        <v>365</v>
      </c>
      <c r="M25" s="502"/>
      <c r="N25" s="503"/>
      <c r="P25" s="509">
        <v>13</v>
      </c>
      <c r="Q25" s="510" t="s">
        <v>365</v>
      </c>
      <c r="R25" s="502"/>
      <c r="S25" s="503"/>
    </row>
    <row r="26" spans="1:27">
      <c r="A26" s="509">
        <v>14</v>
      </c>
      <c r="B26" s="510" t="s">
        <v>366</v>
      </c>
      <c r="C26" s="502"/>
      <c r="D26" s="503"/>
      <c r="E26" s="502"/>
      <c r="F26" s="509">
        <v>14</v>
      </c>
      <c r="G26" s="510" t="s">
        <v>366</v>
      </c>
      <c r="H26" s="502"/>
      <c r="I26" s="503"/>
      <c r="K26" s="509">
        <v>14</v>
      </c>
      <c r="L26" s="510" t="s">
        <v>366</v>
      </c>
      <c r="M26" s="502"/>
      <c r="N26" s="503"/>
      <c r="P26" s="509">
        <v>14</v>
      </c>
      <c r="Q26" s="510" t="s">
        <v>366</v>
      </c>
      <c r="R26" s="502"/>
      <c r="S26" s="503"/>
    </row>
    <row r="27" spans="1:27">
      <c r="A27" s="509">
        <v>15</v>
      </c>
      <c r="B27" s="510" t="s">
        <v>367</v>
      </c>
      <c r="C27" s="502"/>
      <c r="D27" s="503"/>
      <c r="E27" s="502"/>
      <c r="F27" s="509">
        <v>15</v>
      </c>
      <c r="G27" s="510" t="s">
        <v>367</v>
      </c>
      <c r="H27" s="502"/>
      <c r="I27" s="503"/>
      <c r="K27" s="509">
        <v>15</v>
      </c>
      <c r="L27" s="510" t="s">
        <v>367</v>
      </c>
      <c r="M27" s="502"/>
      <c r="N27" s="503"/>
      <c r="P27" s="509">
        <v>15</v>
      </c>
      <c r="Q27" s="510" t="s">
        <v>367</v>
      </c>
      <c r="R27" s="502"/>
      <c r="S27" s="503"/>
    </row>
    <row r="28" spans="1:27">
      <c r="A28" s="509">
        <v>16</v>
      </c>
      <c r="B28" s="510" t="s">
        <v>368</v>
      </c>
      <c r="C28" s="502"/>
      <c r="D28" s="503"/>
      <c r="E28" s="502"/>
      <c r="F28" s="509">
        <v>16</v>
      </c>
      <c r="G28" s="510" t="s">
        <v>368</v>
      </c>
      <c r="H28" s="502"/>
      <c r="I28" s="503"/>
      <c r="K28" s="509">
        <v>16</v>
      </c>
      <c r="L28" s="510" t="s">
        <v>368</v>
      </c>
      <c r="M28" s="502"/>
      <c r="N28" s="503"/>
      <c r="P28" s="509">
        <v>16</v>
      </c>
      <c r="Q28" s="510" t="s">
        <v>368</v>
      </c>
      <c r="R28" s="502"/>
      <c r="S28" s="503"/>
      <c r="T28" s="522" t="e">
        <f>IF(Y28="",0, 1)</f>
        <v>#REF!</v>
      </c>
      <c r="U28" s="518">
        <v>0</v>
      </c>
      <c r="V28" s="518">
        <v>0</v>
      </c>
      <c r="W28" s="518">
        <v>0</v>
      </c>
      <c r="X28" s="518">
        <v>0</v>
      </c>
      <c r="Y28" s="523" t="e">
        <f>IF(AND($A$1=0,$F$1=0,$K$1=0,$P$1=0)," 0/-", "")</f>
        <v>#REF!</v>
      </c>
      <c r="AA28" s="518" t="s">
        <v>455</v>
      </c>
    </row>
    <row r="29" spans="1:27">
      <c r="A29" s="509">
        <v>17</v>
      </c>
      <c r="B29" s="510" t="s">
        <v>369</v>
      </c>
      <c r="C29" s="502"/>
      <c r="D29" s="503"/>
      <c r="E29" s="502"/>
      <c r="F29" s="509">
        <v>17</v>
      </c>
      <c r="G29" s="510" t="s">
        <v>369</v>
      </c>
      <c r="H29" s="502"/>
      <c r="I29" s="503"/>
      <c r="K29" s="509">
        <v>17</v>
      </c>
      <c r="L29" s="510" t="s">
        <v>369</v>
      </c>
      <c r="M29" s="502"/>
      <c r="N29" s="503"/>
      <c r="P29" s="509">
        <v>17</v>
      </c>
      <c r="Q29" s="510" t="s">
        <v>369</v>
      </c>
      <c r="R29" s="502"/>
      <c r="S29" s="503"/>
      <c r="T29" s="522" t="e">
        <f t="shared" ref="T29:T43" si="5">IF(Y29="",0, 1)</f>
        <v>#REF!</v>
      </c>
      <c r="U29" s="518">
        <v>0</v>
      </c>
      <c r="V29" s="518">
        <v>0</v>
      </c>
      <c r="W29" s="518">
        <v>0</v>
      </c>
      <c r="X29" s="518">
        <v>1</v>
      </c>
      <c r="Y29" s="524" t="e">
        <f>IF(AND($A$1=0,$F$1=0,$K$1=0,$P$1&gt;0),$U$3&amp;$P$1&amp;$AA$30, "")</f>
        <v>#REF!</v>
      </c>
      <c r="AA29" s="518" t="s">
        <v>456</v>
      </c>
    </row>
    <row r="30" spans="1:27">
      <c r="A30" s="509">
        <v>18</v>
      </c>
      <c r="B30" s="510" t="s">
        <v>370</v>
      </c>
      <c r="C30" s="502"/>
      <c r="D30" s="503"/>
      <c r="E30" s="502"/>
      <c r="F30" s="509">
        <v>18</v>
      </c>
      <c r="G30" s="510" t="s">
        <v>370</v>
      </c>
      <c r="H30" s="502"/>
      <c r="I30" s="503"/>
      <c r="K30" s="509">
        <v>18</v>
      </c>
      <c r="L30" s="510" t="s">
        <v>370</v>
      </c>
      <c r="M30" s="502"/>
      <c r="N30" s="503"/>
      <c r="P30" s="509">
        <v>18</v>
      </c>
      <c r="Q30" s="510" t="s">
        <v>370</v>
      </c>
      <c r="R30" s="502"/>
      <c r="S30" s="503"/>
      <c r="T30" s="522" t="e">
        <f t="shared" si="5"/>
        <v>#REF!</v>
      </c>
      <c r="U30" s="518">
        <v>0</v>
      </c>
      <c r="V30" s="518">
        <v>0</v>
      </c>
      <c r="W30" s="518">
        <v>1</v>
      </c>
      <c r="X30" s="518">
        <v>0</v>
      </c>
      <c r="Y30" s="524" t="e">
        <f>IF(AND($A$1=0,$F$1=0,$K$1&gt;0,$P$1=0),$U$2&amp;$K$1&amp;$AA$30, "")</f>
        <v>#REF!</v>
      </c>
      <c r="AA30" s="518" t="s">
        <v>457</v>
      </c>
    </row>
    <row r="31" spans="1:27">
      <c r="A31" s="509">
        <v>19</v>
      </c>
      <c r="B31" s="510" t="s">
        <v>371</v>
      </c>
      <c r="C31" s="502"/>
      <c r="D31" s="503"/>
      <c r="E31" s="502"/>
      <c r="F31" s="509">
        <v>19</v>
      </c>
      <c r="G31" s="510" t="s">
        <v>371</v>
      </c>
      <c r="H31" s="502"/>
      <c r="I31" s="503"/>
      <c r="K31" s="509">
        <v>19</v>
      </c>
      <c r="L31" s="510" t="s">
        <v>371</v>
      </c>
      <c r="M31" s="502"/>
      <c r="N31" s="503"/>
      <c r="P31" s="509">
        <v>19</v>
      </c>
      <c r="Q31" s="510" t="s">
        <v>371</v>
      </c>
      <c r="R31" s="502"/>
      <c r="S31" s="503"/>
      <c r="T31" s="522" t="e">
        <f t="shared" si="5"/>
        <v>#REF!</v>
      </c>
      <c r="U31" s="518">
        <v>0</v>
      </c>
      <c r="V31" s="518">
        <v>0</v>
      </c>
      <c r="W31" s="518">
        <v>1</v>
      </c>
      <c r="X31" s="518">
        <v>1</v>
      </c>
      <c r="Y31" s="524" t="e">
        <f>IF(AND($A$1=0,$F$1=0,$K$1&gt;0,$P$1&gt;0),$U$2&amp;$K$1&amp;$AA$29&amp;$U$3&amp;$P$1&amp;$AA$30, "")</f>
        <v>#REF!</v>
      </c>
    </row>
    <row r="32" spans="1:27">
      <c r="A32" s="509">
        <v>20</v>
      </c>
      <c r="B32" s="510" t="s">
        <v>372</v>
      </c>
      <c r="C32" s="502"/>
      <c r="D32" s="503"/>
      <c r="E32" s="502"/>
      <c r="F32" s="509">
        <v>20</v>
      </c>
      <c r="G32" s="510" t="s">
        <v>372</v>
      </c>
      <c r="H32" s="502"/>
      <c r="I32" s="503"/>
      <c r="K32" s="509">
        <v>20</v>
      </c>
      <c r="L32" s="510" t="s">
        <v>372</v>
      </c>
      <c r="M32" s="502"/>
      <c r="N32" s="503"/>
      <c r="P32" s="509">
        <v>20</v>
      </c>
      <c r="Q32" s="510" t="s">
        <v>372</v>
      </c>
      <c r="R32" s="502"/>
      <c r="S32" s="503"/>
      <c r="T32" s="522" t="e">
        <f t="shared" si="5"/>
        <v>#REF!</v>
      </c>
      <c r="U32" s="518">
        <v>0</v>
      </c>
      <c r="V32" s="518">
        <v>1</v>
      </c>
      <c r="W32" s="518">
        <v>0</v>
      </c>
      <c r="X32" s="518">
        <v>0</v>
      </c>
      <c r="Y32" s="524" t="e">
        <f>IF(AND($A$1=0,$F$1&gt;0,$K$1=0,$P$1=0),$U$1&amp;$F$1&amp;$AA$30, "")</f>
        <v>#REF!</v>
      </c>
    </row>
    <row r="33" spans="1:25">
      <c r="A33" s="509">
        <v>21</v>
      </c>
      <c r="B33" s="510" t="s">
        <v>373</v>
      </c>
      <c r="C33" s="502"/>
      <c r="D33" s="503"/>
      <c r="E33" s="502"/>
      <c r="F33" s="509">
        <v>21</v>
      </c>
      <c r="G33" s="510" t="s">
        <v>373</v>
      </c>
      <c r="H33" s="502"/>
      <c r="I33" s="503"/>
      <c r="K33" s="509">
        <v>21</v>
      </c>
      <c r="L33" s="510" t="s">
        <v>373</v>
      </c>
      <c r="M33" s="502"/>
      <c r="N33" s="503"/>
      <c r="P33" s="509">
        <v>21</v>
      </c>
      <c r="Q33" s="510" t="s">
        <v>373</v>
      </c>
      <c r="R33" s="502"/>
      <c r="S33" s="503"/>
      <c r="T33" s="522" t="e">
        <f t="shared" si="5"/>
        <v>#REF!</v>
      </c>
      <c r="U33" s="518">
        <v>0</v>
      </c>
      <c r="V33" s="518">
        <v>1</v>
      </c>
      <c r="W33" s="518">
        <v>0</v>
      </c>
      <c r="X33" s="518">
        <v>1</v>
      </c>
      <c r="Y33" s="524" t="e">
        <f>IF(AND($A$1=0,$F$1&gt;0,$K$1=0,$P$1&gt;0),$U$1&amp;$F$1&amp;$AA$29&amp;$U$3&amp;$P$1&amp;$AA$30, "")</f>
        <v>#REF!</v>
      </c>
    </row>
    <row r="34" spans="1:25">
      <c r="A34" s="509">
        <v>22</v>
      </c>
      <c r="B34" s="510" t="s">
        <v>374</v>
      </c>
      <c r="C34" s="502"/>
      <c r="D34" s="503"/>
      <c r="E34" s="502"/>
      <c r="F34" s="509">
        <v>22</v>
      </c>
      <c r="G34" s="510" t="s">
        <v>374</v>
      </c>
      <c r="H34" s="502"/>
      <c r="I34" s="503"/>
      <c r="K34" s="509">
        <v>22</v>
      </c>
      <c r="L34" s="510" t="s">
        <v>374</v>
      </c>
      <c r="M34" s="502"/>
      <c r="N34" s="503"/>
      <c r="P34" s="509">
        <v>22</v>
      </c>
      <c r="Q34" s="510" t="s">
        <v>374</v>
      </c>
      <c r="R34" s="502"/>
      <c r="S34" s="503"/>
      <c r="T34" s="522" t="e">
        <f t="shared" si="5"/>
        <v>#REF!</v>
      </c>
      <c r="U34" s="518">
        <v>0</v>
      </c>
      <c r="V34" s="518">
        <v>1</v>
      </c>
      <c r="W34" s="518">
        <v>1</v>
      </c>
      <c r="X34" s="518">
        <v>0</v>
      </c>
      <c r="Y34" s="524" t="e">
        <f>IF(AND($A$1=0,$F$1&gt;0,$K$1&gt;0,$P$1=0),$U$1&amp;$F$1&amp;$AA$29&amp;$U$2&amp;$K$1, "")</f>
        <v>#REF!</v>
      </c>
    </row>
    <row r="35" spans="1:25">
      <c r="A35" s="509">
        <v>23</v>
      </c>
      <c r="B35" s="510" t="s">
        <v>375</v>
      </c>
      <c r="C35" s="502"/>
      <c r="D35" s="503"/>
      <c r="E35" s="502"/>
      <c r="F35" s="509">
        <v>23</v>
      </c>
      <c r="G35" s="510" t="s">
        <v>375</v>
      </c>
      <c r="H35" s="502"/>
      <c r="I35" s="503"/>
      <c r="K35" s="509">
        <v>23</v>
      </c>
      <c r="L35" s="510" t="s">
        <v>375</v>
      </c>
      <c r="M35" s="502"/>
      <c r="N35" s="503"/>
      <c r="P35" s="509">
        <v>23</v>
      </c>
      <c r="Q35" s="510" t="s">
        <v>375</v>
      </c>
      <c r="R35" s="502"/>
      <c r="S35" s="503"/>
      <c r="T35" s="522" t="e">
        <f t="shared" si="5"/>
        <v>#REF!</v>
      </c>
      <c r="U35" s="518">
        <v>0</v>
      </c>
      <c r="V35" s="518">
        <v>1</v>
      </c>
      <c r="W35" s="518">
        <v>1</v>
      </c>
      <c r="X35" s="518">
        <v>1</v>
      </c>
      <c r="Y35" s="525" t="e">
        <f>IF(AND($A$1=0,$F$1&gt;0,$K$1&gt;0,$P$1&gt;0),$U$1&amp;$F$1&amp;$AA$29&amp;$U$2&amp;$K$1&amp;$AA$29&amp;$U$3&amp;$P$1&amp;$AA$30, "")</f>
        <v>#REF!</v>
      </c>
    </row>
    <row r="36" spans="1:25">
      <c r="A36" s="509">
        <v>24</v>
      </c>
      <c r="B36" s="510" t="s">
        <v>376</v>
      </c>
      <c r="C36" s="502"/>
      <c r="D36" s="503"/>
      <c r="E36" s="502"/>
      <c r="F36" s="509">
        <v>24</v>
      </c>
      <c r="G36" s="510" t="s">
        <v>376</v>
      </c>
      <c r="H36" s="502"/>
      <c r="I36" s="503"/>
      <c r="K36" s="509">
        <v>24</v>
      </c>
      <c r="L36" s="510" t="s">
        <v>376</v>
      </c>
      <c r="M36" s="502"/>
      <c r="N36" s="503"/>
      <c r="P36" s="509">
        <v>24</v>
      </c>
      <c r="Q36" s="510" t="s">
        <v>376</v>
      </c>
      <c r="R36" s="502"/>
      <c r="S36" s="503"/>
      <c r="T36" s="522" t="e">
        <f t="shared" si="5"/>
        <v>#REF!</v>
      </c>
      <c r="U36" s="518">
        <v>1</v>
      </c>
      <c r="V36" s="518">
        <v>0</v>
      </c>
      <c r="W36" s="518">
        <v>0</v>
      </c>
      <c r="X36" s="518">
        <v>0</v>
      </c>
      <c r="Y36" s="523" t="e">
        <f>IF(AND($A$1&gt;0,$F$1=0,$K$1=0,$P$1=0),#REF!&amp; $A$1&amp;$AA$30, "")</f>
        <v>#REF!</v>
      </c>
    </row>
    <row r="37" spans="1:25">
      <c r="A37" s="509">
        <v>25</v>
      </c>
      <c r="B37" s="510" t="s">
        <v>377</v>
      </c>
      <c r="C37" s="502"/>
      <c r="D37" s="503"/>
      <c r="E37" s="502"/>
      <c r="F37" s="509">
        <v>25</v>
      </c>
      <c r="G37" s="510" t="s">
        <v>377</v>
      </c>
      <c r="H37" s="502"/>
      <c r="I37" s="503"/>
      <c r="K37" s="509">
        <v>25</v>
      </c>
      <c r="L37" s="510" t="s">
        <v>377</v>
      </c>
      <c r="M37" s="502"/>
      <c r="N37" s="503"/>
      <c r="P37" s="509">
        <v>25</v>
      </c>
      <c r="Q37" s="510" t="s">
        <v>377</v>
      </c>
      <c r="R37" s="502"/>
      <c r="S37" s="503"/>
      <c r="T37" s="522" t="e">
        <f t="shared" si="5"/>
        <v>#REF!</v>
      </c>
      <c r="U37" s="518">
        <v>1</v>
      </c>
      <c r="V37" s="518">
        <v>0</v>
      </c>
      <c r="W37" s="518">
        <v>0</v>
      </c>
      <c r="X37" s="518">
        <v>1</v>
      </c>
      <c r="Y37" s="524" t="e">
        <f>IF(AND($A$1&gt;0,$F$1=0,$K$1=0,$P$1&gt;0),#REF!&amp;$A$1&amp;$AA$29&amp;$U$3&amp;$P$1&amp;$AA$30, "")</f>
        <v>#REF!</v>
      </c>
    </row>
    <row r="38" spans="1:25">
      <c r="A38" s="509">
        <v>26</v>
      </c>
      <c r="B38" s="510" t="s">
        <v>378</v>
      </c>
      <c r="C38" s="502"/>
      <c r="D38" s="503"/>
      <c r="E38" s="502"/>
      <c r="F38" s="509">
        <v>26</v>
      </c>
      <c r="G38" s="510" t="s">
        <v>378</v>
      </c>
      <c r="H38" s="502"/>
      <c r="I38" s="503"/>
      <c r="K38" s="509">
        <v>26</v>
      </c>
      <c r="L38" s="510" t="s">
        <v>378</v>
      </c>
      <c r="M38" s="502"/>
      <c r="N38" s="503"/>
      <c r="P38" s="509">
        <v>26</v>
      </c>
      <c r="Q38" s="510" t="s">
        <v>378</v>
      </c>
      <c r="R38" s="502"/>
      <c r="S38" s="503"/>
      <c r="T38" s="522" t="e">
        <f t="shared" si="5"/>
        <v>#REF!</v>
      </c>
      <c r="U38" s="518">
        <v>1</v>
      </c>
      <c r="V38" s="518">
        <v>0</v>
      </c>
      <c r="W38" s="518">
        <v>1</v>
      </c>
      <c r="X38" s="518">
        <v>0</v>
      </c>
      <c r="Y38" s="524" t="e">
        <f>IF(AND($A$1&gt;0,$F$1=0,$K$1&gt;0,$P$1=0),#REF!&amp;$A$1&amp;$AA$29&amp;$U$2&amp;$K$1, "")</f>
        <v>#REF!</v>
      </c>
    </row>
    <row r="39" spans="1:25">
      <c r="A39" s="509">
        <v>27</v>
      </c>
      <c r="B39" s="510" t="s">
        <v>379</v>
      </c>
      <c r="C39" s="502"/>
      <c r="D39" s="503"/>
      <c r="E39" s="502"/>
      <c r="F39" s="509">
        <v>27</v>
      </c>
      <c r="G39" s="510" t="s">
        <v>379</v>
      </c>
      <c r="H39" s="502"/>
      <c r="I39" s="503"/>
      <c r="K39" s="509">
        <v>27</v>
      </c>
      <c r="L39" s="510" t="s">
        <v>379</v>
      </c>
      <c r="M39" s="502"/>
      <c r="N39" s="503"/>
      <c r="P39" s="509">
        <v>27</v>
      </c>
      <c r="Q39" s="510" t="s">
        <v>379</v>
      </c>
      <c r="R39" s="502"/>
      <c r="S39" s="503"/>
      <c r="T39" s="522" t="e">
        <f t="shared" si="5"/>
        <v>#REF!</v>
      </c>
      <c r="U39" s="518">
        <v>1</v>
      </c>
      <c r="V39" s="518">
        <v>0</v>
      </c>
      <c r="W39" s="518">
        <v>1</v>
      </c>
      <c r="X39" s="518">
        <v>1</v>
      </c>
      <c r="Y39" s="524" t="e">
        <f>IF(AND($A$1&gt;0,$F$1=0,$K$1&gt;0,$P$1&gt;0),#REF!&amp;$A$1&amp;$AA$29&amp;$U$2&amp;$K$1&amp;$AA$29&amp;$U$3&amp;$P$1&amp;$AA$30, "")</f>
        <v>#REF!</v>
      </c>
    </row>
    <row r="40" spans="1:25">
      <c r="A40" s="509">
        <v>28</v>
      </c>
      <c r="B40" s="510" t="s">
        <v>380</v>
      </c>
      <c r="C40" s="502"/>
      <c r="D40" s="503"/>
      <c r="E40" s="502"/>
      <c r="F40" s="509">
        <v>28</v>
      </c>
      <c r="G40" s="510" t="s">
        <v>380</v>
      </c>
      <c r="H40" s="502"/>
      <c r="I40" s="503"/>
      <c r="K40" s="509">
        <v>28</v>
      </c>
      <c r="L40" s="510" t="s">
        <v>380</v>
      </c>
      <c r="M40" s="502"/>
      <c r="N40" s="503"/>
      <c r="P40" s="509">
        <v>28</v>
      </c>
      <c r="Q40" s="510" t="s">
        <v>380</v>
      </c>
      <c r="R40" s="502"/>
      <c r="S40" s="503"/>
      <c r="T40" s="522" t="e">
        <f t="shared" si="5"/>
        <v>#REF!</v>
      </c>
      <c r="U40" s="518">
        <v>1</v>
      </c>
      <c r="V40" s="518">
        <v>1</v>
      </c>
      <c r="W40" s="518">
        <v>0</v>
      </c>
      <c r="X40" s="518">
        <v>0</v>
      </c>
      <c r="Y40" s="524" t="e">
        <f>IF(AND($A$1&gt;0,$F$1&gt;0,$K$1=0,$P$1=0),#REF!&amp;$A$1&amp;$AA$29&amp;$U$1&amp;$F$1, "")</f>
        <v>#REF!</v>
      </c>
    </row>
    <row r="41" spans="1:25">
      <c r="A41" s="509">
        <v>29</v>
      </c>
      <c r="B41" s="510" t="s">
        <v>381</v>
      </c>
      <c r="C41" s="502"/>
      <c r="D41" s="503"/>
      <c r="E41" s="502"/>
      <c r="F41" s="509">
        <v>29</v>
      </c>
      <c r="G41" s="510" t="s">
        <v>381</v>
      </c>
      <c r="H41" s="502"/>
      <c r="I41" s="503"/>
      <c r="K41" s="509">
        <v>29</v>
      </c>
      <c r="L41" s="510" t="s">
        <v>381</v>
      </c>
      <c r="M41" s="502"/>
      <c r="N41" s="503"/>
      <c r="P41" s="509">
        <v>29</v>
      </c>
      <c r="Q41" s="510" t="s">
        <v>381</v>
      </c>
      <c r="R41" s="502"/>
      <c r="S41" s="503"/>
      <c r="T41" s="522" t="e">
        <f t="shared" si="5"/>
        <v>#REF!</v>
      </c>
      <c r="U41" s="518">
        <v>1</v>
      </c>
      <c r="V41" s="518">
        <v>1</v>
      </c>
      <c r="W41" s="518">
        <v>0</v>
      </c>
      <c r="X41" s="518">
        <v>1</v>
      </c>
      <c r="Y41" s="524" t="e">
        <f>IF(AND($A$1&gt;0,$F$1&gt;0,$K$1=0,$P$1&gt;0),#REF!&amp;$A$1&amp;$AA$29&amp;$U$1&amp;$F$1&amp;$AA$29&amp;$U$3&amp;$P$1&amp;$AA$30, "")</f>
        <v>#REF!</v>
      </c>
    </row>
    <row r="42" spans="1:25">
      <c r="A42" s="509">
        <v>30</v>
      </c>
      <c r="B42" s="510" t="s">
        <v>382</v>
      </c>
      <c r="C42" s="502"/>
      <c r="D42" s="503"/>
      <c r="E42" s="502"/>
      <c r="F42" s="509">
        <v>30</v>
      </c>
      <c r="G42" s="510" t="s">
        <v>382</v>
      </c>
      <c r="H42" s="502"/>
      <c r="I42" s="503"/>
      <c r="K42" s="509">
        <v>30</v>
      </c>
      <c r="L42" s="510" t="s">
        <v>382</v>
      </c>
      <c r="M42" s="502"/>
      <c r="N42" s="503"/>
      <c r="P42" s="509">
        <v>30</v>
      </c>
      <c r="Q42" s="510" t="s">
        <v>382</v>
      </c>
      <c r="R42" s="502"/>
      <c r="S42" s="503"/>
      <c r="T42" s="522" t="e">
        <f t="shared" si="5"/>
        <v>#REF!</v>
      </c>
      <c r="U42" s="518">
        <v>1</v>
      </c>
      <c r="V42" s="518">
        <v>1</v>
      </c>
      <c r="W42" s="518">
        <v>1</v>
      </c>
      <c r="X42" s="518">
        <v>0</v>
      </c>
      <c r="Y42" s="524" t="e">
        <f>IF(AND($A$1&gt;0,$F$1&gt;0,$K$1&gt;0,$P$1=0),#REF!&amp;$A$1&amp;$AA$29&amp;$U$1&amp;$F$1&amp;$AA$29&amp;$U$2&amp;$K$1, "")</f>
        <v>#REF!</v>
      </c>
    </row>
    <row r="43" spans="1:25">
      <c r="A43" s="509">
        <v>31</v>
      </c>
      <c r="B43" s="510" t="s">
        <v>383</v>
      </c>
      <c r="C43" s="502"/>
      <c r="D43" s="503"/>
      <c r="E43" s="502"/>
      <c r="F43" s="509">
        <v>31</v>
      </c>
      <c r="G43" s="510" t="s">
        <v>383</v>
      </c>
      <c r="H43" s="502"/>
      <c r="I43" s="503"/>
      <c r="K43" s="509">
        <v>31</v>
      </c>
      <c r="L43" s="510" t="s">
        <v>383</v>
      </c>
      <c r="M43" s="502"/>
      <c r="N43" s="503"/>
      <c r="P43" s="509">
        <v>31</v>
      </c>
      <c r="Q43" s="510" t="s">
        <v>383</v>
      </c>
      <c r="R43" s="502"/>
      <c r="S43" s="503"/>
      <c r="T43" s="522" t="e">
        <f t="shared" si="5"/>
        <v>#REF!</v>
      </c>
      <c r="U43" s="518">
        <v>1</v>
      </c>
      <c r="V43" s="518">
        <v>1</v>
      </c>
      <c r="W43" s="518">
        <v>1</v>
      </c>
      <c r="X43" s="518">
        <v>1</v>
      </c>
      <c r="Y43" s="525" t="e">
        <f>IF(AND($A$1&gt;0,$F$1&gt;0,$K$1&gt;0,$P$1&gt;0),#REF!&amp;$A$1&amp;$AA$29&amp;$U$1&amp;$F$1&amp;$AA$29&amp;$U$2&amp;$K$1&amp;$AA$29&amp;$U$3&amp;$P$1&amp;$AA$30, "")</f>
        <v>#REF!</v>
      </c>
    </row>
    <row r="44" spans="1:25">
      <c r="A44" s="509">
        <v>32</v>
      </c>
      <c r="B44" s="510" t="s">
        <v>384</v>
      </c>
      <c r="C44" s="502"/>
      <c r="D44" s="503"/>
      <c r="E44" s="502"/>
      <c r="F44" s="509">
        <v>32</v>
      </c>
      <c r="G44" s="510" t="s">
        <v>384</v>
      </c>
      <c r="H44" s="502"/>
      <c r="I44" s="503"/>
      <c r="K44" s="509">
        <v>32</v>
      </c>
      <c r="L44" s="510" t="s">
        <v>384</v>
      </c>
      <c r="M44" s="502"/>
      <c r="N44" s="503"/>
      <c r="P44" s="509">
        <v>32</v>
      </c>
      <c r="Q44" s="510" t="s">
        <v>384</v>
      </c>
      <c r="R44" s="502"/>
      <c r="S44" s="503"/>
    </row>
    <row r="45" spans="1:25">
      <c r="A45" s="509">
        <v>33</v>
      </c>
      <c r="B45" s="510" t="s">
        <v>385</v>
      </c>
      <c r="C45" s="502"/>
      <c r="D45" s="503"/>
      <c r="E45" s="502"/>
      <c r="F45" s="509">
        <v>33</v>
      </c>
      <c r="G45" s="510" t="s">
        <v>385</v>
      </c>
      <c r="H45" s="502"/>
      <c r="I45" s="503"/>
      <c r="K45" s="509">
        <v>33</v>
      </c>
      <c r="L45" s="510" t="s">
        <v>385</v>
      </c>
      <c r="M45" s="502"/>
      <c r="N45" s="503"/>
      <c r="P45" s="509">
        <v>33</v>
      </c>
      <c r="Q45" s="510" t="s">
        <v>385</v>
      </c>
      <c r="R45" s="502"/>
      <c r="S45" s="503"/>
    </row>
    <row r="46" spans="1:25">
      <c r="A46" s="509">
        <v>34</v>
      </c>
      <c r="B46" s="510" t="s">
        <v>386</v>
      </c>
      <c r="C46" s="502"/>
      <c r="D46" s="503"/>
      <c r="E46" s="502"/>
      <c r="F46" s="509">
        <v>34</v>
      </c>
      <c r="G46" s="510" t="s">
        <v>386</v>
      </c>
      <c r="H46" s="502"/>
      <c r="I46" s="503"/>
      <c r="K46" s="509">
        <v>34</v>
      </c>
      <c r="L46" s="510" t="s">
        <v>386</v>
      </c>
      <c r="M46" s="502"/>
      <c r="N46" s="503"/>
      <c r="P46" s="509">
        <v>34</v>
      </c>
      <c r="Q46" s="510" t="s">
        <v>386</v>
      </c>
      <c r="R46" s="502"/>
      <c r="S46" s="503"/>
    </row>
    <row r="47" spans="1:25">
      <c r="A47" s="509">
        <v>35</v>
      </c>
      <c r="B47" s="510" t="s">
        <v>387</v>
      </c>
      <c r="C47" s="502"/>
      <c r="D47" s="503"/>
      <c r="E47" s="502"/>
      <c r="F47" s="509">
        <v>35</v>
      </c>
      <c r="G47" s="510" t="s">
        <v>387</v>
      </c>
      <c r="H47" s="502"/>
      <c r="I47" s="503"/>
      <c r="K47" s="509">
        <v>35</v>
      </c>
      <c r="L47" s="510" t="s">
        <v>387</v>
      </c>
      <c r="M47" s="502"/>
      <c r="N47" s="503"/>
      <c r="P47" s="509">
        <v>35</v>
      </c>
      <c r="Q47" s="510" t="s">
        <v>387</v>
      </c>
      <c r="R47" s="502"/>
      <c r="S47" s="503"/>
    </row>
    <row r="48" spans="1:25">
      <c r="A48" s="509">
        <v>36</v>
      </c>
      <c r="B48" s="510" t="s">
        <v>388</v>
      </c>
      <c r="C48" s="502"/>
      <c r="D48" s="503"/>
      <c r="E48" s="502"/>
      <c r="F48" s="509">
        <v>36</v>
      </c>
      <c r="G48" s="510" t="s">
        <v>388</v>
      </c>
      <c r="H48" s="502"/>
      <c r="I48" s="503"/>
      <c r="K48" s="509">
        <v>36</v>
      </c>
      <c r="L48" s="510" t="s">
        <v>388</v>
      </c>
      <c r="M48" s="502"/>
      <c r="N48" s="503"/>
      <c r="P48" s="509">
        <v>36</v>
      </c>
      <c r="Q48" s="510" t="s">
        <v>388</v>
      </c>
      <c r="R48" s="502"/>
      <c r="S48" s="503"/>
    </row>
    <row r="49" spans="1:19">
      <c r="A49" s="509">
        <v>37</v>
      </c>
      <c r="B49" s="510" t="s">
        <v>389</v>
      </c>
      <c r="C49" s="502"/>
      <c r="D49" s="503"/>
      <c r="E49" s="502"/>
      <c r="F49" s="509">
        <v>37</v>
      </c>
      <c r="G49" s="510" t="s">
        <v>389</v>
      </c>
      <c r="H49" s="502"/>
      <c r="I49" s="503"/>
      <c r="K49" s="509">
        <v>37</v>
      </c>
      <c r="L49" s="510" t="s">
        <v>389</v>
      </c>
      <c r="M49" s="502"/>
      <c r="N49" s="503"/>
      <c r="P49" s="509">
        <v>37</v>
      </c>
      <c r="Q49" s="510" t="s">
        <v>389</v>
      </c>
      <c r="R49" s="502"/>
      <c r="S49" s="503"/>
    </row>
    <row r="50" spans="1:19">
      <c r="A50" s="509">
        <v>38</v>
      </c>
      <c r="B50" s="510" t="s">
        <v>390</v>
      </c>
      <c r="C50" s="502"/>
      <c r="D50" s="503"/>
      <c r="E50" s="502"/>
      <c r="F50" s="509">
        <v>38</v>
      </c>
      <c r="G50" s="510" t="s">
        <v>390</v>
      </c>
      <c r="H50" s="502"/>
      <c r="I50" s="503"/>
      <c r="K50" s="509">
        <v>38</v>
      </c>
      <c r="L50" s="510" t="s">
        <v>390</v>
      </c>
      <c r="M50" s="502"/>
      <c r="N50" s="503"/>
      <c r="P50" s="509">
        <v>38</v>
      </c>
      <c r="Q50" s="510" t="s">
        <v>390</v>
      </c>
      <c r="R50" s="502"/>
      <c r="S50" s="503"/>
    </row>
    <row r="51" spans="1:19">
      <c r="A51" s="509">
        <v>39</v>
      </c>
      <c r="B51" s="510" t="s">
        <v>391</v>
      </c>
      <c r="C51" s="502"/>
      <c r="D51" s="503"/>
      <c r="E51" s="502"/>
      <c r="F51" s="509">
        <v>39</v>
      </c>
      <c r="G51" s="510" t="s">
        <v>391</v>
      </c>
      <c r="H51" s="502"/>
      <c r="I51" s="503"/>
      <c r="K51" s="509">
        <v>39</v>
      </c>
      <c r="L51" s="510" t="s">
        <v>391</v>
      </c>
      <c r="M51" s="502"/>
      <c r="N51" s="503"/>
      <c r="P51" s="509">
        <v>39</v>
      </c>
      <c r="Q51" s="510" t="s">
        <v>391</v>
      </c>
      <c r="R51" s="502"/>
      <c r="S51" s="503"/>
    </row>
    <row r="52" spans="1:19">
      <c r="A52" s="509">
        <v>40</v>
      </c>
      <c r="B52" s="510" t="s">
        <v>392</v>
      </c>
      <c r="C52" s="502"/>
      <c r="D52" s="503"/>
      <c r="E52" s="502"/>
      <c r="F52" s="509">
        <v>40</v>
      </c>
      <c r="G52" s="510" t="s">
        <v>392</v>
      </c>
      <c r="H52" s="502"/>
      <c r="I52" s="503"/>
      <c r="K52" s="509">
        <v>40</v>
      </c>
      <c r="L52" s="510" t="s">
        <v>392</v>
      </c>
      <c r="M52" s="502"/>
      <c r="N52" s="503"/>
      <c r="P52" s="509">
        <v>40</v>
      </c>
      <c r="Q52" s="510" t="s">
        <v>392</v>
      </c>
      <c r="R52" s="502"/>
      <c r="S52" s="503"/>
    </row>
    <row r="53" spans="1:19">
      <c r="A53" s="509">
        <v>41</v>
      </c>
      <c r="B53" s="510" t="s">
        <v>393</v>
      </c>
      <c r="C53" s="502"/>
      <c r="D53" s="503"/>
      <c r="E53" s="502"/>
      <c r="F53" s="509">
        <v>41</v>
      </c>
      <c r="G53" s="510" t="s">
        <v>393</v>
      </c>
      <c r="H53" s="502"/>
      <c r="I53" s="503"/>
      <c r="K53" s="509">
        <v>41</v>
      </c>
      <c r="L53" s="510" t="s">
        <v>393</v>
      </c>
      <c r="M53" s="502"/>
      <c r="N53" s="503"/>
      <c r="P53" s="509">
        <v>41</v>
      </c>
      <c r="Q53" s="510" t="s">
        <v>393</v>
      </c>
      <c r="R53" s="502"/>
      <c r="S53" s="503"/>
    </row>
    <row r="54" spans="1:19">
      <c r="A54" s="509">
        <v>42</v>
      </c>
      <c r="B54" s="510" t="s">
        <v>394</v>
      </c>
      <c r="C54" s="502"/>
      <c r="D54" s="503"/>
      <c r="E54" s="502"/>
      <c r="F54" s="509">
        <v>42</v>
      </c>
      <c r="G54" s="510" t="s">
        <v>394</v>
      </c>
      <c r="H54" s="502"/>
      <c r="I54" s="503"/>
      <c r="K54" s="509">
        <v>42</v>
      </c>
      <c r="L54" s="510" t="s">
        <v>394</v>
      </c>
      <c r="M54" s="502"/>
      <c r="N54" s="503"/>
      <c r="P54" s="509">
        <v>42</v>
      </c>
      <c r="Q54" s="510" t="s">
        <v>394</v>
      </c>
      <c r="R54" s="502"/>
      <c r="S54" s="503"/>
    </row>
    <row r="55" spans="1:19">
      <c r="A55" s="509">
        <v>43</v>
      </c>
      <c r="B55" s="510" t="s">
        <v>395</v>
      </c>
      <c r="C55" s="502"/>
      <c r="D55" s="503"/>
      <c r="E55" s="502"/>
      <c r="F55" s="509">
        <v>43</v>
      </c>
      <c r="G55" s="510" t="s">
        <v>395</v>
      </c>
      <c r="H55" s="502"/>
      <c r="I55" s="503"/>
      <c r="K55" s="509">
        <v>43</v>
      </c>
      <c r="L55" s="510" t="s">
        <v>395</v>
      </c>
      <c r="M55" s="502"/>
      <c r="N55" s="503"/>
      <c r="P55" s="509">
        <v>43</v>
      </c>
      <c r="Q55" s="510" t="s">
        <v>395</v>
      </c>
      <c r="R55" s="502"/>
      <c r="S55" s="503"/>
    </row>
    <row r="56" spans="1:19">
      <c r="A56" s="509">
        <v>44</v>
      </c>
      <c r="B56" s="510" t="s">
        <v>396</v>
      </c>
      <c r="C56" s="502"/>
      <c r="D56" s="503"/>
      <c r="E56" s="502"/>
      <c r="F56" s="509">
        <v>44</v>
      </c>
      <c r="G56" s="510" t="s">
        <v>396</v>
      </c>
      <c r="H56" s="502"/>
      <c r="I56" s="503"/>
      <c r="K56" s="509">
        <v>44</v>
      </c>
      <c r="L56" s="510" t="s">
        <v>396</v>
      </c>
      <c r="M56" s="502"/>
      <c r="N56" s="503"/>
      <c r="P56" s="509">
        <v>44</v>
      </c>
      <c r="Q56" s="510" t="s">
        <v>396</v>
      </c>
      <c r="R56" s="502"/>
      <c r="S56" s="503"/>
    </row>
    <row r="57" spans="1:19">
      <c r="A57" s="509">
        <v>45</v>
      </c>
      <c r="B57" s="510" t="s">
        <v>397</v>
      </c>
      <c r="C57" s="502"/>
      <c r="D57" s="503"/>
      <c r="E57" s="502"/>
      <c r="F57" s="509">
        <v>45</v>
      </c>
      <c r="G57" s="510" t="s">
        <v>397</v>
      </c>
      <c r="H57" s="502"/>
      <c r="I57" s="503"/>
      <c r="K57" s="509">
        <v>45</v>
      </c>
      <c r="L57" s="510" t="s">
        <v>397</v>
      </c>
      <c r="M57" s="502"/>
      <c r="N57" s="503"/>
      <c r="P57" s="509">
        <v>45</v>
      </c>
      <c r="Q57" s="510" t="s">
        <v>397</v>
      </c>
      <c r="R57" s="502"/>
      <c r="S57" s="503"/>
    </row>
    <row r="58" spans="1:19">
      <c r="A58" s="509">
        <v>46</v>
      </c>
      <c r="B58" s="510" t="s">
        <v>398</v>
      </c>
      <c r="C58" s="502"/>
      <c r="D58" s="503"/>
      <c r="E58" s="502"/>
      <c r="F58" s="509">
        <v>46</v>
      </c>
      <c r="G58" s="510" t="s">
        <v>398</v>
      </c>
      <c r="H58" s="502"/>
      <c r="I58" s="503"/>
      <c r="K58" s="509">
        <v>46</v>
      </c>
      <c r="L58" s="510" t="s">
        <v>398</v>
      </c>
      <c r="M58" s="502"/>
      <c r="N58" s="503"/>
      <c r="P58" s="509">
        <v>46</v>
      </c>
      <c r="Q58" s="510" t="s">
        <v>398</v>
      </c>
      <c r="R58" s="502"/>
      <c r="S58" s="503"/>
    </row>
    <row r="59" spans="1:19">
      <c r="A59" s="509">
        <v>47</v>
      </c>
      <c r="B59" s="510" t="s">
        <v>399</v>
      </c>
      <c r="C59" s="502"/>
      <c r="D59" s="503"/>
      <c r="E59" s="502"/>
      <c r="F59" s="509">
        <v>47</v>
      </c>
      <c r="G59" s="510" t="s">
        <v>399</v>
      </c>
      <c r="H59" s="502"/>
      <c r="I59" s="503"/>
      <c r="K59" s="509">
        <v>47</v>
      </c>
      <c r="L59" s="510" t="s">
        <v>399</v>
      </c>
      <c r="M59" s="502"/>
      <c r="N59" s="503"/>
      <c r="P59" s="509">
        <v>47</v>
      </c>
      <c r="Q59" s="510" t="s">
        <v>399</v>
      </c>
      <c r="R59" s="502"/>
      <c r="S59" s="503"/>
    </row>
    <row r="60" spans="1:19">
      <c r="A60" s="509">
        <v>48</v>
      </c>
      <c r="B60" s="510" t="s">
        <v>400</v>
      </c>
      <c r="C60" s="502"/>
      <c r="D60" s="503"/>
      <c r="E60" s="502"/>
      <c r="F60" s="509">
        <v>48</v>
      </c>
      <c r="G60" s="510" t="s">
        <v>400</v>
      </c>
      <c r="H60" s="502"/>
      <c r="I60" s="503"/>
      <c r="K60" s="509">
        <v>48</v>
      </c>
      <c r="L60" s="510" t="s">
        <v>400</v>
      </c>
      <c r="M60" s="502"/>
      <c r="N60" s="503"/>
      <c r="P60" s="509">
        <v>48</v>
      </c>
      <c r="Q60" s="510" t="s">
        <v>400</v>
      </c>
      <c r="R60" s="502"/>
      <c r="S60" s="503"/>
    </row>
    <row r="61" spans="1:19">
      <c r="A61" s="509">
        <v>49</v>
      </c>
      <c r="B61" s="510" t="s">
        <v>401</v>
      </c>
      <c r="C61" s="502"/>
      <c r="D61" s="503"/>
      <c r="E61" s="502"/>
      <c r="F61" s="509">
        <v>49</v>
      </c>
      <c r="G61" s="510" t="s">
        <v>401</v>
      </c>
      <c r="H61" s="502"/>
      <c r="I61" s="503"/>
      <c r="K61" s="509">
        <v>49</v>
      </c>
      <c r="L61" s="510" t="s">
        <v>401</v>
      </c>
      <c r="M61" s="502"/>
      <c r="N61" s="503"/>
      <c r="P61" s="509">
        <v>49</v>
      </c>
      <c r="Q61" s="510" t="s">
        <v>401</v>
      </c>
      <c r="R61" s="502"/>
      <c r="S61" s="503"/>
    </row>
    <row r="62" spans="1:19">
      <c r="A62" s="509">
        <v>50</v>
      </c>
      <c r="B62" s="510" t="s">
        <v>402</v>
      </c>
      <c r="C62" s="502"/>
      <c r="D62" s="503"/>
      <c r="E62" s="502"/>
      <c r="F62" s="509">
        <v>50</v>
      </c>
      <c r="G62" s="510" t="s">
        <v>402</v>
      </c>
      <c r="H62" s="502"/>
      <c r="I62" s="503"/>
      <c r="K62" s="509">
        <v>50</v>
      </c>
      <c r="L62" s="510" t="s">
        <v>402</v>
      </c>
      <c r="M62" s="502"/>
      <c r="N62" s="503"/>
      <c r="P62" s="509">
        <v>50</v>
      </c>
      <c r="Q62" s="510" t="s">
        <v>402</v>
      </c>
      <c r="R62" s="502"/>
      <c r="S62" s="503"/>
    </row>
    <row r="63" spans="1:19">
      <c r="A63" s="509">
        <v>51</v>
      </c>
      <c r="B63" s="510" t="s">
        <v>403</v>
      </c>
      <c r="C63" s="502"/>
      <c r="D63" s="503"/>
      <c r="E63" s="502"/>
      <c r="F63" s="509">
        <v>51</v>
      </c>
      <c r="G63" s="510" t="s">
        <v>403</v>
      </c>
      <c r="H63" s="502"/>
      <c r="I63" s="503"/>
      <c r="K63" s="509">
        <v>51</v>
      </c>
      <c r="L63" s="510" t="s">
        <v>403</v>
      </c>
      <c r="M63" s="502"/>
      <c r="N63" s="503"/>
      <c r="P63" s="509">
        <v>51</v>
      </c>
      <c r="Q63" s="510" t="s">
        <v>403</v>
      </c>
      <c r="R63" s="502"/>
      <c r="S63" s="503"/>
    </row>
    <row r="64" spans="1:19">
      <c r="A64" s="509">
        <v>52</v>
      </c>
      <c r="B64" s="510" t="s">
        <v>404</v>
      </c>
      <c r="C64" s="502"/>
      <c r="D64" s="503"/>
      <c r="E64" s="502"/>
      <c r="F64" s="509">
        <v>52</v>
      </c>
      <c r="G64" s="510" t="s">
        <v>404</v>
      </c>
      <c r="H64" s="502"/>
      <c r="I64" s="503"/>
      <c r="K64" s="509">
        <v>52</v>
      </c>
      <c r="L64" s="510" t="s">
        <v>404</v>
      </c>
      <c r="M64" s="502"/>
      <c r="N64" s="503"/>
      <c r="P64" s="509">
        <v>52</v>
      </c>
      <c r="Q64" s="510" t="s">
        <v>404</v>
      </c>
      <c r="R64" s="502"/>
      <c r="S64" s="503"/>
    </row>
    <row r="65" spans="1:19">
      <c r="A65" s="509">
        <v>53</v>
      </c>
      <c r="B65" s="510" t="s">
        <v>405</v>
      </c>
      <c r="C65" s="502"/>
      <c r="D65" s="503"/>
      <c r="E65" s="502"/>
      <c r="F65" s="509">
        <v>53</v>
      </c>
      <c r="G65" s="510" t="s">
        <v>405</v>
      </c>
      <c r="H65" s="502"/>
      <c r="I65" s="503"/>
      <c r="K65" s="509">
        <v>53</v>
      </c>
      <c r="L65" s="510" t="s">
        <v>405</v>
      </c>
      <c r="M65" s="502"/>
      <c r="N65" s="503"/>
      <c r="P65" s="509">
        <v>53</v>
      </c>
      <c r="Q65" s="510" t="s">
        <v>405</v>
      </c>
      <c r="R65" s="502"/>
      <c r="S65" s="503"/>
    </row>
    <row r="66" spans="1:19">
      <c r="A66" s="509">
        <v>54</v>
      </c>
      <c r="B66" s="510" t="s">
        <v>406</v>
      </c>
      <c r="C66" s="502"/>
      <c r="D66" s="503"/>
      <c r="E66" s="502"/>
      <c r="F66" s="509">
        <v>54</v>
      </c>
      <c r="G66" s="510" t="s">
        <v>406</v>
      </c>
      <c r="H66" s="502"/>
      <c r="I66" s="503"/>
      <c r="K66" s="509">
        <v>54</v>
      </c>
      <c r="L66" s="510" t="s">
        <v>406</v>
      </c>
      <c r="M66" s="502"/>
      <c r="N66" s="503"/>
      <c r="P66" s="509">
        <v>54</v>
      </c>
      <c r="Q66" s="510" t="s">
        <v>406</v>
      </c>
      <c r="R66" s="502"/>
      <c r="S66" s="503"/>
    </row>
    <row r="67" spans="1:19">
      <c r="A67" s="509">
        <v>55</v>
      </c>
      <c r="B67" s="510" t="s">
        <v>407</v>
      </c>
      <c r="C67" s="502"/>
      <c r="D67" s="503"/>
      <c r="E67" s="502"/>
      <c r="F67" s="509">
        <v>55</v>
      </c>
      <c r="G67" s="510" t="s">
        <v>407</v>
      </c>
      <c r="H67" s="502"/>
      <c r="I67" s="503"/>
      <c r="K67" s="509">
        <v>55</v>
      </c>
      <c r="L67" s="510" t="s">
        <v>407</v>
      </c>
      <c r="M67" s="502"/>
      <c r="N67" s="503"/>
      <c r="P67" s="509">
        <v>55</v>
      </c>
      <c r="Q67" s="510" t="s">
        <v>407</v>
      </c>
      <c r="R67" s="502"/>
      <c r="S67" s="503"/>
    </row>
    <row r="68" spans="1:19">
      <c r="A68" s="509">
        <v>56</v>
      </c>
      <c r="B68" s="510" t="s">
        <v>408</v>
      </c>
      <c r="C68" s="502"/>
      <c r="D68" s="503"/>
      <c r="E68" s="502"/>
      <c r="F68" s="509">
        <v>56</v>
      </c>
      <c r="G68" s="510" t="s">
        <v>408</v>
      </c>
      <c r="H68" s="502"/>
      <c r="I68" s="503"/>
      <c r="K68" s="509">
        <v>56</v>
      </c>
      <c r="L68" s="510" t="s">
        <v>408</v>
      </c>
      <c r="M68" s="502"/>
      <c r="N68" s="503"/>
      <c r="P68" s="509">
        <v>56</v>
      </c>
      <c r="Q68" s="510" t="s">
        <v>408</v>
      </c>
      <c r="R68" s="502"/>
      <c r="S68" s="503"/>
    </row>
    <row r="69" spans="1:19">
      <c r="A69" s="509">
        <v>57</v>
      </c>
      <c r="B69" s="510" t="s">
        <v>409</v>
      </c>
      <c r="C69" s="502"/>
      <c r="D69" s="503"/>
      <c r="E69" s="502"/>
      <c r="F69" s="509">
        <v>57</v>
      </c>
      <c r="G69" s="510" t="s">
        <v>409</v>
      </c>
      <c r="H69" s="502"/>
      <c r="I69" s="503"/>
      <c r="K69" s="509">
        <v>57</v>
      </c>
      <c r="L69" s="510" t="s">
        <v>409</v>
      </c>
      <c r="M69" s="502"/>
      <c r="N69" s="503"/>
      <c r="P69" s="509">
        <v>57</v>
      </c>
      <c r="Q69" s="510" t="s">
        <v>409</v>
      </c>
      <c r="R69" s="502"/>
      <c r="S69" s="503"/>
    </row>
    <row r="70" spans="1:19">
      <c r="A70" s="509">
        <v>58</v>
      </c>
      <c r="B70" s="510" t="s">
        <v>410</v>
      </c>
      <c r="C70" s="502"/>
      <c r="D70" s="503"/>
      <c r="E70" s="502"/>
      <c r="F70" s="509">
        <v>58</v>
      </c>
      <c r="G70" s="510" t="s">
        <v>410</v>
      </c>
      <c r="H70" s="502"/>
      <c r="I70" s="503"/>
      <c r="K70" s="509">
        <v>58</v>
      </c>
      <c r="L70" s="510" t="s">
        <v>410</v>
      </c>
      <c r="M70" s="502"/>
      <c r="N70" s="503"/>
      <c r="P70" s="509">
        <v>58</v>
      </c>
      <c r="Q70" s="510" t="s">
        <v>410</v>
      </c>
      <c r="R70" s="502"/>
      <c r="S70" s="503"/>
    </row>
    <row r="71" spans="1:19">
      <c r="A71" s="509">
        <v>59</v>
      </c>
      <c r="B71" s="510" t="s">
        <v>411</v>
      </c>
      <c r="C71" s="502"/>
      <c r="D71" s="503"/>
      <c r="E71" s="502"/>
      <c r="F71" s="509">
        <v>59</v>
      </c>
      <c r="G71" s="510" t="s">
        <v>411</v>
      </c>
      <c r="H71" s="502"/>
      <c r="I71" s="503"/>
      <c r="K71" s="509">
        <v>59</v>
      </c>
      <c r="L71" s="510" t="s">
        <v>411</v>
      </c>
      <c r="M71" s="502"/>
      <c r="N71" s="503"/>
      <c r="P71" s="509">
        <v>59</v>
      </c>
      <c r="Q71" s="510" t="s">
        <v>411</v>
      </c>
      <c r="R71" s="502"/>
      <c r="S71" s="503"/>
    </row>
    <row r="72" spans="1:19">
      <c r="A72" s="509">
        <v>60</v>
      </c>
      <c r="B72" s="510" t="s">
        <v>412</v>
      </c>
      <c r="C72" s="502"/>
      <c r="D72" s="503"/>
      <c r="E72" s="502"/>
      <c r="F72" s="509">
        <v>60</v>
      </c>
      <c r="G72" s="510" t="s">
        <v>412</v>
      </c>
      <c r="H72" s="502"/>
      <c r="I72" s="503"/>
      <c r="K72" s="509">
        <v>60</v>
      </c>
      <c r="L72" s="510" t="s">
        <v>412</v>
      </c>
      <c r="M72" s="502"/>
      <c r="N72" s="503"/>
      <c r="P72" s="509">
        <v>60</v>
      </c>
      <c r="Q72" s="510" t="s">
        <v>412</v>
      </c>
      <c r="R72" s="502"/>
      <c r="S72" s="503"/>
    </row>
    <row r="73" spans="1:19">
      <c r="A73" s="509">
        <v>61</v>
      </c>
      <c r="B73" s="510" t="s">
        <v>413</v>
      </c>
      <c r="C73" s="502"/>
      <c r="D73" s="503"/>
      <c r="E73" s="502"/>
      <c r="F73" s="509">
        <v>61</v>
      </c>
      <c r="G73" s="510" t="s">
        <v>413</v>
      </c>
      <c r="H73" s="502"/>
      <c r="I73" s="503"/>
      <c r="K73" s="509">
        <v>61</v>
      </c>
      <c r="L73" s="510" t="s">
        <v>413</v>
      </c>
      <c r="M73" s="502"/>
      <c r="N73" s="503"/>
      <c r="P73" s="509">
        <v>61</v>
      </c>
      <c r="Q73" s="510" t="s">
        <v>413</v>
      </c>
      <c r="R73" s="502"/>
      <c r="S73" s="503"/>
    </row>
    <row r="74" spans="1:19">
      <c r="A74" s="509">
        <v>62</v>
      </c>
      <c r="B74" s="510" t="s">
        <v>414</v>
      </c>
      <c r="C74" s="502"/>
      <c r="D74" s="503"/>
      <c r="E74" s="502"/>
      <c r="F74" s="509">
        <v>62</v>
      </c>
      <c r="G74" s="510" t="s">
        <v>414</v>
      </c>
      <c r="H74" s="502"/>
      <c r="I74" s="503"/>
      <c r="K74" s="509">
        <v>62</v>
      </c>
      <c r="L74" s="510" t="s">
        <v>414</v>
      </c>
      <c r="M74" s="502"/>
      <c r="N74" s="503"/>
      <c r="P74" s="509">
        <v>62</v>
      </c>
      <c r="Q74" s="510" t="s">
        <v>414</v>
      </c>
      <c r="R74" s="502"/>
      <c r="S74" s="503"/>
    </row>
    <row r="75" spans="1:19">
      <c r="A75" s="509">
        <v>63</v>
      </c>
      <c r="B75" s="510" t="s">
        <v>415</v>
      </c>
      <c r="C75" s="502"/>
      <c r="D75" s="503"/>
      <c r="E75" s="502"/>
      <c r="F75" s="509">
        <v>63</v>
      </c>
      <c r="G75" s="510" t="s">
        <v>415</v>
      </c>
      <c r="H75" s="502"/>
      <c r="I75" s="503"/>
      <c r="K75" s="509">
        <v>63</v>
      </c>
      <c r="L75" s="510" t="s">
        <v>415</v>
      </c>
      <c r="M75" s="502"/>
      <c r="N75" s="503"/>
      <c r="P75" s="509">
        <v>63</v>
      </c>
      <c r="Q75" s="510" t="s">
        <v>415</v>
      </c>
      <c r="R75" s="502"/>
      <c r="S75" s="503"/>
    </row>
    <row r="76" spans="1:19">
      <c r="A76" s="509">
        <v>64</v>
      </c>
      <c r="B76" s="510" t="s">
        <v>416</v>
      </c>
      <c r="C76" s="502"/>
      <c r="D76" s="503"/>
      <c r="E76" s="502"/>
      <c r="F76" s="509">
        <v>64</v>
      </c>
      <c r="G76" s="510" t="s">
        <v>416</v>
      </c>
      <c r="H76" s="502"/>
      <c r="I76" s="503"/>
      <c r="K76" s="509">
        <v>64</v>
      </c>
      <c r="L76" s="510" t="s">
        <v>416</v>
      </c>
      <c r="M76" s="502"/>
      <c r="N76" s="503"/>
      <c r="P76" s="509">
        <v>64</v>
      </c>
      <c r="Q76" s="510" t="s">
        <v>416</v>
      </c>
      <c r="R76" s="502"/>
      <c r="S76" s="503"/>
    </row>
    <row r="77" spans="1:19">
      <c r="A77" s="509">
        <v>65</v>
      </c>
      <c r="B77" s="510" t="s">
        <v>417</v>
      </c>
      <c r="C77" s="502"/>
      <c r="D77" s="503"/>
      <c r="E77" s="502"/>
      <c r="F77" s="509">
        <v>65</v>
      </c>
      <c r="G77" s="510" t="s">
        <v>417</v>
      </c>
      <c r="H77" s="502"/>
      <c r="I77" s="503"/>
      <c r="K77" s="509">
        <v>65</v>
      </c>
      <c r="L77" s="510" t="s">
        <v>417</v>
      </c>
      <c r="M77" s="502"/>
      <c r="N77" s="503"/>
      <c r="P77" s="509">
        <v>65</v>
      </c>
      <c r="Q77" s="510" t="s">
        <v>417</v>
      </c>
      <c r="R77" s="502"/>
      <c r="S77" s="503"/>
    </row>
    <row r="78" spans="1:19">
      <c r="A78" s="509">
        <v>66</v>
      </c>
      <c r="B78" s="510" t="s">
        <v>418</v>
      </c>
      <c r="C78" s="502"/>
      <c r="D78" s="503"/>
      <c r="E78" s="502"/>
      <c r="F78" s="509">
        <v>66</v>
      </c>
      <c r="G78" s="510" t="s">
        <v>418</v>
      </c>
      <c r="H78" s="502"/>
      <c r="I78" s="503"/>
      <c r="K78" s="509">
        <v>66</v>
      </c>
      <c r="L78" s="510" t="s">
        <v>418</v>
      </c>
      <c r="M78" s="502"/>
      <c r="N78" s="503"/>
      <c r="P78" s="509">
        <v>66</v>
      </c>
      <c r="Q78" s="510" t="s">
        <v>418</v>
      </c>
      <c r="R78" s="502"/>
      <c r="S78" s="503"/>
    </row>
    <row r="79" spans="1:19">
      <c r="A79" s="509">
        <v>67</v>
      </c>
      <c r="B79" s="510" t="s">
        <v>419</v>
      </c>
      <c r="C79" s="502"/>
      <c r="D79" s="503"/>
      <c r="E79" s="502"/>
      <c r="F79" s="509">
        <v>67</v>
      </c>
      <c r="G79" s="510" t="s">
        <v>419</v>
      </c>
      <c r="H79" s="502"/>
      <c r="I79" s="503"/>
      <c r="K79" s="509">
        <v>67</v>
      </c>
      <c r="L79" s="510" t="s">
        <v>419</v>
      </c>
      <c r="M79" s="502"/>
      <c r="N79" s="503"/>
      <c r="P79" s="509">
        <v>67</v>
      </c>
      <c r="Q79" s="510" t="s">
        <v>419</v>
      </c>
      <c r="R79" s="502"/>
      <c r="S79" s="503"/>
    </row>
    <row r="80" spans="1:19">
      <c r="A80" s="509">
        <v>68</v>
      </c>
      <c r="B80" s="510" t="s">
        <v>420</v>
      </c>
      <c r="C80" s="502"/>
      <c r="D80" s="503"/>
      <c r="E80" s="502"/>
      <c r="F80" s="509">
        <v>68</v>
      </c>
      <c r="G80" s="510" t="s">
        <v>420</v>
      </c>
      <c r="H80" s="502"/>
      <c r="I80" s="503"/>
      <c r="K80" s="509">
        <v>68</v>
      </c>
      <c r="L80" s="510" t="s">
        <v>420</v>
      </c>
      <c r="M80" s="502"/>
      <c r="N80" s="503"/>
      <c r="P80" s="509">
        <v>68</v>
      </c>
      <c r="Q80" s="510" t="s">
        <v>420</v>
      </c>
      <c r="R80" s="502"/>
      <c r="S80" s="503"/>
    </row>
    <row r="81" spans="1:19">
      <c r="A81" s="509">
        <v>69</v>
      </c>
      <c r="B81" s="510" t="s">
        <v>421</v>
      </c>
      <c r="C81" s="502"/>
      <c r="D81" s="503"/>
      <c r="E81" s="502"/>
      <c r="F81" s="509">
        <v>69</v>
      </c>
      <c r="G81" s="510" t="s">
        <v>421</v>
      </c>
      <c r="H81" s="502"/>
      <c r="I81" s="503"/>
      <c r="K81" s="509">
        <v>69</v>
      </c>
      <c r="L81" s="510" t="s">
        <v>421</v>
      </c>
      <c r="M81" s="502"/>
      <c r="N81" s="503"/>
      <c r="P81" s="509">
        <v>69</v>
      </c>
      <c r="Q81" s="510" t="s">
        <v>421</v>
      </c>
      <c r="R81" s="502"/>
      <c r="S81" s="503"/>
    </row>
    <row r="82" spans="1:19">
      <c r="A82" s="509">
        <v>70</v>
      </c>
      <c r="B82" s="510" t="s">
        <v>422</v>
      </c>
      <c r="C82" s="502"/>
      <c r="D82" s="503"/>
      <c r="E82" s="502"/>
      <c r="F82" s="509">
        <v>70</v>
      </c>
      <c r="G82" s="510" t="s">
        <v>422</v>
      </c>
      <c r="H82" s="502"/>
      <c r="I82" s="503"/>
      <c r="K82" s="509">
        <v>70</v>
      </c>
      <c r="L82" s="510" t="s">
        <v>422</v>
      </c>
      <c r="M82" s="502"/>
      <c r="N82" s="503"/>
      <c r="P82" s="509">
        <v>70</v>
      </c>
      <c r="Q82" s="510" t="s">
        <v>422</v>
      </c>
      <c r="R82" s="502"/>
      <c r="S82" s="503"/>
    </row>
    <row r="83" spans="1:19">
      <c r="A83" s="509">
        <v>71</v>
      </c>
      <c r="B83" s="510" t="s">
        <v>423</v>
      </c>
      <c r="C83" s="502"/>
      <c r="D83" s="503"/>
      <c r="E83" s="502"/>
      <c r="F83" s="509">
        <v>71</v>
      </c>
      <c r="G83" s="510" t="s">
        <v>423</v>
      </c>
      <c r="H83" s="502"/>
      <c r="I83" s="503"/>
      <c r="K83" s="509">
        <v>71</v>
      </c>
      <c r="L83" s="510" t="s">
        <v>423</v>
      </c>
      <c r="M83" s="502"/>
      <c r="N83" s="503"/>
      <c r="P83" s="509">
        <v>71</v>
      </c>
      <c r="Q83" s="510" t="s">
        <v>423</v>
      </c>
      <c r="R83" s="502"/>
      <c r="S83" s="503"/>
    </row>
    <row r="84" spans="1:19">
      <c r="A84" s="509">
        <v>72</v>
      </c>
      <c r="B84" s="510" t="s">
        <v>424</v>
      </c>
      <c r="C84" s="502"/>
      <c r="D84" s="503"/>
      <c r="E84" s="502"/>
      <c r="F84" s="509">
        <v>72</v>
      </c>
      <c r="G84" s="510" t="s">
        <v>424</v>
      </c>
      <c r="H84" s="502"/>
      <c r="I84" s="503"/>
      <c r="K84" s="509">
        <v>72</v>
      </c>
      <c r="L84" s="510" t="s">
        <v>424</v>
      </c>
      <c r="M84" s="502"/>
      <c r="N84" s="503"/>
      <c r="P84" s="509">
        <v>72</v>
      </c>
      <c r="Q84" s="510" t="s">
        <v>424</v>
      </c>
      <c r="R84" s="502"/>
      <c r="S84" s="503"/>
    </row>
    <row r="85" spans="1:19">
      <c r="A85" s="509">
        <v>73</v>
      </c>
      <c r="B85" s="510" t="s">
        <v>425</v>
      </c>
      <c r="C85" s="502"/>
      <c r="D85" s="503"/>
      <c r="E85" s="502"/>
      <c r="F85" s="509">
        <v>73</v>
      </c>
      <c r="G85" s="510" t="s">
        <v>425</v>
      </c>
      <c r="H85" s="502"/>
      <c r="I85" s="503"/>
      <c r="K85" s="509">
        <v>73</v>
      </c>
      <c r="L85" s="510" t="s">
        <v>425</v>
      </c>
      <c r="M85" s="502"/>
      <c r="N85" s="503"/>
      <c r="P85" s="509">
        <v>73</v>
      </c>
      <c r="Q85" s="510" t="s">
        <v>425</v>
      </c>
      <c r="R85" s="502"/>
      <c r="S85" s="503"/>
    </row>
    <row r="86" spans="1:19">
      <c r="A86" s="509">
        <v>74</v>
      </c>
      <c r="B86" s="510" t="s">
        <v>426</v>
      </c>
      <c r="C86" s="502"/>
      <c r="D86" s="503"/>
      <c r="E86" s="502"/>
      <c r="F86" s="509">
        <v>74</v>
      </c>
      <c r="G86" s="510" t="s">
        <v>426</v>
      </c>
      <c r="H86" s="502"/>
      <c r="I86" s="503"/>
      <c r="K86" s="509">
        <v>74</v>
      </c>
      <c r="L86" s="510" t="s">
        <v>426</v>
      </c>
      <c r="M86" s="502"/>
      <c r="N86" s="503"/>
      <c r="P86" s="509">
        <v>74</v>
      </c>
      <c r="Q86" s="510" t="s">
        <v>426</v>
      </c>
      <c r="R86" s="502"/>
      <c r="S86" s="503"/>
    </row>
    <row r="87" spans="1:19">
      <c r="A87" s="509">
        <v>75</v>
      </c>
      <c r="B87" s="510" t="s">
        <v>427</v>
      </c>
      <c r="C87" s="502"/>
      <c r="D87" s="503"/>
      <c r="E87" s="502"/>
      <c r="F87" s="509">
        <v>75</v>
      </c>
      <c r="G87" s="510" t="s">
        <v>427</v>
      </c>
      <c r="H87" s="502"/>
      <c r="I87" s="503"/>
      <c r="K87" s="509">
        <v>75</v>
      </c>
      <c r="L87" s="510" t="s">
        <v>427</v>
      </c>
      <c r="M87" s="502"/>
      <c r="N87" s="503"/>
      <c r="P87" s="509">
        <v>75</v>
      </c>
      <c r="Q87" s="510" t="s">
        <v>427</v>
      </c>
      <c r="R87" s="502"/>
      <c r="S87" s="503"/>
    </row>
    <row r="88" spans="1:19">
      <c r="A88" s="509">
        <v>76</v>
      </c>
      <c r="B88" s="510" t="s">
        <v>428</v>
      </c>
      <c r="C88" s="502"/>
      <c r="D88" s="503"/>
      <c r="E88" s="502"/>
      <c r="F88" s="509">
        <v>76</v>
      </c>
      <c r="G88" s="510" t="s">
        <v>428</v>
      </c>
      <c r="H88" s="502"/>
      <c r="I88" s="503"/>
      <c r="K88" s="509">
        <v>76</v>
      </c>
      <c r="L88" s="510" t="s">
        <v>428</v>
      </c>
      <c r="M88" s="502"/>
      <c r="N88" s="503"/>
      <c r="P88" s="509">
        <v>76</v>
      </c>
      <c r="Q88" s="510" t="s">
        <v>428</v>
      </c>
      <c r="R88" s="502"/>
      <c r="S88" s="503"/>
    </row>
    <row r="89" spans="1:19">
      <c r="A89" s="509">
        <v>77</v>
      </c>
      <c r="B89" s="510" t="s">
        <v>429</v>
      </c>
      <c r="C89" s="502"/>
      <c r="D89" s="503"/>
      <c r="E89" s="502"/>
      <c r="F89" s="509">
        <v>77</v>
      </c>
      <c r="G89" s="510" t="s">
        <v>429</v>
      </c>
      <c r="H89" s="502"/>
      <c r="I89" s="503"/>
      <c r="K89" s="509">
        <v>77</v>
      </c>
      <c r="L89" s="510" t="s">
        <v>429</v>
      </c>
      <c r="M89" s="502"/>
      <c r="N89" s="503"/>
      <c r="P89" s="509">
        <v>77</v>
      </c>
      <c r="Q89" s="510" t="s">
        <v>429</v>
      </c>
      <c r="R89" s="502"/>
      <c r="S89" s="503"/>
    </row>
    <row r="90" spans="1:19">
      <c r="A90" s="509">
        <v>78</v>
      </c>
      <c r="B90" s="510" t="s">
        <v>430</v>
      </c>
      <c r="C90" s="502"/>
      <c r="D90" s="503"/>
      <c r="E90" s="502"/>
      <c r="F90" s="509">
        <v>78</v>
      </c>
      <c r="G90" s="510" t="s">
        <v>430</v>
      </c>
      <c r="H90" s="502"/>
      <c r="I90" s="503"/>
      <c r="K90" s="509">
        <v>78</v>
      </c>
      <c r="L90" s="510" t="s">
        <v>430</v>
      </c>
      <c r="M90" s="502"/>
      <c r="N90" s="503"/>
      <c r="P90" s="509">
        <v>78</v>
      </c>
      <c r="Q90" s="510" t="s">
        <v>430</v>
      </c>
      <c r="R90" s="502"/>
      <c r="S90" s="503"/>
    </row>
    <row r="91" spans="1:19">
      <c r="A91" s="509">
        <v>79</v>
      </c>
      <c r="B91" s="510" t="s">
        <v>431</v>
      </c>
      <c r="C91" s="502"/>
      <c r="D91" s="503"/>
      <c r="E91" s="502"/>
      <c r="F91" s="509">
        <v>79</v>
      </c>
      <c r="G91" s="510" t="s">
        <v>431</v>
      </c>
      <c r="H91" s="502"/>
      <c r="I91" s="503"/>
      <c r="K91" s="509">
        <v>79</v>
      </c>
      <c r="L91" s="510" t="s">
        <v>431</v>
      </c>
      <c r="M91" s="502"/>
      <c r="N91" s="503"/>
      <c r="P91" s="509">
        <v>79</v>
      </c>
      <c r="Q91" s="510" t="s">
        <v>431</v>
      </c>
      <c r="R91" s="502"/>
      <c r="S91" s="503"/>
    </row>
    <row r="92" spans="1:19">
      <c r="A92" s="509">
        <v>80</v>
      </c>
      <c r="B92" s="510" t="s">
        <v>432</v>
      </c>
      <c r="C92" s="502"/>
      <c r="D92" s="503"/>
      <c r="E92" s="502"/>
      <c r="F92" s="509">
        <v>80</v>
      </c>
      <c r="G92" s="510" t="s">
        <v>432</v>
      </c>
      <c r="H92" s="502"/>
      <c r="I92" s="503"/>
      <c r="K92" s="509">
        <v>80</v>
      </c>
      <c r="L92" s="510" t="s">
        <v>432</v>
      </c>
      <c r="M92" s="502"/>
      <c r="N92" s="503"/>
      <c r="P92" s="509">
        <v>80</v>
      </c>
      <c r="Q92" s="510" t="s">
        <v>432</v>
      </c>
      <c r="R92" s="502"/>
      <c r="S92" s="503"/>
    </row>
    <row r="93" spans="1:19">
      <c r="A93" s="509">
        <v>81</v>
      </c>
      <c r="B93" s="510" t="s">
        <v>433</v>
      </c>
      <c r="C93" s="502"/>
      <c r="D93" s="503"/>
      <c r="E93" s="502"/>
      <c r="F93" s="509">
        <v>81</v>
      </c>
      <c r="G93" s="510" t="s">
        <v>433</v>
      </c>
      <c r="H93" s="502"/>
      <c r="I93" s="503"/>
      <c r="K93" s="509">
        <v>81</v>
      </c>
      <c r="L93" s="510" t="s">
        <v>433</v>
      </c>
      <c r="M93" s="502"/>
      <c r="N93" s="503"/>
      <c r="P93" s="509">
        <v>81</v>
      </c>
      <c r="Q93" s="510" t="s">
        <v>433</v>
      </c>
      <c r="R93" s="502"/>
      <c r="S93" s="503"/>
    </row>
    <row r="94" spans="1:19">
      <c r="A94" s="509">
        <v>82</v>
      </c>
      <c r="B94" s="510" t="s">
        <v>434</v>
      </c>
      <c r="C94" s="502"/>
      <c r="D94" s="503"/>
      <c r="E94" s="502"/>
      <c r="F94" s="509">
        <v>82</v>
      </c>
      <c r="G94" s="510" t="s">
        <v>434</v>
      </c>
      <c r="H94" s="502"/>
      <c r="I94" s="503"/>
      <c r="K94" s="509">
        <v>82</v>
      </c>
      <c r="L94" s="510" t="s">
        <v>434</v>
      </c>
      <c r="M94" s="502"/>
      <c r="N94" s="503"/>
      <c r="P94" s="509">
        <v>82</v>
      </c>
      <c r="Q94" s="510" t="s">
        <v>434</v>
      </c>
      <c r="R94" s="502"/>
      <c r="S94" s="503"/>
    </row>
    <row r="95" spans="1:19">
      <c r="A95" s="509">
        <v>83</v>
      </c>
      <c r="B95" s="510" t="s">
        <v>435</v>
      </c>
      <c r="C95" s="502"/>
      <c r="D95" s="503"/>
      <c r="E95" s="502"/>
      <c r="F95" s="509">
        <v>83</v>
      </c>
      <c r="G95" s="510" t="s">
        <v>435</v>
      </c>
      <c r="H95" s="502"/>
      <c r="I95" s="503"/>
      <c r="K95" s="509">
        <v>83</v>
      </c>
      <c r="L95" s="510" t="s">
        <v>435</v>
      </c>
      <c r="M95" s="502"/>
      <c r="N95" s="503"/>
      <c r="P95" s="509">
        <v>83</v>
      </c>
      <c r="Q95" s="510" t="s">
        <v>435</v>
      </c>
      <c r="R95" s="502"/>
      <c r="S95" s="503"/>
    </row>
    <row r="96" spans="1:19">
      <c r="A96" s="509">
        <v>84</v>
      </c>
      <c r="B96" s="510" t="s">
        <v>436</v>
      </c>
      <c r="C96" s="502"/>
      <c r="D96" s="503"/>
      <c r="E96" s="502"/>
      <c r="F96" s="509">
        <v>84</v>
      </c>
      <c r="G96" s="510" t="s">
        <v>436</v>
      </c>
      <c r="H96" s="502"/>
      <c r="I96" s="503"/>
      <c r="K96" s="509">
        <v>84</v>
      </c>
      <c r="L96" s="510" t="s">
        <v>436</v>
      </c>
      <c r="M96" s="502"/>
      <c r="N96" s="503"/>
      <c r="P96" s="509">
        <v>84</v>
      </c>
      <c r="Q96" s="510" t="s">
        <v>436</v>
      </c>
      <c r="R96" s="502"/>
      <c r="S96" s="503"/>
    </row>
    <row r="97" spans="1:19">
      <c r="A97" s="509">
        <v>85</v>
      </c>
      <c r="B97" s="510" t="s">
        <v>437</v>
      </c>
      <c r="C97" s="502"/>
      <c r="D97" s="503"/>
      <c r="E97" s="502"/>
      <c r="F97" s="509">
        <v>85</v>
      </c>
      <c r="G97" s="510" t="s">
        <v>437</v>
      </c>
      <c r="H97" s="502"/>
      <c r="I97" s="503"/>
      <c r="K97" s="509">
        <v>85</v>
      </c>
      <c r="L97" s="510" t="s">
        <v>437</v>
      </c>
      <c r="M97" s="502"/>
      <c r="N97" s="503"/>
      <c r="P97" s="509">
        <v>85</v>
      </c>
      <c r="Q97" s="510" t="s">
        <v>437</v>
      </c>
      <c r="R97" s="502"/>
      <c r="S97" s="503"/>
    </row>
    <row r="98" spans="1:19">
      <c r="A98" s="509">
        <v>86</v>
      </c>
      <c r="B98" s="510" t="s">
        <v>438</v>
      </c>
      <c r="C98" s="502"/>
      <c r="D98" s="503"/>
      <c r="E98" s="502"/>
      <c r="F98" s="509">
        <v>86</v>
      </c>
      <c r="G98" s="510" t="s">
        <v>438</v>
      </c>
      <c r="H98" s="502"/>
      <c r="I98" s="503"/>
      <c r="K98" s="509">
        <v>86</v>
      </c>
      <c r="L98" s="510" t="s">
        <v>438</v>
      </c>
      <c r="M98" s="502"/>
      <c r="N98" s="503"/>
      <c r="P98" s="509">
        <v>86</v>
      </c>
      <c r="Q98" s="510" t="s">
        <v>438</v>
      </c>
      <c r="R98" s="502"/>
      <c r="S98" s="503"/>
    </row>
    <row r="99" spans="1:19">
      <c r="A99" s="509">
        <v>87</v>
      </c>
      <c r="B99" s="510" t="s">
        <v>439</v>
      </c>
      <c r="C99" s="502"/>
      <c r="D99" s="503"/>
      <c r="E99" s="502"/>
      <c r="F99" s="509">
        <v>87</v>
      </c>
      <c r="G99" s="510" t="s">
        <v>439</v>
      </c>
      <c r="H99" s="502"/>
      <c r="I99" s="503"/>
      <c r="K99" s="509">
        <v>87</v>
      </c>
      <c r="L99" s="510" t="s">
        <v>439</v>
      </c>
      <c r="M99" s="502"/>
      <c r="N99" s="503"/>
      <c r="P99" s="509">
        <v>87</v>
      </c>
      <c r="Q99" s="510" t="s">
        <v>439</v>
      </c>
      <c r="R99" s="502"/>
      <c r="S99" s="503"/>
    </row>
    <row r="100" spans="1:19">
      <c r="A100" s="509">
        <v>88</v>
      </c>
      <c r="B100" s="510" t="s">
        <v>440</v>
      </c>
      <c r="C100" s="502"/>
      <c r="D100" s="503"/>
      <c r="E100" s="502"/>
      <c r="F100" s="509">
        <v>88</v>
      </c>
      <c r="G100" s="510" t="s">
        <v>440</v>
      </c>
      <c r="H100" s="502"/>
      <c r="I100" s="503"/>
      <c r="K100" s="509">
        <v>88</v>
      </c>
      <c r="L100" s="510" t="s">
        <v>440</v>
      </c>
      <c r="M100" s="502"/>
      <c r="N100" s="503"/>
      <c r="P100" s="509">
        <v>88</v>
      </c>
      <c r="Q100" s="510" t="s">
        <v>440</v>
      </c>
      <c r="R100" s="502"/>
      <c r="S100" s="503"/>
    </row>
    <row r="101" spans="1:19">
      <c r="A101" s="509">
        <v>89</v>
      </c>
      <c r="B101" s="510" t="s">
        <v>441</v>
      </c>
      <c r="C101" s="502"/>
      <c r="D101" s="503"/>
      <c r="E101" s="502"/>
      <c r="F101" s="509">
        <v>89</v>
      </c>
      <c r="G101" s="510" t="s">
        <v>441</v>
      </c>
      <c r="H101" s="502"/>
      <c r="I101" s="503"/>
      <c r="K101" s="509">
        <v>89</v>
      </c>
      <c r="L101" s="510" t="s">
        <v>441</v>
      </c>
      <c r="M101" s="502"/>
      <c r="N101" s="503"/>
      <c r="P101" s="509">
        <v>89</v>
      </c>
      <c r="Q101" s="510" t="s">
        <v>441</v>
      </c>
      <c r="R101" s="502"/>
      <c r="S101" s="503"/>
    </row>
    <row r="102" spans="1:19">
      <c r="A102" s="509">
        <v>90</v>
      </c>
      <c r="B102" s="510" t="s">
        <v>442</v>
      </c>
      <c r="C102" s="502"/>
      <c r="D102" s="503"/>
      <c r="E102" s="502"/>
      <c r="F102" s="509">
        <v>90</v>
      </c>
      <c r="G102" s="510" t="s">
        <v>442</v>
      </c>
      <c r="H102" s="502"/>
      <c r="I102" s="503"/>
      <c r="K102" s="509">
        <v>90</v>
      </c>
      <c r="L102" s="510" t="s">
        <v>442</v>
      </c>
      <c r="M102" s="502"/>
      <c r="N102" s="503"/>
      <c r="P102" s="509">
        <v>90</v>
      </c>
      <c r="Q102" s="510" t="s">
        <v>442</v>
      </c>
      <c r="R102" s="502"/>
      <c r="S102" s="503"/>
    </row>
    <row r="103" spans="1:19">
      <c r="A103" s="509">
        <v>91</v>
      </c>
      <c r="B103" s="510" t="s">
        <v>443</v>
      </c>
      <c r="C103" s="502"/>
      <c r="D103" s="503"/>
      <c r="E103" s="502"/>
      <c r="F103" s="509">
        <v>91</v>
      </c>
      <c r="G103" s="510" t="s">
        <v>443</v>
      </c>
      <c r="H103" s="502"/>
      <c r="I103" s="503"/>
      <c r="K103" s="509">
        <v>91</v>
      </c>
      <c r="L103" s="510" t="s">
        <v>443</v>
      </c>
      <c r="M103" s="502"/>
      <c r="N103" s="503"/>
      <c r="P103" s="509">
        <v>91</v>
      </c>
      <c r="Q103" s="510" t="s">
        <v>443</v>
      </c>
      <c r="R103" s="502"/>
      <c r="S103" s="503"/>
    </row>
    <row r="104" spans="1:19">
      <c r="A104" s="509">
        <v>92</v>
      </c>
      <c r="B104" s="510" t="s">
        <v>444</v>
      </c>
      <c r="C104" s="502"/>
      <c r="D104" s="503"/>
      <c r="E104" s="502"/>
      <c r="F104" s="509">
        <v>92</v>
      </c>
      <c r="G104" s="510" t="s">
        <v>444</v>
      </c>
      <c r="H104" s="502"/>
      <c r="I104" s="503"/>
      <c r="K104" s="509">
        <v>92</v>
      </c>
      <c r="L104" s="510" t="s">
        <v>444</v>
      </c>
      <c r="M104" s="502"/>
      <c r="N104" s="503"/>
      <c r="P104" s="509">
        <v>92</v>
      </c>
      <c r="Q104" s="510" t="s">
        <v>444</v>
      </c>
      <c r="R104" s="502"/>
      <c r="S104" s="503"/>
    </row>
    <row r="105" spans="1:19">
      <c r="A105" s="509">
        <v>93</v>
      </c>
      <c r="B105" s="510" t="s">
        <v>445</v>
      </c>
      <c r="C105" s="502"/>
      <c r="D105" s="503"/>
      <c r="E105" s="502"/>
      <c r="F105" s="509">
        <v>93</v>
      </c>
      <c r="G105" s="510" t="s">
        <v>445</v>
      </c>
      <c r="H105" s="502"/>
      <c r="I105" s="503"/>
      <c r="K105" s="509">
        <v>93</v>
      </c>
      <c r="L105" s="510" t="s">
        <v>445</v>
      </c>
      <c r="M105" s="502"/>
      <c r="N105" s="503"/>
      <c r="P105" s="509">
        <v>93</v>
      </c>
      <c r="Q105" s="510" t="s">
        <v>445</v>
      </c>
      <c r="R105" s="502"/>
      <c r="S105" s="503"/>
    </row>
    <row r="106" spans="1:19">
      <c r="A106" s="509">
        <v>94</v>
      </c>
      <c r="B106" s="510" t="s">
        <v>446</v>
      </c>
      <c r="C106" s="502"/>
      <c r="D106" s="503"/>
      <c r="E106" s="502"/>
      <c r="F106" s="509">
        <v>94</v>
      </c>
      <c r="G106" s="510" t="s">
        <v>446</v>
      </c>
      <c r="H106" s="502"/>
      <c r="I106" s="503"/>
      <c r="K106" s="509">
        <v>94</v>
      </c>
      <c r="L106" s="510" t="s">
        <v>446</v>
      </c>
      <c r="M106" s="502"/>
      <c r="N106" s="503"/>
      <c r="P106" s="509">
        <v>94</v>
      </c>
      <c r="Q106" s="510" t="s">
        <v>446</v>
      </c>
      <c r="R106" s="502"/>
      <c r="S106" s="503"/>
    </row>
    <row r="107" spans="1:19">
      <c r="A107" s="509">
        <v>95</v>
      </c>
      <c r="B107" s="510" t="s">
        <v>447</v>
      </c>
      <c r="C107" s="502"/>
      <c r="D107" s="503"/>
      <c r="E107" s="502"/>
      <c r="F107" s="509">
        <v>95</v>
      </c>
      <c r="G107" s="510" t="s">
        <v>447</v>
      </c>
      <c r="H107" s="502"/>
      <c r="I107" s="503"/>
      <c r="K107" s="509">
        <v>95</v>
      </c>
      <c r="L107" s="510" t="s">
        <v>447</v>
      </c>
      <c r="M107" s="502"/>
      <c r="N107" s="503"/>
      <c r="P107" s="509">
        <v>95</v>
      </c>
      <c r="Q107" s="510" t="s">
        <v>447</v>
      </c>
      <c r="R107" s="502"/>
      <c r="S107" s="503"/>
    </row>
    <row r="108" spans="1:19">
      <c r="A108" s="509">
        <v>96</v>
      </c>
      <c r="B108" s="510" t="s">
        <v>448</v>
      </c>
      <c r="C108" s="502"/>
      <c r="D108" s="503"/>
      <c r="E108" s="502"/>
      <c r="F108" s="509">
        <v>96</v>
      </c>
      <c r="G108" s="510" t="s">
        <v>448</v>
      </c>
      <c r="H108" s="502"/>
      <c r="I108" s="503"/>
      <c r="K108" s="509">
        <v>96</v>
      </c>
      <c r="L108" s="510" t="s">
        <v>448</v>
      </c>
      <c r="M108" s="502"/>
      <c r="N108" s="503"/>
      <c r="P108" s="509">
        <v>96</v>
      </c>
      <c r="Q108" s="510" t="s">
        <v>448</v>
      </c>
      <c r="R108" s="502"/>
      <c r="S108" s="503"/>
    </row>
    <row r="109" spans="1:19">
      <c r="A109" s="509">
        <v>97</v>
      </c>
      <c r="B109" s="510" t="s">
        <v>449</v>
      </c>
      <c r="C109" s="502"/>
      <c r="D109" s="503"/>
      <c r="E109" s="502"/>
      <c r="F109" s="509">
        <v>97</v>
      </c>
      <c r="G109" s="510" t="s">
        <v>449</v>
      </c>
      <c r="H109" s="502"/>
      <c r="I109" s="503"/>
      <c r="K109" s="509">
        <v>97</v>
      </c>
      <c r="L109" s="510" t="s">
        <v>449</v>
      </c>
      <c r="M109" s="502"/>
      <c r="N109" s="503"/>
      <c r="P109" s="509">
        <v>97</v>
      </c>
      <c r="Q109" s="510" t="s">
        <v>449</v>
      </c>
      <c r="R109" s="502"/>
      <c r="S109" s="503"/>
    </row>
    <row r="110" spans="1:19">
      <c r="A110" s="509">
        <v>98</v>
      </c>
      <c r="B110" s="510" t="s">
        <v>450</v>
      </c>
      <c r="C110" s="502"/>
      <c r="D110" s="503"/>
      <c r="E110" s="502"/>
      <c r="F110" s="509">
        <v>98</v>
      </c>
      <c r="G110" s="510" t="s">
        <v>450</v>
      </c>
      <c r="H110" s="502"/>
      <c r="I110" s="503"/>
      <c r="K110" s="509">
        <v>98</v>
      </c>
      <c r="L110" s="510" t="s">
        <v>450</v>
      </c>
      <c r="M110" s="502"/>
      <c r="N110" s="503"/>
      <c r="P110" s="509">
        <v>98</v>
      </c>
      <c r="Q110" s="510" t="s">
        <v>450</v>
      </c>
      <c r="R110" s="502"/>
      <c r="S110" s="503"/>
    </row>
    <row r="111" spans="1:19">
      <c r="A111" s="509">
        <v>99</v>
      </c>
      <c r="B111" s="510" t="s">
        <v>451</v>
      </c>
      <c r="C111" s="502"/>
      <c r="D111" s="503"/>
      <c r="E111" s="502"/>
      <c r="F111" s="509">
        <v>99</v>
      </c>
      <c r="G111" s="510" t="s">
        <v>451</v>
      </c>
      <c r="H111" s="502"/>
      <c r="I111" s="503"/>
      <c r="K111" s="509">
        <v>99</v>
      </c>
      <c r="L111" s="510" t="s">
        <v>451</v>
      </c>
      <c r="M111" s="502"/>
      <c r="N111" s="503"/>
      <c r="P111" s="509">
        <v>99</v>
      </c>
      <c r="Q111" s="510" t="s">
        <v>451</v>
      </c>
      <c r="R111" s="502"/>
      <c r="S111" s="503"/>
    </row>
    <row r="112" spans="1:19" ht="13.8" thickBot="1">
      <c r="A112" s="511">
        <v>100</v>
      </c>
      <c r="B112" s="512" t="s">
        <v>452</v>
      </c>
      <c r="C112" s="513"/>
      <c r="D112" s="514"/>
      <c r="E112" s="502"/>
      <c r="F112" s="511">
        <v>100</v>
      </c>
      <c r="G112" s="512" t="s">
        <v>452</v>
      </c>
      <c r="H112" s="513"/>
      <c r="I112" s="514"/>
      <c r="K112" s="511">
        <v>100</v>
      </c>
      <c r="L112" s="512" t="s">
        <v>452</v>
      </c>
      <c r="M112" s="513"/>
      <c r="N112" s="514"/>
      <c r="P112" s="511">
        <v>100</v>
      </c>
      <c r="Q112" s="512" t="s">
        <v>452</v>
      </c>
      <c r="R112" s="513"/>
      <c r="S112" s="514"/>
    </row>
    <row r="118" spans="1:4">
      <c r="A118" s="526" t="s">
        <v>458</v>
      </c>
    </row>
    <row r="119" spans="1:4" ht="13.8" thickBot="1"/>
    <row r="120" spans="1:4" ht="13.8" thickBot="1">
      <c r="A120" s="515"/>
      <c r="B120" s="516"/>
      <c r="C120" s="516"/>
      <c r="D120" s="517"/>
    </row>
    <row r="121" spans="1:4" ht="13.8" thickBot="1">
      <c r="A121" s="519"/>
      <c r="D121" s="520"/>
    </row>
    <row r="122" spans="1:4" ht="15.6" thickBot="1">
      <c r="A122" s="753" t="e">
        <v>#REF!</v>
      </c>
      <c r="B122" s="754"/>
      <c r="C122" s="499"/>
      <c r="D122" s="500"/>
    </row>
    <row r="123" spans="1:4">
      <c r="A123" s="747"/>
      <c r="B123" s="748"/>
      <c r="C123" s="499"/>
      <c r="D123" s="500"/>
    </row>
    <row r="124" spans="1:4">
      <c r="A124" s="501"/>
      <c r="B124" s="502"/>
      <c r="C124" s="502"/>
      <c r="D124" s="503"/>
    </row>
    <row r="125" spans="1:4">
      <c r="A125" s="755" t="e">
        <f>IF(OR((A122&gt;9999999999),(A122&lt;0)),"Invalid Entry - More than 1000 crore OR -ve value",IF(A122=0, "",+CONCATENATE(U121,B132,D132,B131,D131,B130,D130,B129,D129,B128,D128,B127," Only")))</f>
        <v>#REF!</v>
      </c>
      <c r="B125" s="756"/>
      <c r="C125" s="756"/>
      <c r="D125" s="757"/>
    </row>
    <row r="126" spans="1:4">
      <c r="A126" s="501"/>
      <c r="B126" s="502"/>
      <c r="C126" s="502"/>
      <c r="D126" s="503"/>
    </row>
    <row r="127" spans="1:4">
      <c r="A127" s="504" t="e">
        <f>-INT(A122/100)*100+ROUND(A122,0)</f>
        <v>#REF!</v>
      </c>
      <c r="B127" s="502" t="e">
        <f t="shared" ref="B127:B132" si="6">IF(A127=0,"",LOOKUP(A127,$A$13:$A$112,$B$13:$B$112))</f>
        <v>#REF!</v>
      </c>
      <c r="C127" s="502"/>
      <c r="D127" s="505"/>
    </row>
    <row r="128" spans="1:4">
      <c r="A128" s="504" t="e">
        <f>-INT(A122/1000)*10+INT(A122/100)</f>
        <v>#REF!</v>
      </c>
      <c r="B128" s="502" t="e">
        <f t="shared" si="6"/>
        <v>#REF!</v>
      </c>
      <c r="C128" s="502"/>
      <c r="D128" s="505" t="e">
        <f>+IF(B128="",""," Hundred ")</f>
        <v>#REF!</v>
      </c>
    </row>
    <row r="129" spans="1:4">
      <c r="A129" s="504" t="e">
        <f>-INT(A122/100000)*100+INT(A122/1000)</f>
        <v>#REF!</v>
      </c>
      <c r="B129" s="502" t="e">
        <f t="shared" si="6"/>
        <v>#REF!</v>
      </c>
      <c r="C129" s="502"/>
      <c r="D129" s="505" t="e">
        <f>IF((B129=""),IF(C129="",""," Thousand ")," Thousand ")</f>
        <v>#REF!</v>
      </c>
    </row>
    <row r="130" spans="1:4">
      <c r="A130" s="504" t="e">
        <f>-INT(A122/10000000)*100+INT(A122/100000)</f>
        <v>#REF!</v>
      </c>
      <c r="B130" s="502" t="e">
        <f t="shared" si="6"/>
        <v>#REF!</v>
      </c>
      <c r="C130" s="502"/>
      <c r="D130" s="505" t="e">
        <f>IF((B130=""),IF(C130="",""," Lac ")," Lac ")</f>
        <v>#REF!</v>
      </c>
    </row>
    <row r="131" spans="1:4">
      <c r="A131" s="504" t="e">
        <f>-INT(A122/1000000000)*100+INT(A122/10000000)</f>
        <v>#REF!</v>
      </c>
      <c r="B131" s="506" t="e">
        <f t="shared" si="6"/>
        <v>#REF!</v>
      </c>
      <c r="C131" s="502"/>
      <c r="D131" s="505" t="e">
        <f>IF((B131=""),IF(C131="",""," Crore ")," Crore ")</f>
        <v>#REF!</v>
      </c>
    </row>
    <row r="132" spans="1:4">
      <c r="A132" s="507" t="e">
        <f>-INT(A122/10000000000)*1000+INT(A122/1000000000)</f>
        <v>#REF!</v>
      </c>
      <c r="B132" s="506" t="e">
        <f t="shared" si="6"/>
        <v>#REF!</v>
      </c>
      <c r="C132" s="502"/>
      <c r="D132" s="505" t="e">
        <f>IF((B132=""),IF(C132="",""," Hundred ")," Hundred ")</f>
        <v>#REF!</v>
      </c>
    </row>
    <row r="133" spans="1:4">
      <c r="A133" s="508"/>
      <c r="B133" s="502"/>
      <c r="C133" s="502"/>
      <c r="D133" s="503"/>
    </row>
    <row r="134" spans="1:4">
      <c r="A134" s="509">
        <v>1</v>
      </c>
      <c r="B134" s="510" t="s">
        <v>353</v>
      </c>
      <c r="C134" s="502"/>
      <c r="D134" s="503"/>
    </row>
    <row r="135" spans="1:4">
      <c r="A135" s="509">
        <v>2</v>
      </c>
      <c r="B135" s="510" t="s">
        <v>354</v>
      </c>
      <c r="C135" s="502"/>
      <c r="D135" s="503"/>
    </row>
    <row r="136" spans="1:4">
      <c r="A136" s="509">
        <v>3</v>
      </c>
      <c r="B136" s="510" t="s">
        <v>355</v>
      </c>
      <c r="C136" s="502"/>
      <c r="D136" s="503"/>
    </row>
    <row r="137" spans="1:4">
      <c r="A137" s="509">
        <v>4</v>
      </c>
      <c r="B137" s="510" t="s">
        <v>356</v>
      </c>
      <c r="C137" s="502"/>
      <c r="D137" s="503"/>
    </row>
    <row r="138" spans="1:4">
      <c r="A138" s="509">
        <v>5</v>
      </c>
      <c r="B138" s="510" t="s">
        <v>357</v>
      </c>
      <c r="C138" s="502"/>
      <c r="D138" s="503"/>
    </row>
    <row r="139" spans="1:4">
      <c r="A139" s="509">
        <v>6</v>
      </c>
      <c r="B139" s="510" t="s">
        <v>358</v>
      </c>
      <c r="C139" s="502"/>
      <c r="D139" s="503"/>
    </row>
    <row r="140" spans="1:4">
      <c r="A140" s="509">
        <v>7</v>
      </c>
      <c r="B140" s="510" t="s">
        <v>359</v>
      </c>
      <c r="C140" s="502"/>
      <c r="D140" s="503"/>
    </row>
    <row r="141" spans="1:4">
      <c r="A141" s="509">
        <v>8</v>
      </c>
      <c r="B141" s="510" t="s">
        <v>360</v>
      </c>
      <c r="C141" s="502"/>
      <c r="D141" s="503"/>
    </row>
    <row r="142" spans="1:4">
      <c r="A142" s="509">
        <v>9</v>
      </c>
      <c r="B142" s="510" t="s">
        <v>361</v>
      </c>
      <c r="C142" s="502"/>
      <c r="D142" s="503"/>
    </row>
    <row r="143" spans="1:4">
      <c r="A143" s="509">
        <v>10</v>
      </c>
      <c r="B143" s="510" t="s">
        <v>362</v>
      </c>
      <c r="C143" s="502"/>
      <c r="D143" s="503"/>
    </row>
    <row r="144" spans="1:4">
      <c r="A144" s="509">
        <v>11</v>
      </c>
      <c r="B144" s="510" t="s">
        <v>363</v>
      </c>
      <c r="C144" s="502"/>
      <c r="D144" s="503"/>
    </row>
    <row r="145" spans="1:4">
      <c r="A145" s="509">
        <v>12</v>
      </c>
      <c r="B145" s="510" t="s">
        <v>364</v>
      </c>
      <c r="C145" s="502"/>
      <c r="D145" s="503"/>
    </row>
    <row r="146" spans="1:4">
      <c r="A146" s="509">
        <v>13</v>
      </c>
      <c r="B146" s="510" t="s">
        <v>365</v>
      </c>
      <c r="C146" s="502"/>
      <c r="D146" s="503"/>
    </row>
    <row r="147" spans="1:4">
      <c r="A147" s="509">
        <v>14</v>
      </c>
      <c r="B147" s="510" t="s">
        <v>366</v>
      </c>
      <c r="C147" s="502"/>
      <c r="D147" s="503"/>
    </row>
    <row r="148" spans="1:4">
      <c r="A148" s="509">
        <v>15</v>
      </c>
      <c r="B148" s="510" t="s">
        <v>367</v>
      </c>
      <c r="C148" s="502"/>
      <c r="D148" s="503"/>
    </row>
    <row r="149" spans="1:4">
      <c r="A149" s="509">
        <v>16</v>
      </c>
      <c r="B149" s="510" t="s">
        <v>368</v>
      </c>
      <c r="C149" s="502"/>
      <c r="D149" s="503"/>
    </row>
    <row r="150" spans="1:4">
      <c r="A150" s="509">
        <v>17</v>
      </c>
      <c r="B150" s="510" t="s">
        <v>369</v>
      </c>
      <c r="C150" s="502"/>
      <c r="D150" s="503"/>
    </row>
    <row r="151" spans="1:4">
      <c r="A151" s="509">
        <v>18</v>
      </c>
      <c r="B151" s="510" t="s">
        <v>370</v>
      </c>
      <c r="C151" s="502"/>
      <c r="D151" s="503"/>
    </row>
    <row r="152" spans="1:4">
      <c r="A152" s="509">
        <v>19</v>
      </c>
      <c r="B152" s="510" t="s">
        <v>371</v>
      </c>
      <c r="C152" s="502"/>
      <c r="D152" s="503"/>
    </row>
    <row r="153" spans="1:4">
      <c r="A153" s="509">
        <v>20</v>
      </c>
      <c r="B153" s="510" t="s">
        <v>372</v>
      </c>
      <c r="C153" s="502"/>
      <c r="D153" s="503"/>
    </row>
    <row r="154" spans="1:4">
      <c r="A154" s="509">
        <v>21</v>
      </c>
      <c r="B154" s="510" t="s">
        <v>373</v>
      </c>
      <c r="C154" s="502"/>
      <c r="D154" s="503"/>
    </row>
    <row r="155" spans="1:4">
      <c r="A155" s="509">
        <v>22</v>
      </c>
      <c r="B155" s="510" t="s">
        <v>374</v>
      </c>
      <c r="C155" s="502"/>
      <c r="D155" s="503"/>
    </row>
    <row r="156" spans="1:4">
      <c r="A156" s="509">
        <v>23</v>
      </c>
      <c r="B156" s="510" t="s">
        <v>375</v>
      </c>
      <c r="C156" s="502"/>
      <c r="D156" s="503"/>
    </row>
    <row r="157" spans="1:4">
      <c r="A157" s="509">
        <v>24</v>
      </c>
      <c r="B157" s="510" t="s">
        <v>376</v>
      </c>
      <c r="C157" s="502"/>
      <c r="D157" s="503"/>
    </row>
    <row r="158" spans="1:4">
      <c r="A158" s="509">
        <v>25</v>
      </c>
      <c r="B158" s="510" t="s">
        <v>377</v>
      </c>
      <c r="C158" s="502"/>
      <c r="D158" s="503"/>
    </row>
    <row r="159" spans="1:4">
      <c r="A159" s="509">
        <v>26</v>
      </c>
      <c r="B159" s="510" t="s">
        <v>378</v>
      </c>
      <c r="C159" s="502"/>
      <c r="D159" s="503"/>
    </row>
    <row r="160" spans="1:4">
      <c r="A160" s="509">
        <v>27</v>
      </c>
      <c r="B160" s="510" t="s">
        <v>379</v>
      </c>
      <c r="C160" s="502"/>
      <c r="D160" s="503"/>
    </row>
    <row r="161" spans="1:4">
      <c r="A161" s="509">
        <v>28</v>
      </c>
      <c r="B161" s="510" t="s">
        <v>380</v>
      </c>
      <c r="C161" s="502"/>
      <c r="D161" s="503"/>
    </row>
    <row r="162" spans="1:4">
      <c r="A162" s="509">
        <v>29</v>
      </c>
      <c r="B162" s="510" t="s">
        <v>381</v>
      </c>
      <c r="C162" s="502"/>
      <c r="D162" s="503"/>
    </row>
    <row r="163" spans="1:4">
      <c r="A163" s="509">
        <v>30</v>
      </c>
      <c r="B163" s="510" t="s">
        <v>382</v>
      </c>
      <c r="C163" s="502"/>
      <c r="D163" s="503"/>
    </row>
    <row r="164" spans="1:4">
      <c r="A164" s="509">
        <v>31</v>
      </c>
      <c r="B164" s="510" t="s">
        <v>383</v>
      </c>
      <c r="C164" s="502"/>
      <c r="D164" s="503"/>
    </row>
    <row r="165" spans="1:4">
      <c r="A165" s="509">
        <v>32</v>
      </c>
      <c r="B165" s="510" t="s">
        <v>384</v>
      </c>
      <c r="C165" s="502"/>
      <c r="D165" s="503"/>
    </row>
    <row r="166" spans="1:4">
      <c r="A166" s="509">
        <v>33</v>
      </c>
      <c r="B166" s="510" t="s">
        <v>385</v>
      </c>
      <c r="C166" s="502"/>
      <c r="D166" s="503"/>
    </row>
    <row r="167" spans="1:4">
      <c r="A167" s="509">
        <v>34</v>
      </c>
      <c r="B167" s="510" t="s">
        <v>386</v>
      </c>
      <c r="C167" s="502"/>
      <c r="D167" s="503"/>
    </row>
    <row r="168" spans="1:4">
      <c r="A168" s="509">
        <v>35</v>
      </c>
      <c r="B168" s="510" t="s">
        <v>387</v>
      </c>
      <c r="C168" s="502"/>
      <c r="D168" s="503"/>
    </row>
    <row r="169" spans="1:4">
      <c r="A169" s="509">
        <v>36</v>
      </c>
      <c r="B169" s="510" t="s">
        <v>388</v>
      </c>
      <c r="C169" s="502"/>
      <c r="D169" s="503"/>
    </row>
    <row r="170" spans="1:4">
      <c r="A170" s="509">
        <v>37</v>
      </c>
      <c r="B170" s="510" t="s">
        <v>389</v>
      </c>
      <c r="C170" s="502"/>
      <c r="D170" s="503"/>
    </row>
    <row r="171" spans="1:4">
      <c r="A171" s="509">
        <v>38</v>
      </c>
      <c r="B171" s="510" t="s">
        <v>390</v>
      </c>
      <c r="C171" s="502"/>
      <c r="D171" s="503"/>
    </row>
    <row r="172" spans="1:4">
      <c r="A172" s="509">
        <v>39</v>
      </c>
      <c r="B172" s="510" t="s">
        <v>391</v>
      </c>
      <c r="C172" s="502"/>
      <c r="D172" s="503"/>
    </row>
    <row r="173" spans="1:4">
      <c r="A173" s="509">
        <v>40</v>
      </c>
      <c r="B173" s="510" t="s">
        <v>392</v>
      </c>
      <c r="C173" s="502"/>
      <c r="D173" s="503"/>
    </row>
    <row r="174" spans="1:4">
      <c r="A174" s="509">
        <v>41</v>
      </c>
      <c r="B174" s="510" t="s">
        <v>393</v>
      </c>
      <c r="C174" s="502"/>
      <c r="D174" s="503"/>
    </row>
    <row r="175" spans="1:4">
      <c r="A175" s="509">
        <v>42</v>
      </c>
      <c r="B175" s="510" t="s">
        <v>394</v>
      </c>
      <c r="C175" s="502"/>
      <c r="D175" s="503"/>
    </row>
    <row r="176" spans="1:4">
      <c r="A176" s="509">
        <v>43</v>
      </c>
      <c r="B176" s="510" t="s">
        <v>395</v>
      </c>
      <c r="C176" s="502"/>
      <c r="D176" s="503"/>
    </row>
    <row r="177" spans="1:4">
      <c r="A177" s="509">
        <v>44</v>
      </c>
      <c r="B177" s="510" t="s">
        <v>396</v>
      </c>
      <c r="C177" s="502"/>
      <c r="D177" s="503"/>
    </row>
    <row r="178" spans="1:4">
      <c r="A178" s="509">
        <v>45</v>
      </c>
      <c r="B178" s="510" t="s">
        <v>397</v>
      </c>
      <c r="C178" s="502"/>
      <c r="D178" s="503"/>
    </row>
    <row r="179" spans="1:4">
      <c r="A179" s="509">
        <v>46</v>
      </c>
      <c r="B179" s="510" t="s">
        <v>398</v>
      </c>
      <c r="C179" s="502"/>
      <c r="D179" s="503"/>
    </row>
    <row r="180" spans="1:4">
      <c r="A180" s="509">
        <v>47</v>
      </c>
      <c r="B180" s="510" t="s">
        <v>399</v>
      </c>
      <c r="C180" s="502"/>
      <c r="D180" s="503"/>
    </row>
    <row r="181" spans="1:4">
      <c r="A181" s="509">
        <v>48</v>
      </c>
      <c r="B181" s="510" t="s">
        <v>400</v>
      </c>
      <c r="C181" s="502"/>
      <c r="D181" s="503"/>
    </row>
    <row r="182" spans="1:4">
      <c r="A182" s="509">
        <v>49</v>
      </c>
      <c r="B182" s="510" t="s">
        <v>401</v>
      </c>
      <c r="C182" s="502"/>
      <c r="D182" s="503"/>
    </row>
    <row r="183" spans="1:4">
      <c r="A183" s="509">
        <v>50</v>
      </c>
      <c r="B183" s="510" t="s">
        <v>402</v>
      </c>
      <c r="C183" s="502"/>
      <c r="D183" s="503"/>
    </row>
    <row r="184" spans="1:4">
      <c r="A184" s="509">
        <v>51</v>
      </c>
      <c r="B184" s="510" t="s">
        <v>403</v>
      </c>
      <c r="C184" s="502"/>
      <c r="D184" s="503"/>
    </row>
    <row r="185" spans="1:4">
      <c r="A185" s="509">
        <v>52</v>
      </c>
      <c r="B185" s="510" t="s">
        <v>404</v>
      </c>
      <c r="C185" s="502"/>
      <c r="D185" s="503"/>
    </row>
    <row r="186" spans="1:4">
      <c r="A186" s="509">
        <v>53</v>
      </c>
      <c r="B186" s="510" t="s">
        <v>405</v>
      </c>
      <c r="C186" s="502"/>
      <c r="D186" s="503"/>
    </row>
    <row r="187" spans="1:4">
      <c r="A187" s="509">
        <v>54</v>
      </c>
      <c r="B187" s="510" t="s">
        <v>406</v>
      </c>
      <c r="C187" s="502"/>
      <c r="D187" s="503"/>
    </row>
    <row r="188" spans="1:4">
      <c r="A188" s="509">
        <v>55</v>
      </c>
      <c r="B188" s="510" t="s">
        <v>407</v>
      </c>
      <c r="C188" s="502"/>
      <c r="D188" s="503"/>
    </row>
    <row r="189" spans="1:4">
      <c r="A189" s="509">
        <v>56</v>
      </c>
      <c r="B189" s="510" t="s">
        <v>408</v>
      </c>
      <c r="C189" s="502"/>
      <c r="D189" s="503"/>
    </row>
    <row r="190" spans="1:4">
      <c r="A190" s="509">
        <v>57</v>
      </c>
      <c r="B190" s="510" t="s">
        <v>409</v>
      </c>
      <c r="C190" s="502"/>
      <c r="D190" s="503"/>
    </row>
    <row r="191" spans="1:4">
      <c r="A191" s="509">
        <v>58</v>
      </c>
      <c r="B191" s="510" t="s">
        <v>410</v>
      </c>
      <c r="C191" s="502"/>
      <c r="D191" s="503"/>
    </row>
    <row r="192" spans="1:4">
      <c r="A192" s="509">
        <v>59</v>
      </c>
      <c r="B192" s="510" t="s">
        <v>411</v>
      </c>
      <c r="C192" s="502"/>
      <c r="D192" s="503"/>
    </row>
    <row r="193" spans="1:4">
      <c r="A193" s="509">
        <v>60</v>
      </c>
      <c r="B193" s="510" t="s">
        <v>412</v>
      </c>
      <c r="C193" s="502"/>
      <c r="D193" s="503"/>
    </row>
    <row r="194" spans="1:4">
      <c r="A194" s="509">
        <v>61</v>
      </c>
      <c r="B194" s="510" t="s">
        <v>413</v>
      </c>
      <c r="C194" s="502"/>
      <c r="D194" s="503"/>
    </row>
    <row r="195" spans="1:4">
      <c r="A195" s="509">
        <v>62</v>
      </c>
      <c r="B195" s="510" t="s">
        <v>414</v>
      </c>
      <c r="C195" s="502"/>
      <c r="D195" s="503"/>
    </row>
    <row r="196" spans="1:4">
      <c r="A196" s="509">
        <v>63</v>
      </c>
      <c r="B196" s="510" t="s">
        <v>415</v>
      </c>
      <c r="C196" s="502"/>
      <c r="D196" s="503"/>
    </row>
    <row r="197" spans="1:4">
      <c r="A197" s="509">
        <v>64</v>
      </c>
      <c r="B197" s="510" t="s">
        <v>416</v>
      </c>
      <c r="C197" s="502"/>
      <c r="D197" s="503"/>
    </row>
    <row r="198" spans="1:4">
      <c r="A198" s="509">
        <v>65</v>
      </c>
      <c r="B198" s="510" t="s">
        <v>417</v>
      </c>
      <c r="C198" s="502"/>
      <c r="D198" s="503"/>
    </row>
    <row r="199" spans="1:4">
      <c r="A199" s="509">
        <v>66</v>
      </c>
      <c r="B199" s="510" t="s">
        <v>418</v>
      </c>
      <c r="C199" s="502"/>
      <c r="D199" s="503"/>
    </row>
    <row r="200" spans="1:4">
      <c r="A200" s="509">
        <v>67</v>
      </c>
      <c r="B200" s="510" t="s">
        <v>419</v>
      </c>
      <c r="C200" s="502"/>
      <c r="D200" s="503"/>
    </row>
    <row r="201" spans="1:4">
      <c r="A201" s="509">
        <v>68</v>
      </c>
      <c r="B201" s="510" t="s">
        <v>420</v>
      </c>
      <c r="C201" s="502"/>
      <c r="D201" s="503"/>
    </row>
    <row r="202" spans="1:4">
      <c r="A202" s="509">
        <v>69</v>
      </c>
      <c r="B202" s="510" t="s">
        <v>421</v>
      </c>
      <c r="C202" s="502"/>
      <c r="D202" s="503"/>
    </row>
    <row r="203" spans="1:4">
      <c r="A203" s="509">
        <v>70</v>
      </c>
      <c r="B203" s="510" t="s">
        <v>422</v>
      </c>
      <c r="C203" s="502"/>
      <c r="D203" s="503"/>
    </row>
    <row r="204" spans="1:4">
      <c r="A204" s="509">
        <v>71</v>
      </c>
      <c r="B204" s="510" t="s">
        <v>423</v>
      </c>
      <c r="C204" s="502"/>
      <c r="D204" s="503"/>
    </row>
    <row r="205" spans="1:4">
      <c r="A205" s="509">
        <v>72</v>
      </c>
      <c r="B205" s="510" t="s">
        <v>424</v>
      </c>
      <c r="C205" s="502"/>
      <c r="D205" s="503"/>
    </row>
    <row r="206" spans="1:4">
      <c r="A206" s="509">
        <v>73</v>
      </c>
      <c r="B206" s="510" t="s">
        <v>425</v>
      </c>
      <c r="C206" s="502"/>
      <c r="D206" s="503"/>
    </row>
    <row r="207" spans="1:4">
      <c r="A207" s="509">
        <v>74</v>
      </c>
      <c r="B207" s="510" t="s">
        <v>426</v>
      </c>
      <c r="C207" s="502"/>
      <c r="D207" s="503"/>
    </row>
    <row r="208" spans="1:4">
      <c r="A208" s="509">
        <v>75</v>
      </c>
      <c r="B208" s="510" t="s">
        <v>427</v>
      </c>
      <c r="C208" s="502"/>
      <c r="D208" s="503"/>
    </row>
    <row r="209" spans="1:4">
      <c r="A209" s="509">
        <v>76</v>
      </c>
      <c r="B209" s="510" t="s">
        <v>428</v>
      </c>
      <c r="C209" s="502"/>
      <c r="D209" s="503"/>
    </row>
    <row r="210" spans="1:4">
      <c r="A210" s="509">
        <v>77</v>
      </c>
      <c r="B210" s="510" t="s">
        <v>429</v>
      </c>
      <c r="C210" s="502"/>
      <c r="D210" s="503"/>
    </row>
    <row r="211" spans="1:4">
      <c r="A211" s="509">
        <v>78</v>
      </c>
      <c r="B211" s="510" t="s">
        <v>430</v>
      </c>
      <c r="C211" s="502"/>
      <c r="D211" s="503"/>
    </row>
    <row r="212" spans="1:4">
      <c r="A212" s="509">
        <v>79</v>
      </c>
      <c r="B212" s="510" t="s">
        <v>431</v>
      </c>
      <c r="C212" s="502"/>
      <c r="D212" s="503"/>
    </row>
    <row r="213" spans="1:4">
      <c r="A213" s="509">
        <v>80</v>
      </c>
      <c r="B213" s="510" t="s">
        <v>432</v>
      </c>
      <c r="C213" s="502"/>
      <c r="D213" s="503"/>
    </row>
    <row r="214" spans="1:4">
      <c r="A214" s="509">
        <v>81</v>
      </c>
      <c r="B214" s="510" t="s">
        <v>433</v>
      </c>
      <c r="C214" s="502"/>
      <c r="D214" s="503"/>
    </row>
    <row r="215" spans="1:4">
      <c r="A215" s="509">
        <v>82</v>
      </c>
      <c r="B215" s="510" t="s">
        <v>434</v>
      </c>
      <c r="C215" s="502"/>
      <c r="D215" s="503"/>
    </row>
    <row r="216" spans="1:4">
      <c r="A216" s="509">
        <v>83</v>
      </c>
      <c r="B216" s="510" t="s">
        <v>435</v>
      </c>
      <c r="C216" s="502"/>
      <c r="D216" s="503"/>
    </row>
    <row r="217" spans="1:4">
      <c r="A217" s="509">
        <v>84</v>
      </c>
      <c r="B217" s="510" t="s">
        <v>436</v>
      </c>
      <c r="C217" s="502"/>
      <c r="D217" s="503"/>
    </row>
    <row r="218" spans="1:4">
      <c r="A218" s="509">
        <v>85</v>
      </c>
      <c r="B218" s="510" t="s">
        <v>437</v>
      </c>
      <c r="C218" s="502"/>
      <c r="D218" s="503"/>
    </row>
    <row r="219" spans="1:4">
      <c r="A219" s="509">
        <v>86</v>
      </c>
      <c r="B219" s="510" t="s">
        <v>438</v>
      </c>
      <c r="C219" s="502"/>
      <c r="D219" s="503"/>
    </row>
    <row r="220" spans="1:4">
      <c r="A220" s="509">
        <v>87</v>
      </c>
      <c r="B220" s="510" t="s">
        <v>439</v>
      </c>
      <c r="C220" s="502"/>
      <c r="D220" s="503"/>
    </row>
    <row r="221" spans="1:4">
      <c r="A221" s="509">
        <v>88</v>
      </c>
      <c r="B221" s="510" t="s">
        <v>440</v>
      </c>
      <c r="C221" s="502"/>
      <c r="D221" s="503"/>
    </row>
    <row r="222" spans="1:4">
      <c r="A222" s="509">
        <v>89</v>
      </c>
      <c r="B222" s="510" t="s">
        <v>441</v>
      </c>
      <c r="C222" s="502"/>
      <c r="D222" s="503"/>
    </row>
    <row r="223" spans="1:4">
      <c r="A223" s="509">
        <v>90</v>
      </c>
      <c r="B223" s="510" t="s">
        <v>442</v>
      </c>
      <c r="C223" s="502"/>
      <c r="D223" s="503"/>
    </row>
    <row r="224" spans="1:4">
      <c r="A224" s="509">
        <v>91</v>
      </c>
      <c r="B224" s="510" t="s">
        <v>443</v>
      </c>
      <c r="C224" s="502"/>
      <c r="D224" s="503"/>
    </row>
    <row r="225" spans="1:4">
      <c r="A225" s="509">
        <v>92</v>
      </c>
      <c r="B225" s="510" t="s">
        <v>444</v>
      </c>
      <c r="C225" s="502"/>
      <c r="D225" s="503"/>
    </row>
    <row r="226" spans="1:4">
      <c r="A226" s="509">
        <v>93</v>
      </c>
      <c r="B226" s="510" t="s">
        <v>445</v>
      </c>
      <c r="C226" s="502"/>
      <c r="D226" s="503"/>
    </row>
    <row r="227" spans="1:4">
      <c r="A227" s="509">
        <v>94</v>
      </c>
      <c r="B227" s="510" t="s">
        <v>446</v>
      </c>
      <c r="C227" s="502"/>
      <c r="D227" s="503"/>
    </row>
    <row r="228" spans="1:4">
      <c r="A228" s="509">
        <v>95</v>
      </c>
      <c r="B228" s="510" t="s">
        <v>447</v>
      </c>
      <c r="C228" s="502"/>
      <c r="D228" s="503"/>
    </row>
    <row r="229" spans="1:4">
      <c r="A229" s="509">
        <v>96</v>
      </c>
      <c r="B229" s="510" t="s">
        <v>448</v>
      </c>
      <c r="C229" s="502"/>
      <c r="D229" s="503"/>
    </row>
    <row r="230" spans="1:4">
      <c r="A230" s="509">
        <v>97</v>
      </c>
      <c r="B230" s="510" t="s">
        <v>449</v>
      </c>
      <c r="C230" s="502"/>
      <c r="D230" s="503"/>
    </row>
    <row r="231" spans="1:4">
      <c r="A231" s="509">
        <v>98</v>
      </c>
      <c r="B231" s="510" t="s">
        <v>450</v>
      </c>
      <c r="C231" s="502"/>
      <c r="D231" s="503"/>
    </row>
    <row r="232" spans="1:4">
      <c r="A232" s="509">
        <v>99</v>
      </c>
      <c r="B232" s="510" t="s">
        <v>451</v>
      </c>
      <c r="C232" s="502"/>
      <c r="D232" s="503"/>
    </row>
    <row r="233" spans="1:4" ht="13.8" thickBot="1">
      <c r="A233" s="511">
        <v>100</v>
      </c>
      <c r="B233" s="512" t="s">
        <v>452</v>
      </c>
      <c r="C233" s="513"/>
      <c r="D233" s="514"/>
    </row>
  </sheetData>
  <sheetProtection selectLockedCells="1"/>
  <customSheetViews>
    <customSheetView guid="{8BA4A88A-5522-45F5-A82B-CD7725CE50B1}" hiddenColumns="1" state="hidden" topLeftCell="P1">
      <selection activeCell="DT28" sqref="DT28"/>
      <pageMargins left="0.75" right="0.75" top="1" bottom="1" header="0.5" footer="0.5"/>
      <pageSetup orientation="portrait" r:id="rId1"/>
      <headerFooter alignWithMargins="0"/>
    </customSheetView>
    <customSheetView guid="{889C3D82-0A24-4765-A688-A80A782F5056}" hiddenColumns="1" state="hidden" topLeftCell="P1">
      <selection activeCell="DT28" sqref="DT28"/>
      <pageMargins left="0.75" right="0.75" top="1" bottom="1" header="0.5" footer="0.5"/>
      <pageSetup orientation="portrait" r:id="rId2"/>
      <headerFooter alignWithMargins="0"/>
    </customSheetView>
    <customSheetView guid="{89CB4E6A-722E-4E39-885D-E2A6D0D08321}" hiddenColumns="1" state="hidden" topLeftCell="P1">
      <selection activeCell="DT28" sqref="DT28"/>
      <pageMargins left="0.75" right="0.75" top="1" bottom="1" header="0.5" footer="0.5"/>
      <pageSetup orientation="portrait" r:id="rId3"/>
      <headerFooter alignWithMargins="0"/>
    </customSheetView>
    <customSheetView guid="{915C64AD-BD67-44F0-9117-5B9D998BA799}" hiddenColumns="1" state="hidden" topLeftCell="P1">
      <selection activeCell="DT28" sqref="DT28"/>
      <pageMargins left="0.75" right="0.75" top="1" bottom="1" header="0.5" footer="0.5"/>
      <pageSetup orientation="portrait" r:id="rId4"/>
      <headerFooter alignWithMargins="0"/>
    </customSheetView>
    <customSheetView guid="{18EA11B4-BD82-47BF-99FA-7AB19BF74D0B}" hiddenColumns="1" state="hidden" topLeftCell="P1">
      <selection activeCell="DT28" sqref="DT28"/>
      <pageMargins left="0.75" right="0.75" top="1" bottom="1" header="0.5" footer="0.5"/>
      <pageSetup orientation="portrait" r:id="rId5"/>
      <headerFooter alignWithMargins="0"/>
    </customSheetView>
    <customSheetView guid="{CCA37BAE-906F-43D5-9FD9-B13563E4B9D7}" hiddenColumns="1" state="hidden" topLeftCell="P1">
      <selection activeCell="DT28" sqref="DT28"/>
      <pageMargins left="0.75" right="0.75" top="1" bottom="1" header="0.5" footer="0.5"/>
      <pageSetup orientation="portrait" r:id="rId6"/>
      <headerFooter alignWithMargins="0"/>
    </customSheetView>
    <customSheetView guid="{99CA2F10-F926-46DC-8609-4EAE5B9F3585}" hiddenColumns="1" state="hidden" topLeftCell="P1">
      <selection activeCell="DT28" sqref="DT28"/>
      <pageMargins left="0.75" right="0.75" top="1" bottom="1" header="0.5" footer="0.5"/>
      <pageSetup orientation="portrait" r:id="rId7"/>
      <headerFooter alignWithMargins="0"/>
    </customSheetView>
    <customSheetView guid="{A58DB4DF-40C7-4BEB-B85E-6BD6F54941CF}" hiddenColumns="1" state="hidden" topLeftCell="P1">
      <selection activeCell="DT28" sqref="DT28"/>
      <pageMargins left="0.75" right="0.75" top="1" bottom="1" header="0.5" footer="0.5"/>
      <pageSetup orientation="portrait" r:id="rId8"/>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09375" defaultRowHeight="15.6"/>
  <cols>
    <col min="1" max="1" width="9.109375" style="44"/>
    <col min="2" max="2" width="9.109375" style="45"/>
    <col min="3" max="3" width="83" style="45" customWidth="1"/>
    <col min="4" max="4" width="75.5546875" style="44" customWidth="1"/>
    <col min="5" max="16384" width="9.109375" style="43"/>
  </cols>
  <sheetData>
    <row r="1" spans="1:11" ht="45" customHeight="1">
      <c r="A1" s="587" t="s">
        <v>336</v>
      </c>
      <c r="B1" s="587"/>
      <c r="C1" s="587"/>
      <c r="D1" s="41"/>
      <c r="E1" s="42"/>
      <c r="F1" s="42"/>
      <c r="G1" s="42"/>
      <c r="H1" s="42"/>
      <c r="I1" s="42"/>
      <c r="J1" s="42"/>
      <c r="K1" s="42"/>
    </row>
    <row r="2" spans="1:11" ht="18" customHeight="1">
      <c r="D2" s="17"/>
      <c r="E2" s="46"/>
      <c r="F2" s="46"/>
      <c r="G2" s="46"/>
      <c r="H2" s="46"/>
      <c r="I2" s="46"/>
      <c r="J2" s="46"/>
      <c r="K2" s="46"/>
    </row>
    <row r="3" spans="1:11" ht="18" customHeight="1">
      <c r="A3" s="47" t="s">
        <v>53</v>
      </c>
      <c r="B3" s="45" t="s">
        <v>54</v>
      </c>
      <c r="D3" s="48"/>
      <c r="E3" s="49"/>
      <c r="F3" s="49"/>
      <c r="G3" s="49"/>
      <c r="H3" s="49"/>
      <c r="I3" s="49"/>
      <c r="J3" s="49"/>
      <c r="K3" s="49"/>
    </row>
    <row r="4" spans="1:11" ht="18" customHeight="1">
      <c r="B4" s="50" t="s">
        <v>55</v>
      </c>
      <c r="C4" s="51" t="s">
        <v>56</v>
      </c>
      <c r="D4" s="48"/>
      <c r="E4" s="49"/>
      <c r="F4" s="49"/>
      <c r="G4" s="49"/>
      <c r="H4" s="49"/>
      <c r="I4" s="49"/>
      <c r="J4" s="49"/>
      <c r="K4" s="49"/>
    </row>
    <row r="5" spans="1:11" ht="38.1" customHeight="1">
      <c r="B5" s="50" t="s">
        <v>57</v>
      </c>
      <c r="C5" s="51" t="s">
        <v>58</v>
      </c>
      <c r="D5" s="48"/>
      <c r="E5" s="49"/>
      <c r="F5" s="49"/>
      <c r="G5" s="49"/>
      <c r="H5" s="49"/>
      <c r="I5" s="49"/>
      <c r="J5" s="49"/>
      <c r="K5" s="49"/>
    </row>
    <row r="6" spans="1:11" ht="18" customHeight="1">
      <c r="B6" s="50" t="s">
        <v>59</v>
      </c>
      <c r="C6" s="51" t="s">
        <v>60</v>
      </c>
      <c r="D6" s="48"/>
      <c r="E6" s="49"/>
      <c r="F6" s="49"/>
      <c r="G6" s="49"/>
      <c r="H6" s="49"/>
      <c r="I6" s="49"/>
      <c r="J6" s="49"/>
      <c r="K6" s="49"/>
    </row>
    <row r="7" spans="1:11" ht="18" customHeight="1">
      <c r="B7" s="50" t="s">
        <v>61</v>
      </c>
      <c r="C7" s="51" t="s">
        <v>62</v>
      </c>
      <c r="D7" s="48"/>
      <c r="E7" s="49"/>
      <c r="F7" s="49"/>
      <c r="G7" s="49"/>
      <c r="H7" s="49"/>
      <c r="I7" s="49"/>
      <c r="J7" s="49"/>
      <c r="K7" s="49"/>
    </row>
    <row r="8" spans="1:11" ht="18" customHeight="1">
      <c r="B8" s="50" t="s">
        <v>63</v>
      </c>
      <c r="C8" s="51" t="s">
        <v>64</v>
      </c>
      <c r="D8" s="48"/>
      <c r="E8" s="49"/>
      <c r="F8" s="49"/>
      <c r="G8" s="49"/>
      <c r="H8" s="49"/>
      <c r="I8" s="49"/>
      <c r="J8" s="49"/>
      <c r="K8" s="49"/>
    </row>
    <row r="9" spans="1:11" ht="18" customHeight="1">
      <c r="B9" s="50" t="s">
        <v>65</v>
      </c>
      <c r="C9" s="51" t="s">
        <v>66</v>
      </c>
      <c r="D9" s="48"/>
      <c r="E9" s="49"/>
      <c r="F9" s="49"/>
      <c r="G9" s="49"/>
      <c r="H9" s="49"/>
      <c r="I9" s="49"/>
      <c r="J9" s="49"/>
      <c r="K9" s="49"/>
    </row>
    <row r="10" spans="1:11" ht="18" customHeight="1">
      <c r="B10" s="50"/>
      <c r="C10" s="51"/>
      <c r="D10" s="48"/>
      <c r="E10" s="49"/>
      <c r="F10" s="49"/>
      <c r="G10" s="49"/>
      <c r="H10" s="49"/>
      <c r="I10" s="49"/>
      <c r="J10" s="49"/>
      <c r="K10" s="49"/>
    </row>
    <row r="11" spans="1:11" ht="18" customHeight="1">
      <c r="A11" s="47" t="s">
        <v>67</v>
      </c>
      <c r="B11" s="45" t="s">
        <v>68</v>
      </c>
      <c r="D11" s="48"/>
      <c r="E11" s="49"/>
      <c r="F11" s="49"/>
      <c r="G11" s="49"/>
      <c r="H11" s="49"/>
      <c r="I11" s="49"/>
      <c r="J11" s="49"/>
      <c r="K11" s="49"/>
    </row>
    <row r="12" spans="1:11" ht="18" customHeight="1">
      <c r="B12" s="586" t="s">
        <v>69</v>
      </c>
      <c r="C12" s="586"/>
      <c r="D12" s="52"/>
      <c r="E12" s="49"/>
      <c r="F12" s="49"/>
      <c r="G12" s="49"/>
      <c r="H12" s="49"/>
      <c r="I12" s="49"/>
      <c r="J12" s="49"/>
      <c r="K12" s="49"/>
    </row>
    <row r="13" spans="1:11" ht="18" customHeight="1">
      <c r="B13" s="53"/>
      <c r="C13" s="51" t="s">
        <v>70</v>
      </c>
      <c r="D13" s="48"/>
      <c r="E13" s="49"/>
      <c r="F13" s="49"/>
      <c r="G13" s="49"/>
      <c r="H13" s="49"/>
      <c r="I13" s="49"/>
      <c r="J13" s="49"/>
      <c r="K13" s="49"/>
    </row>
    <row r="14" spans="1:11" ht="18" customHeight="1">
      <c r="B14" s="586" t="s">
        <v>71</v>
      </c>
      <c r="C14" s="586"/>
      <c r="D14" s="52"/>
      <c r="E14" s="49"/>
      <c r="F14" s="49"/>
      <c r="G14" s="49"/>
      <c r="H14" s="49"/>
      <c r="I14" s="49"/>
      <c r="J14" s="49"/>
      <c r="K14" s="49"/>
    </row>
    <row r="15" spans="1:11" ht="38.1" customHeight="1">
      <c r="B15" s="54" t="s">
        <v>72</v>
      </c>
      <c r="C15" s="51" t="s">
        <v>73</v>
      </c>
      <c r="D15" s="48"/>
      <c r="E15" s="49"/>
      <c r="F15" s="49"/>
      <c r="G15" s="49"/>
      <c r="H15" s="49"/>
      <c r="I15" s="49"/>
      <c r="J15" s="49"/>
      <c r="K15" s="49"/>
    </row>
    <row r="16" spans="1:11" ht="36" customHeight="1">
      <c r="B16" s="54" t="s">
        <v>72</v>
      </c>
      <c r="C16" s="51" t="s">
        <v>74</v>
      </c>
      <c r="D16" s="48"/>
      <c r="E16" s="49"/>
      <c r="F16" s="49"/>
      <c r="G16" s="49"/>
      <c r="H16" s="49"/>
      <c r="I16" s="49"/>
      <c r="J16" s="49"/>
      <c r="K16" s="49"/>
    </row>
    <row r="17" spans="2:11" ht="42" customHeight="1">
      <c r="B17" s="54" t="s">
        <v>72</v>
      </c>
      <c r="C17" s="51" t="s">
        <v>75</v>
      </c>
      <c r="D17" s="48"/>
      <c r="E17" s="49"/>
      <c r="F17" s="49"/>
      <c r="G17" s="49"/>
      <c r="H17" s="49"/>
      <c r="I17" s="49"/>
      <c r="J17" s="49"/>
      <c r="K17" s="49"/>
    </row>
    <row r="18" spans="2:11" ht="18" customHeight="1">
      <c r="B18" s="54" t="s">
        <v>72</v>
      </c>
      <c r="C18" s="51" t="s">
        <v>76</v>
      </c>
      <c r="D18" s="48"/>
      <c r="E18" s="49"/>
      <c r="F18" s="49"/>
      <c r="G18" s="49"/>
      <c r="H18" s="49"/>
      <c r="I18" s="49"/>
      <c r="J18" s="49"/>
      <c r="K18" s="49"/>
    </row>
    <row r="19" spans="2:11" ht="18" customHeight="1">
      <c r="B19" s="54" t="s">
        <v>72</v>
      </c>
      <c r="C19" s="55" t="s">
        <v>77</v>
      </c>
      <c r="D19" s="48"/>
      <c r="E19" s="49"/>
      <c r="F19" s="49"/>
      <c r="G19" s="49"/>
      <c r="H19" s="49"/>
      <c r="I19" s="49"/>
      <c r="J19" s="49"/>
      <c r="K19" s="49"/>
    </row>
    <row r="20" spans="2:11" ht="18" customHeight="1">
      <c r="B20" s="54" t="s">
        <v>72</v>
      </c>
      <c r="C20" s="51" t="s">
        <v>78</v>
      </c>
      <c r="D20" s="48"/>
      <c r="E20" s="49"/>
      <c r="F20" s="49"/>
      <c r="G20" s="49"/>
      <c r="H20" s="49"/>
      <c r="I20" s="49"/>
      <c r="J20" s="49"/>
      <c r="K20" s="49"/>
    </row>
    <row r="21" spans="2:11" ht="18" customHeight="1">
      <c r="B21" s="586" t="s">
        <v>79</v>
      </c>
      <c r="C21" s="586"/>
      <c r="D21" s="52"/>
      <c r="E21" s="49"/>
      <c r="F21" s="49"/>
      <c r="G21" s="49"/>
      <c r="H21" s="49"/>
      <c r="I21" s="49"/>
      <c r="J21" s="49"/>
      <c r="K21" s="49"/>
    </row>
    <row r="22" spans="2:11" ht="54" customHeight="1">
      <c r="B22" s="54" t="s">
        <v>72</v>
      </c>
      <c r="C22" s="51" t="s">
        <v>80</v>
      </c>
      <c r="D22" s="48"/>
      <c r="E22" s="49"/>
      <c r="F22" s="49"/>
      <c r="G22" s="49"/>
      <c r="H22" s="49"/>
      <c r="I22" s="49"/>
      <c r="J22" s="49"/>
      <c r="K22" s="49"/>
    </row>
    <row r="23" spans="2:11" ht="54" customHeight="1">
      <c r="B23" s="54" t="s">
        <v>72</v>
      </c>
      <c r="C23" s="51" t="s">
        <v>81</v>
      </c>
      <c r="D23" s="48"/>
      <c r="E23" s="49"/>
      <c r="F23" s="49"/>
      <c r="G23" s="49"/>
      <c r="H23" s="49"/>
      <c r="I23" s="49"/>
      <c r="J23" s="49"/>
      <c r="K23" s="49"/>
    </row>
    <row r="24" spans="2:11" ht="57.6" customHeight="1">
      <c r="B24" s="54" t="s">
        <v>72</v>
      </c>
      <c r="C24" s="51" t="s">
        <v>82</v>
      </c>
      <c r="D24" s="48"/>
      <c r="E24" s="49"/>
      <c r="F24" s="49"/>
      <c r="G24" s="49"/>
      <c r="H24" s="49"/>
      <c r="I24" s="49"/>
      <c r="J24" s="49"/>
      <c r="K24" s="49"/>
    </row>
    <row r="25" spans="2:11" ht="18" customHeight="1">
      <c r="B25" s="54" t="s">
        <v>72</v>
      </c>
      <c r="C25" s="51" t="s">
        <v>83</v>
      </c>
      <c r="D25" s="48"/>
      <c r="E25" s="49"/>
      <c r="F25" s="49"/>
      <c r="G25" s="49"/>
      <c r="H25" s="49"/>
      <c r="I25" s="49"/>
      <c r="J25" s="49"/>
      <c r="K25" s="49"/>
    </row>
    <row r="26" spans="2:11" ht="38.1" customHeight="1">
      <c r="B26" s="54" t="s">
        <v>72</v>
      </c>
      <c r="C26" s="51" t="s">
        <v>84</v>
      </c>
      <c r="D26" s="48"/>
      <c r="E26" s="49"/>
      <c r="F26" s="49"/>
      <c r="G26" s="49"/>
      <c r="H26" s="49"/>
      <c r="I26" s="49"/>
      <c r="J26" s="49"/>
      <c r="K26" s="49"/>
    </row>
    <row r="27" spans="2:11" ht="18" customHeight="1">
      <c r="B27" s="586" t="s">
        <v>85</v>
      </c>
      <c r="C27" s="586"/>
      <c r="D27" s="52"/>
      <c r="E27" s="49"/>
      <c r="F27" s="49"/>
      <c r="G27" s="49"/>
      <c r="H27" s="49"/>
      <c r="I27" s="49"/>
      <c r="J27" s="49"/>
      <c r="K27" s="49"/>
    </row>
    <row r="28" spans="2:11" ht="54" customHeight="1">
      <c r="B28" s="54" t="s">
        <v>72</v>
      </c>
      <c r="C28" s="51" t="s">
        <v>80</v>
      </c>
      <c r="D28" s="48"/>
      <c r="E28" s="49"/>
      <c r="F28" s="49"/>
      <c r="G28" s="49"/>
      <c r="H28" s="49"/>
      <c r="I28" s="49"/>
      <c r="J28" s="49"/>
      <c r="K28" s="49"/>
    </row>
    <row r="29" spans="2:11" ht="18" customHeight="1">
      <c r="B29" s="54" t="s">
        <v>72</v>
      </c>
      <c r="C29" s="51" t="s">
        <v>83</v>
      </c>
      <c r="D29" s="48"/>
      <c r="E29" s="49"/>
      <c r="F29" s="49"/>
      <c r="G29" s="49"/>
      <c r="H29" s="49"/>
      <c r="I29" s="49"/>
      <c r="J29" s="49"/>
      <c r="K29" s="49"/>
    </row>
    <row r="30" spans="2:11" ht="18" customHeight="1">
      <c r="B30" s="586" t="s">
        <v>86</v>
      </c>
      <c r="C30" s="586"/>
      <c r="D30" s="52"/>
    </row>
    <row r="31" spans="2:11" ht="54" customHeight="1">
      <c r="B31" s="54" t="s">
        <v>72</v>
      </c>
      <c r="C31" s="51" t="s">
        <v>80</v>
      </c>
      <c r="D31" s="48"/>
      <c r="E31" s="49"/>
      <c r="F31" s="49"/>
      <c r="G31" s="49"/>
      <c r="H31" s="49"/>
      <c r="I31" s="49"/>
      <c r="J31" s="49"/>
      <c r="K31" s="49"/>
    </row>
    <row r="32" spans="2:11" ht="18" customHeight="1">
      <c r="B32" s="54" t="s">
        <v>72</v>
      </c>
      <c r="C32" s="51" t="s">
        <v>83</v>
      </c>
      <c r="D32" s="48"/>
    </row>
    <row r="33" spans="2:11" ht="18" customHeight="1">
      <c r="B33" s="586" t="s">
        <v>87</v>
      </c>
      <c r="C33" s="586"/>
      <c r="D33" s="52"/>
    </row>
    <row r="34" spans="2:11" ht="18" customHeight="1">
      <c r="B34" s="54" t="s">
        <v>72</v>
      </c>
      <c r="C34" s="51" t="s">
        <v>88</v>
      </c>
      <c r="D34" s="48"/>
    </row>
    <row r="35" spans="2:11" ht="18" customHeight="1">
      <c r="B35" s="586" t="s">
        <v>89</v>
      </c>
      <c r="C35" s="586"/>
      <c r="D35" s="52"/>
    </row>
    <row r="36" spans="2:11" ht="66.599999999999994" customHeight="1">
      <c r="B36" s="54" t="s">
        <v>72</v>
      </c>
      <c r="C36" s="51" t="s">
        <v>90</v>
      </c>
      <c r="D36" s="48"/>
      <c r="E36" s="49"/>
      <c r="F36" s="49"/>
      <c r="G36" s="49"/>
      <c r="H36" s="49"/>
      <c r="I36" s="49"/>
      <c r="J36" s="49"/>
      <c r="K36" s="49"/>
    </row>
    <row r="37" spans="2:11" ht="146.1" customHeight="1">
      <c r="B37" s="54" t="s">
        <v>72</v>
      </c>
      <c r="C37" s="51" t="s">
        <v>91</v>
      </c>
      <c r="D37" s="48"/>
      <c r="E37" s="49"/>
      <c r="F37" s="49"/>
      <c r="G37" s="49"/>
      <c r="H37" s="49"/>
      <c r="I37" s="49"/>
      <c r="J37" s="49"/>
      <c r="K37" s="49"/>
    </row>
    <row r="38" spans="2:11" ht="164.1" customHeight="1">
      <c r="B38" s="54" t="s">
        <v>72</v>
      </c>
      <c r="C38" s="51" t="s">
        <v>92</v>
      </c>
      <c r="D38" s="48"/>
      <c r="E38" s="49"/>
      <c r="F38" s="49"/>
      <c r="G38" s="49"/>
      <c r="H38" s="49"/>
      <c r="I38" s="49"/>
      <c r="J38" s="49"/>
      <c r="K38" s="49"/>
    </row>
    <row r="39" spans="2:11" ht="75.900000000000006" customHeight="1">
      <c r="B39" s="54" t="s">
        <v>72</v>
      </c>
      <c r="C39" s="51" t="s">
        <v>93</v>
      </c>
      <c r="D39" s="48"/>
      <c r="E39" s="49"/>
      <c r="F39" s="49"/>
      <c r="G39" s="49"/>
      <c r="H39" s="49"/>
      <c r="I39" s="49"/>
      <c r="J39" s="49"/>
      <c r="K39" s="49"/>
    </row>
    <row r="40" spans="2:11" ht="38.1" customHeight="1">
      <c r="B40" s="54" t="s">
        <v>72</v>
      </c>
      <c r="C40" s="51" t="s">
        <v>94</v>
      </c>
    </row>
    <row r="41" spans="2:11" ht="18" customHeight="1">
      <c r="B41" s="586" t="s">
        <v>95</v>
      </c>
      <c r="C41" s="586"/>
    </row>
    <row r="42" spans="2:11" ht="38.1" customHeight="1">
      <c r="B42" s="54" t="s">
        <v>72</v>
      </c>
      <c r="C42" s="51" t="s">
        <v>96</v>
      </c>
    </row>
    <row r="43" spans="2:11" ht="18" customHeight="1">
      <c r="B43" s="54" t="s">
        <v>72</v>
      </c>
      <c r="C43" s="56" t="s">
        <v>97</v>
      </c>
    </row>
    <row r="44" spans="2:11" ht="18" customHeight="1">
      <c r="B44" s="586" t="s">
        <v>98</v>
      </c>
      <c r="C44" s="586"/>
    </row>
    <row r="45" spans="2:11" ht="38.1" customHeight="1">
      <c r="B45" s="54" t="s">
        <v>72</v>
      </c>
      <c r="C45" s="51" t="s">
        <v>99</v>
      </c>
    </row>
    <row r="46" spans="2:11" ht="18" customHeight="1">
      <c r="B46" s="54" t="s">
        <v>72</v>
      </c>
      <c r="C46" s="56" t="s">
        <v>97</v>
      </c>
    </row>
    <row r="47" spans="2:11" ht="18" customHeight="1">
      <c r="B47" s="586" t="s">
        <v>100</v>
      </c>
      <c r="C47" s="586" t="s">
        <v>101</v>
      </c>
    </row>
    <row r="48" spans="2:11" ht="48" customHeight="1">
      <c r="B48" s="54" t="s">
        <v>72</v>
      </c>
      <c r="C48" s="51" t="s">
        <v>102</v>
      </c>
    </row>
    <row r="49" spans="1:11" ht="18" customHeight="1">
      <c r="B49" s="54" t="s">
        <v>72</v>
      </c>
      <c r="C49" s="56" t="s">
        <v>97</v>
      </c>
    </row>
    <row r="50" spans="1:11" ht="18" customHeight="1">
      <c r="B50" s="586" t="s">
        <v>103</v>
      </c>
      <c r="C50" s="586"/>
    </row>
    <row r="51" spans="1:11" ht="38.1" customHeight="1">
      <c r="B51" s="54" t="s">
        <v>72</v>
      </c>
      <c r="C51" s="51" t="s">
        <v>104</v>
      </c>
    </row>
    <row r="52" spans="1:11" ht="38.1" customHeight="1">
      <c r="B52" s="54" t="s">
        <v>72</v>
      </c>
      <c r="C52" s="51" t="s">
        <v>105</v>
      </c>
    </row>
    <row r="53" spans="1:11" ht="18" customHeight="1">
      <c r="B53" s="586" t="s">
        <v>106</v>
      </c>
      <c r="C53" s="586"/>
    </row>
    <row r="54" spans="1:11" ht="18" customHeight="1">
      <c r="B54" s="54" t="s">
        <v>72</v>
      </c>
      <c r="C54" s="57" t="s">
        <v>107</v>
      </c>
    </row>
    <row r="55" spans="1:11" ht="18" customHeight="1">
      <c r="B55" s="54" t="s">
        <v>72</v>
      </c>
      <c r="C55" s="57" t="s">
        <v>108</v>
      </c>
    </row>
    <row r="56" spans="1:11" ht="18" customHeight="1">
      <c r="B56" s="586" t="s">
        <v>109</v>
      </c>
      <c r="C56" s="586"/>
    </row>
    <row r="57" spans="1:11" ht="18" customHeight="1">
      <c r="B57" s="54" t="s">
        <v>72</v>
      </c>
      <c r="C57" s="51" t="s">
        <v>110</v>
      </c>
      <c r="D57" s="48"/>
      <c r="E57" s="49"/>
      <c r="F57" s="49"/>
      <c r="G57" s="49"/>
      <c r="H57" s="49"/>
      <c r="I57" s="49"/>
      <c r="J57" s="49"/>
      <c r="K57" s="49"/>
    </row>
    <row r="58" spans="1:11" ht="18" customHeight="1">
      <c r="B58" s="54" t="s">
        <v>72</v>
      </c>
      <c r="C58" s="51" t="s">
        <v>111</v>
      </c>
      <c r="D58" s="48"/>
      <c r="E58" s="49"/>
      <c r="F58" s="49"/>
      <c r="G58" s="49"/>
      <c r="H58" s="49"/>
      <c r="I58" s="49"/>
      <c r="J58" s="49"/>
      <c r="K58" s="49"/>
    </row>
    <row r="59" spans="1:11" ht="36" customHeight="1">
      <c r="B59" s="54" t="s">
        <v>72</v>
      </c>
      <c r="C59" s="51" t="s">
        <v>112</v>
      </c>
      <c r="D59" s="48"/>
      <c r="E59" s="49"/>
      <c r="F59" s="49"/>
      <c r="G59" s="49"/>
      <c r="H59" s="49"/>
      <c r="I59" s="49"/>
      <c r="J59" s="49"/>
      <c r="K59" s="49"/>
    </row>
    <row r="60" spans="1:11" ht="18" customHeight="1">
      <c r="B60" s="54" t="s">
        <v>72</v>
      </c>
      <c r="C60" s="51" t="s">
        <v>113</v>
      </c>
      <c r="D60" s="48"/>
      <c r="E60" s="49"/>
      <c r="F60" s="49"/>
      <c r="G60" s="49"/>
      <c r="H60" s="49"/>
      <c r="I60" s="49"/>
      <c r="J60" s="49"/>
      <c r="K60" s="49"/>
    </row>
    <row r="61" spans="1:11" ht="18" customHeight="1">
      <c r="A61" s="45"/>
      <c r="C61" s="58"/>
    </row>
    <row r="62" spans="1:11" ht="18" customHeight="1">
      <c r="A62" s="590"/>
      <c r="B62" s="590"/>
      <c r="C62" s="590"/>
      <c r="D62" s="59"/>
    </row>
    <row r="63" spans="1:11" ht="18" customHeight="1">
      <c r="A63" s="588" t="s">
        <v>114</v>
      </c>
      <c r="B63" s="588"/>
      <c r="C63" s="588"/>
      <c r="D63" s="59"/>
    </row>
    <row r="64" spans="1:11" ht="36" customHeight="1">
      <c r="A64" s="589" t="s">
        <v>115</v>
      </c>
      <c r="B64" s="589"/>
      <c r="C64" s="589"/>
    </row>
    <row r="65" spans="2:3" ht="18" customHeight="1">
      <c r="B65" s="60"/>
      <c r="C65" s="60"/>
    </row>
    <row r="66" spans="2:3" ht="18" customHeight="1">
      <c r="C66" s="57"/>
    </row>
    <row r="67" spans="2:3" ht="18" customHeight="1">
      <c r="C67" s="58"/>
    </row>
    <row r="68" spans="2:3" ht="18" customHeight="1">
      <c r="C68" s="57"/>
    </row>
    <row r="69" spans="2:3" ht="18" customHeight="1">
      <c r="B69" s="58"/>
      <c r="C69" s="58"/>
    </row>
    <row r="70" spans="2:3" ht="18" customHeight="1">
      <c r="B70" s="58"/>
      <c r="C70" s="58"/>
    </row>
    <row r="71" spans="2:3" ht="18" customHeight="1">
      <c r="B71" s="58"/>
      <c r="C71" s="58"/>
    </row>
    <row r="72" spans="2:3" ht="18" customHeight="1">
      <c r="B72" s="58"/>
      <c r="C72" s="58"/>
    </row>
    <row r="73" spans="2:3" ht="18" customHeight="1">
      <c r="B73" s="58"/>
      <c r="C73" s="58"/>
    </row>
    <row r="74" spans="2:3" ht="18" customHeight="1">
      <c r="B74" s="58"/>
      <c r="C74" s="5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8BA4A88A-5522-45F5-A82B-CD7725CE50B1}"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3"/>
  <headerFooter alignWithMargins="0">
    <oddFooter>&amp;RPage &amp;P of &amp;N</oddFooter>
  </headerFooter>
  <rowBreaks count="1" manualBreakCount="1">
    <brk id="29" max="2" man="1"/>
  </rowBreaks>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B24"/>
  <sheetViews>
    <sheetView showGridLines="0" view="pageBreakPreview" zoomScale="70" zoomScaleSheetLayoutView="70" workbookViewId="0">
      <selection activeCell="C7" sqref="C7:F7"/>
    </sheetView>
  </sheetViews>
  <sheetFormatPr defaultColWidth="9.109375" defaultRowHeight="15.6"/>
  <cols>
    <col min="1" max="1" width="33" style="422" customWidth="1"/>
    <col min="2" max="2" width="11.6640625" style="422" customWidth="1"/>
    <col min="3" max="4" width="6.44140625" style="422" customWidth="1"/>
    <col min="5" max="5" width="6.44140625" style="425" customWidth="1"/>
    <col min="6" max="6" width="39" style="425" customWidth="1"/>
    <col min="7" max="7" width="11.88671875" style="425" hidden="1" customWidth="1"/>
    <col min="8" max="9" width="11.88671875" style="425" customWidth="1"/>
    <col min="10" max="24" width="11.88671875" style="425" hidden="1" customWidth="1"/>
    <col min="25" max="25" width="9.109375" style="425" hidden="1" customWidth="1"/>
    <col min="26" max="26" width="15.33203125" style="425" hidden="1" customWidth="1"/>
    <col min="27" max="30" width="0" style="425" hidden="1" customWidth="1"/>
    <col min="31" max="16384" width="9.109375" style="425"/>
  </cols>
  <sheetData>
    <row r="1" spans="1:28" s="422" customFormat="1" ht="106.8" customHeight="1">
      <c r="A1" s="599" t="str">
        <f>Cover!$B$2</f>
        <v>Reconductoring Package - OH01 for (i) Reconductoring of 220kV Hisar (PG)-Hisar (IA) D/c line associated with ‘Reconductoring of 220kV Hisar (PG) – Hisar (IA) S/c line’; and (ii) Reconductoring of 400 kV S/c (TWIN ACSR MOOSE) Raichur – Veltoor (Mahabubnagar) line with TWIN HTLS conductor associated with ‘Reconductoring of Raichur – Veltoor (Mahabubnagar) 400kV S/c line with HTLS conductor’.</v>
      </c>
      <c r="B1" s="599"/>
      <c r="C1" s="599"/>
      <c r="D1" s="599"/>
      <c r="E1" s="599"/>
      <c r="F1" s="599"/>
      <c r="G1" s="423"/>
      <c r="H1" s="423"/>
      <c r="I1" s="423"/>
      <c r="J1" s="423"/>
      <c r="K1" s="423"/>
      <c r="L1" s="423"/>
      <c r="M1" s="423"/>
      <c r="N1" s="423"/>
      <c r="O1" s="423"/>
      <c r="P1" s="423"/>
      <c r="Q1" s="423"/>
      <c r="R1" s="423"/>
      <c r="S1" s="423"/>
      <c r="T1" s="423"/>
      <c r="U1" s="423"/>
      <c r="V1" s="423"/>
      <c r="W1" s="423"/>
      <c r="X1" s="423"/>
      <c r="Z1" s="424"/>
      <c r="AA1" s="424"/>
      <c r="AB1" s="424"/>
    </row>
    <row r="2" spans="1:28" ht="16.5" customHeight="1">
      <c r="A2" s="600" t="str">
        <f>Cover!B3</f>
        <v>CC/NT/W-COND/DOM/A04/24/05656</v>
      </c>
      <c r="B2" s="600"/>
      <c r="C2" s="600"/>
      <c r="D2" s="600"/>
      <c r="E2" s="600"/>
      <c r="F2" s="600"/>
      <c r="G2" s="422"/>
      <c r="H2" s="422"/>
      <c r="I2" s="422"/>
      <c r="J2" s="422"/>
      <c r="K2" s="422"/>
      <c r="L2" s="422"/>
      <c r="M2" s="422"/>
      <c r="N2" s="422"/>
      <c r="O2" s="422"/>
      <c r="P2" s="422"/>
      <c r="Q2" s="422"/>
      <c r="R2" s="422"/>
      <c r="S2" s="422"/>
      <c r="T2" s="422"/>
      <c r="U2" s="422"/>
      <c r="V2" s="422"/>
      <c r="W2" s="422"/>
      <c r="X2" s="422"/>
      <c r="Z2" s="425" t="s">
        <v>116</v>
      </c>
      <c r="AA2" s="426">
        <v>1</v>
      </c>
      <c r="AB2" s="427"/>
    </row>
    <row r="3" spans="1:28" ht="12" customHeight="1">
      <c r="A3" s="428"/>
      <c r="B3" s="428"/>
      <c r="C3" s="428"/>
      <c r="D3" s="428"/>
      <c r="E3" s="422"/>
      <c r="F3" s="422"/>
      <c r="G3" s="422"/>
      <c r="H3" s="422"/>
      <c r="I3" s="422"/>
      <c r="J3" s="422"/>
      <c r="K3" s="422"/>
      <c r="L3" s="422"/>
      <c r="M3" s="422"/>
      <c r="N3" s="422"/>
      <c r="O3" s="422"/>
      <c r="P3" s="422"/>
      <c r="Q3" s="422"/>
      <c r="R3" s="422"/>
      <c r="S3" s="422"/>
      <c r="T3" s="422"/>
      <c r="U3" s="422"/>
      <c r="V3" s="422"/>
      <c r="W3" s="422"/>
      <c r="X3" s="422"/>
      <c r="Z3" s="425" t="s">
        <v>117</v>
      </c>
      <c r="AA3" s="426" t="s">
        <v>118</v>
      </c>
      <c r="AB3" s="427"/>
    </row>
    <row r="4" spans="1:28" ht="20.100000000000001" customHeight="1">
      <c r="A4" s="601" t="s">
        <v>119</v>
      </c>
      <c r="B4" s="601"/>
      <c r="C4" s="601"/>
      <c r="D4" s="601"/>
      <c r="E4" s="601"/>
      <c r="F4" s="601"/>
      <c r="G4" s="422"/>
      <c r="H4" s="422"/>
      <c r="I4" s="422"/>
      <c r="J4" s="422"/>
      <c r="K4" s="422"/>
      <c r="L4" s="422"/>
      <c r="M4" s="422"/>
      <c r="N4" s="422"/>
      <c r="O4" s="422"/>
      <c r="P4" s="422"/>
      <c r="Q4" s="422"/>
      <c r="R4" s="422"/>
      <c r="S4" s="422"/>
      <c r="T4" s="422"/>
      <c r="U4" s="422"/>
      <c r="V4" s="422"/>
      <c r="W4" s="422"/>
      <c r="X4" s="422"/>
      <c r="AA4" s="426"/>
      <c r="AB4" s="427"/>
    </row>
    <row r="5" spans="1:28" ht="12" customHeight="1">
      <c r="A5" s="429"/>
      <c r="B5" s="429"/>
      <c r="E5" s="422"/>
      <c r="F5" s="422"/>
      <c r="G5" s="422"/>
      <c r="H5" s="422"/>
      <c r="I5" s="422"/>
      <c r="J5" s="422"/>
      <c r="K5" s="422"/>
      <c r="L5" s="422"/>
      <c r="M5" s="422"/>
      <c r="N5" s="422"/>
      <c r="O5" s="422"/>
      <c r="P5" s="422"/>
      <c r="Q5" s="422"/>
      <c r="R5" s="422"/>
      <c r="S5" s="422"/>
      <c r="T5" s="422"/>
      <c r="U5" s="422"/>
      <c r="V5" s="422"/>
      <c r="W5" s="422"/>
      <c r="X5" s="422"/>
      <c r="Z5" s="427"/>
      <c r="AA5" s="427"/>
      <c r="AB5" s="427"/>
    </row>
    <row r="6" spans="1:28" s="422" customFormat="1" ht="50.25" customHeight="1">
      <c r="A6" s="606" t="s">
        <v>339</v>
      </c>
      <c r="B6" s="606"/>
      <c r="C6" s="602" t="s">
        <v>116</v>
      </c>
      <c r="D6" s="602"/>
      <c r="E6" s="602"/>
      <c r="F6" s="602"/>
      <c r="G6" s="430"/>
      <c r="H6" s="430"/>
      <c r="I6" s="430"/>
      <c r="J6" s="449">
        <f>IF(C6="Sole Bidder", 1,2)</f>
        <v>1</v>
      </c>
      <c r="K6" s="430"/>
      <c r="L6" s="430"/>
      <c r="M6" s="430"/>
      <c r="N6" s="430"/>
      <c r="O6" s="430"/>
      <c r="P6" s="430"/>
      <c r="Q6" s="430"/>
      <c r="R6" s="430"/>
      <c r="T6" s="430"/>
      <c r="U6" s="430"/>
      <c r="V6" s="430"/>
      <c r="W6" s="430"/>
      <c r="X6" s="430"/>
      <c r="Z6" s="431">
        <f>IF(C6= "Sole Bidder", 0, C7)</f>
        <v>0</v>
      </c>
      <c r="AA6" s="424"/>
      <c r="AB6" s="424"/>
    </row>
    <row r="7" spans="1:28" ht="50.1" customHeight="1">
      <c r="A7" s="432" t="str">
        <f>IF(C6= "JV (Joint Venture)", "Total Nos. of  Partners in the JV [excluding the Lead Partner]", "")</f>
        <v/>
      </c>
      <c r="B7" s="433"/>
      <c r="C7" s="603" t="s">
        <v>118</v>
      </c>
      <c r="D7" s="604"/>
      <c r="E7" s="604"/>
      <c r="F7" s="605"/>
      <c r="Z7" s="427"/>
      <c r="AA7" s="427"/>
      <c r="AB7" s="427"/>
    </row>
    <row r="8" spans="1:28" ht="19.5" customHeight="1">
      <c r="A8" s="434"/>
      <c r="B8" s="434"/>
      <c r="C8" s="430"/>
    </row>
    <row r="9" spans="1:28" ht="20.100000000000001" customHeight="1">
      <c r="A9" s="435" t="str">
        <f>IF(C6= "Sole Bidder", "Name of Sole Bidder", "Name of Lead Partner")</f>
        <v>Name of Sole Bidder</v>
      </c>
      <c r="B9" s="436"/>
      <c r="C9" s="591"/>
      <c r="D9" s="594"/>
      <c r="E9" s="594"/>
      <c r="F9" s="595"/>
    </row>
    <row r="10" spans="1:28" ht="20.100000000000001" customHeight="1">
      <c r="A10" s="437" t="str">
        <f>IF(C6= "Sole Bidder", "Address of Sole Bidder", "Address of Lead Partner")</f>
        <v>Address of Sole Bidder</v>
      </c>
      <c r="B10" s="438"/>
      <c r="C10" s="591"/>
      <c r="D10" s="594"/>
      <c r="E10" s="594"/>
      <c r="F10" s="595"/>
    </row>
    <row r="11" spans="1:28" ht="20.100000000000001" customHeight="1">
      <c r="A11" s="439"/>
      <c r="B11" s="440"/>
      <c r="C11" s="591"/>
      <c r="D11" s="594"/>
      <c r="E11" s="594"/>
      <c r="F11" s="595"/>
    </row>
    <row r="12" spans="1:28" ht="20.100000000000001" customHeight="1">
      <c r="A12" s="441"/>
      <c r="B12" s="442"/>
      <c r="C12" s="758"/>
      <c r="D12" s="759"/>
      <c r="E12" s="759"/>
      <c r="F12" s="759"/>
    </row>
    <row r="13" spans="1:28" ht="21.75" customHeight="1"/>
    <row r="14" spans="1:28" ht="20.100000000000001" hidden="1" customHeight="1">
      <c r="A14" s="435" t="s">
        <v>121</v>
      </c>
      <c r="B14" s="436"/>
      <c r="C14" s="591" t="s">
        <v>120</v>
      </c>
      <c r="D14" s="594"/>
      <c r="E14" s="594"/>
      <c r="F14" s="595"/>
    </row>
    <row r="15" spans="1:28" ht="20.100000000000001" hidden="1" customHeight="1">
      <c r="A15" s="437" t="s">
        <v>122</v>
      </c>
      <c r="B15" s="438"/>
      <c r="C15" s="591" t="s">
        <v>120</v>
      </c>
      <c r="D15" s="594"/>
      <c r="E15" s="594"/>
      <c r="F15" s="595"/>
    </row>
    <row r="16" spans="1:28" ht="20.100000000000001" hidden="1" customHeight="1">
      <c r="A16" s="439"/>
      <c r="B16" s="440"/>
      <c r="C16" s="591" t="s">
        <v>120</v>
      </c>
      <c r="D16" s="594"/>
      <c r="E16" s="594"/>
      <c r="F16" s="595"/>
    </row>
    <row r="17" spans="1:7" ht="20.100000000000001" hidden="1" customHeight="1">
      <c r="A17" s="441"/>
      <c r="B17" s="442"/>
      <c r="C17" s="591" t="s">
        <v>120</v>
      </c>
      <c r="D17" s="594"/>
      <c r="E17" s="594"/>
      <c r="F17" s="595"/>
    </row>
    <row r="18" spans="1:7" ht="20.100000000000001" customHeight="1"/>
    <row r="19" spans="1:7" ht="21" customHeight="1">
      <c r="A19" s="443" t="s">
        <v>123</v>
      </c>
      <c r="B19" s="444"/>
      <c r="C19" s="596"/>
      <c r="D19" s="597"/>
      <c r="E19" s="597"/>
      <c r="F19" s="598"/>
    </row>
    <row r="20" spans="1:7" ht="21" customHeight="1">
      <c r="A20" s="443" t="s">
        <v>124</v>
      </c>
      <c r="B20" s="444"/>
      <c r="C20" s="758"/>
      <c r="D20" s="758"/>
      <c r="E20" s="758"/>
      <c r="F20" s="758"/>
    </row>
    <row r="21" spans="1:7" ht="21" customHeight="1">
      <c r="A21" s="445"/>
      <c r="B21" s="445"/>
      <c r="C21" s="445"/>
    </row>
    <row r="22" spans="1:7" s="422" customFormat="1" ht="21" customHeight="1">
      <c r="A22" s="443" t="s">
        <v>125</v>
      </c>
      <c r="B22" s="444"/>
      <c r="C22" s="446"/>
      <c r="D22" s="448"/>
      <c r="E22" s="446"/>
      <c r="F22" s="447" t="str">
        <f>IF(C22&gt;G22, "Invalid Date !", "")</f>
        <v/>
      </c>
      <c r="G22" s="424">
        <f>IF(D22="Feb",28,IF(OR(D22="Apr", D22="Jun", D22="Sep", D22="Nov"),30,31))</f>
        <v>31</v>
      </c>
    </row>
    <row r="23" spans="1:7" ht="21" customHeight="1">
      <c r="A23" s="443" t="s">
        <v>126</v>
      </c>
      <c r="B23" s="444"/>
      <c r="C23" s="591"/>
      <c r="D23" s="592"/>
      <c r="E23" s="592"/>
      <c r="F23" s="593"/>
    </row>
    <row r="24" spans="1:7">
      <c r="D24" s="425"/>
    </row>
  </sheetData>
  <sheetProtection algorithmName="SHA-512" hashValue="qCXq5SxYFFzjGi5V7U78NM9H8XfKUiYF+zvaDZSPJeutDfzUTQcyGnH7HxzaaWPt1QL9uaAcG6nRCZZDe4LzOQ==" saltValue="g+DnE2Ue3mkIGWsay6/kSw==" spinCount="100000" sheet="1" formatColumns="0" formatRows="0" selectLockedCells="1"/>
  <customSheetViews>
    <customSheetView guid="{8BA4A88A-5522-45F5-A82B-CD7725CE50B1}" scale="115" showGridLines="0" printArea="1" hiddenRows="1" hiddenColumns="1" view="pageBreakPreview">
      <selection activeCell="C6" sqref="C6:F6"/>
      <pageMargins left="0.75" right="0.75" top="0.69" bottom="0.7" header="0.4" footer="0.37"/>
      <pageSetup scale="86" orientation="portrait" r:id="rId1"/>
      <headerFooter alignWithMargins="0"/>
    </customSheetView>
    <customSheetView guid="{889C3D82-0A24-4765-A688-A80A782F5056}" scale="115" showGridLines="0" printArea="1" hiddenRows="1" hiddenColumns="1" view="pageBreakPreview">
      <selection activeCell="C6" sqref="C6:F6"/>
      <pageMargins left="0.75" right="0.75" top="0.69" bottom="0.7" header="0.4" footer="0.37"/>
      <pageSetup scale="86" orientation="portrait" r:id="rId2"/>
      <headerFooter alignWithMargins="0"/>
    </customSheetView>
    <customSheetView guid="{89CB4E6A-722E-4E39-885D-E2A6D0D08321}" scale="115" showGridLines="0" printArea="1" hiddenRows="1" hiddenColumns="1" view="pageBreakPreview">
      <selection activeCell="C6" sqref="C6:F6"/>
      <pageMargins left="0.75" right="0.75" top="0.69" bottom="0.7" header="0.4" footer="0.37"/>
      <pageSetup scale="86" orientation="portrait" r:id="rId3"/>
      <headerFooter alignWithMargins="0"/>
    </customSheetView>
    <customSheetView guid="{915C64AD-BD67-44F0-9117-5B9D998BA799}" showGridLines="0" printArea="1" hiddenRows="1" hiddenColumns="1" view="pageBreakPreview">
      <selection activeCell="D6" sqref="D6:G6"/>
      <pageMargins left="0.75" right="0.75" top="0.69" bottom="0.7" header="0.4" footer="0.37"/>
      <pageSetup scale="86" orientation="portrait" r:id="rId4"/>
      <headerFooter alignWithMargins="0"/>
    </customSheetView>
    <customSheetView guid="{18EA11B4-BD82-47BF-99FA-7AB19BF74D0B}" showGridLines="0" printArea="1" hiddenRows="1" hiddenColumns="1" view="pageBreakPreview" topLeftCell="A7">
      <selection activeCell="D7" sqref="D7:G7"/>
      <pageMargins left="0.75" right="0.75" top="0.69" bottom="0.7" header="0.4" footer="0.37"/>
      <pageSetup scale="86" orientation="portrait" r:id="rId5"/>
      <headerFooter alignWithMargins="0"/>
    </customSheetView>
    <customSheetView guid="{CCA37BAE-906F-43D5-9FD9-B13563E4B9D7}" showGridLines="0" printArea="1" hiddenRows="1" hiddenColumns="1" view="pageBreakPreview">
      <selection activeCell="F27" sqref="F27"/>
      <pageMargins left="0.75" right="0.75" top="0.69" bottom="0.7" header="0.4" footer="0.37"/>
      <pageSetup scale="86" orientation="portrait" r:id="rId6"/>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7"/>
      <headerFooter alignWithMargins="0"/>
    </customSheetView>
    <customSheetView guid="{63D51328-7CBC-4A1E-B96D-BAE91416501B}" showGridLines="0" printArea="1" hiddenRows="1" view="pageBreakPreview">
      <selection activeCell="D24" sqref="D24"/>
      <pageMargins left="0.75" right="0.75" top="0.69" bottom="0.7" header="0.4" footer="0.37"/>
      <pageSetup scale="86" orientation="portrait" r:id="rId8"/>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9"/>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10"/>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11"/>
      <headerFooter alignWithMargins="0"/>
    </customSheetView>
    <customSheetView guid="{A58DB4DF-40C7-4BEB-B85E-6BD6F54941CF}" showGridLines="0" printArea="1" hiddenRows="1" hiddenColumns="1" view="pageBreakPreview">
      <selection activeCell="D6" sqref="D6:G6"/>
      <pageMargins left="0.75" right="0.75" top="0.69" bottom="0.7" header="0.4" footer="0.37"/>
      <pageSetup scale="86" orientation="portrait" r:id="rId12"/>
      <headerFooter alignWithMargins="0"/>
    </customSheetView>
  </customSheetViews>
  <mergeCells count="17">
    <mergeCell ref="C9:F9"/>
    <mergeCell ref="C10:F10"/>
    <mergeCell ref="A1:F1"/>
    <mergeCell ref="A2:F2"/>
    <mergeCell ref="A4:F4"/>
    <mergeCell ref="C6:F6"/>
    <mergeCell ref="C7:F7"/>
    <mergeCell ref="A6:B6"/>
    <mergeCell ref="C23:F23"/>
    <mergeCell ref="C17:F17"/>
    <mergeCell ref="C20:F20"/>
    <mergeCell ref="C16:F16"/>
    <mergeCell ref="C11:F11"/>
    <mergeCell ref="C12:F12"/>
    <mergeCell ref="C14:F14"/>
    <mergeCell ref="C15:F15"/>
    <mergeCell ref="C19:F19"/>
  </mergeCells>
  <conditionalFormatting sqref="A14:B17">
    <cfRule type="expression" dxfId="14" priority="3" stopIfTrue="1">
      <formula>$Z$6&lt;2</formula>
    </cfRule>
  </conditionalFormatting>
  <conditionalFormatting sqref="A7:F7">
    <cfRule type="expression" dxfId="13" priority="5" stopIfTrue="1">
      <formula>$C$6="Sole Bidder"</formula>
    </cfRule>
  </conditionalFormatting>
  <conditionalFormatting sqref="C14:F17">
    <cfRule type="expression" dxfId="12" priority="1" stopIfTrue="1">
      <formula>$Z$6&lt;2</formula>
    </cfRule>
  </conditionalFormatting>
  <dataValidations count="5">
    <dataValidation type="list" allowBlank="1" showInputMessage="1" showErrorMessage="1" sqref="E22" xr:uid="{00000000-0002-0000-0300-000000000000}">
      <formula1>"2024"</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$AA$3</formula1>
    </dataValidation>
    <dataValidation type="list" allowBlank="1" showInputMessage="1" showErrorMessage="1" sqref="C6:F6" xr:uid="{00000000-0002-0000-0300-000004000000}">
      <formula1>$Z$2:$Z$3</formula1>
    </dataValidation>
  </dataValidations>
  <pageMargins left="0.75" right="0.75" top="0.69" bottom="0.7" header="0.4" footer="0.37"/>
  <pageSetup scale="86" orientation="portrait" r:id="rId13"/>
  <headerFooter alignWithMargins="0"/>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136"/>
  <sheetViews>
    <sheetView view="pageBreakPreview" topLeftCell="A43" zoomScale="70" zoomScaleNormal="92" zoomScaleSheetLayoutView="70" workbookViewId="0">
      <selection activeCell="M63" sqref="M63"/>
    </sheetView>
  </sheetViews>
  <sheetFormatPr defaultColWidth="9.109375" defaultRowHeight="15.6"/>
  <cols>
    <col min="1" max="1" width="7.33203125" style="764" customWidth="1"/>
    <col min="2" max="2" width="18.6640625" style="764" customWidth="1"/>
    <col min="3" max="3" width="8.5546875" style="764" customWidth="1"/>
    <col min="4" max="4" width="29.5546875" style="818" customWidth="1"/>
    <col min="5" max="5" width="19.109375" style="764" customWidth="1"/>
    <col min="6" max="6" width="13" style="764" customWidth="1"/>
    <col min="7" max="7" width="17.5546875" style="764" customWidth="1"/>
    <col min="8" max="8" width="12.44140625" style="764" customWidth="1"/>
    <col min="9" max="9" width="17.5546875" style="764" customWidth="1"/>
    <col min="10" max="10" width="119.5546875" style="818" customWidth="1"/>
    <col min="11" max="11" width="7.109375" style="764" customWidth="1"/>
    <col min="12" max="12" width="9" style="764" customWidth="1"/>
    <col min="13" max="13" width="16.6640625" style="764" customWidth="1"/>
    <col min="14" max="14" width="21.33203125" style="764" customWidth="1"/>
    <col min="15" max="15" width="14" style="764" hidden="1" customWidth="1"/>
    <col min="16" max="16" width="14.88671875" style="764" hidden="1" customWidth="1"/>
    <col min="17" max="17" width="13" style="764" hidden="1" customWidth="1"/>
    <col min="18" max="18" width="20.109375" style="764" hidden="1" customWidth="1"/>
    <col min="19" max="19" width="16.109375" style="764" hidden="1" customWidth="1"/>
    <col min="20" max="20" width="15" style="764" hidden="1" customWidth="1"/>
    <col min="21" max="23" width="9.109375" style="764" customWidth="1"/>
    <col min="24" max="37" width="9.109375" style="764" hidden="1" customWidth="1"/>
    <col min="38" max="38" width="0.33203125" style="764" customWidth="1"/>
    <col min="39" max="44" width="9.109375" style="764" customWidth="1"/>
    <col min="45" max="16384" width="9.109375" style="764"/>
  </cols>
  <sheetData>
    <row r="1" spans="1:256" ht="22.5" customHeight="1">
      <c r="A1" s="760" t="str">
        <f>Basic!B5</f>
        <v>CC/NT/W-COND/DOM/A04/24/05656</v>
      </c>
      <c r="B1" s="761"/>
      <c r="C1" s="761"/>
      <c r="D1" s="762"/>
      <c r="E1" s="761"/>
      <c r="F1" s="761"/>
      <c r="G1" s="761"/>
      <c r="H1" s="761"/>
      <c r="I1" s="761"/>
      <c r="J1" s="763"/>
      <c r="K1" s="761"/>
      <c r="L1" s="761"/>
      <c r="M1" s="761"/>
      <c r="N1" s="761" t="s">
        <v>463</v>
      </c>
    </row>
    <row r="2" spans="1:256">
      <c r="A2" s="765"/>
      <c r="B2" s="765"/>
      <c r="C2" s="765"/>
      <c r="D2" s="763"/>
      <c r="E2" s="765"/>
      <c r="F2" s="765"/>
      <c r="G2" s="765"/>
      <c r="H2" s="765"/>
      <c r="I2" s="765"/>
      <c r="J2" s="763"/>
      <c r="K2" s="765"/>
      <c r="L2" s="765"/>
      <c r="M2" s="765"/>
      <c r="N2" s="765"/>
    </row>
    <row r="3" spans="1:256" ht="49.2" customHeight="1">
      <c r="A3" s="766" t="str">
        <f>Cover!$B$2</f>
        <v>Reconductoring Package - OH01 for (i) Reconductoring of 220kV Hisar (PG)-Hisar (IA) D/c line associated with ‘Reconductoring of 220kV Hisar (PG) – Hisar (IA) S/c line’; and (ii) Reconductoring of 400 kV S/c (TWIN ACSR MOOSE) Raichur – Veltoor (Mahabubnagar) line with TWIN HTLS conductor associated with ‘Reconductoring of Raichur – Veltoor (Mahabubnagar) 400kV S/c line with HTLS conductor’.</v>
      </c>
      <c r="B3" s="766"/>
      <c r="C3" s="766"/>
      <c r="D3" s="766"/>
      <c r="E3" s="766"/>
      <c r="F3" s="766"/>
      <c r="G3" s="766"/>
      <c r="H3" s="766"/>
      <c r="I3" s="766"/>
      <c r="J3" s="766"/>
      <c r="K3" s="766"/>
      <c r="L3" s="766"/>
      <c r="M3" s="766"/>
      <c r="N3" s="766"/>
    </row>
    <row r="4" spans="1:256">
      <c r="A4" s="767" t="s">
        <v>0</v>
      </c>
      <c r="B4" s="767"/>
      <c r="C4" s="767"/>
      <c r="D4" s="767"/>
      <c r="E4" s="767"/>
      <c r="F4" s="767"/>
      <c r="G4" s="767"/>
      <c r="H4" s="767"/>
      <c r="I4" s="767"/>
      <c r="J4" s="767"/>
      <c r="K4" s="767"/>
      <c r="L4" s="767"/>
      <c r="M4" s="767"/>
      <c r="N4" s="767"/>
    </row>
    <row r="5" spans="1:256" ht="27" customHeight="1">
      <c r="A5" s="768"/>
      <c r="B5" s="768"/>
      <c r="C5" s="768"/>
      <c r="D5" s="768"/>
      <c r="E5" s="768"/>
      <c r="F5" s="768"/>
      <c r="G5" s="768"/>
      <c r="H5" s="768"/>
      <c r="I5" s="768"/>
      <c r="J5" s="768"/>
      <c r="K5" s="768"/>
      <c r="L5" s="768"/>
      <c r="M5" s="768"/>
      <c r="N5" s="768"/>
    </row>
    <row r="6" spans="1:256" ht="23.25" customHeight="1">
      <c r="A6" s="769" t="s">
        <v>338</v>
      </c>
      <c r="B6" s="769"/>
      <c r="C6" s="765"/>
      <c r="D6" s="763"/>
      <c r="E6" s="765"/>
      <c r="F6" s="765"/>
      <c r="G6" s="765"/>
      <c r="H6" s="765"/>
      <c r="I6" s="765"/>
      <c r="J6" s="763"/>
      <c r="K6" s="765"/>
      <c r="L6" s="765"/>
      <c r="M6" s="765"/>
      <c r="N6" s="765"/>
    </row>
    <row r="7" spans="1:256" ht="24" customHeight="1">
      <c r="A7" s="770">
        <f>IF(Z7=1,Z8,"JOINT VENTURE OF "&amp;Z8&amp;" &amp; "&amp;Z9)</f>
        <v>0</v>
      </c>
      <c r="B7" s="770"/>
      <c r="C7" s="770"/>
      <c r="D7" s="770"/>
      <c r="E7" s="770"/>
      <c r="F7" s="770"/>
      <c r="G7" s="770"/>
      <c r="H7" s="770"/>
      <c r="I7" s="770"/>
      <c r="J7" s="771"/>
      <c r="K7" s="772" t="s">
        <v>1</v>
      </c>
      <c r="L7" s="773"/>
      <c r="N7" s="765"/>
      <c r="Z7" s="764">
        <f>'Names of Bidder'!J6</f>
        <v>1</v>
      </c>
    </row>
    <row r="8" spans="1:256" ht="24" customHeight="1">
      <c r="A8" s="774" t="str">
        <f>"Bidder’s Name and Address  (" &amp; MID('Names of Bidder'!A9,9, 20) &amp; ") :"</f>
        <v>Bidder’s Name and Address  (Sole Bidder) :</v>
      </c>
      <c r="B8" s="774"/>
      <c r="C8" s="774"/>
      <c r="D8" s="774"/>
      <c r="E8" s="774"/>
      <c r="F8" s="774"/>
      <c r="G8" s="774"/>
      <c r="H8" s="775"/>
      <c r="I8" s="775"/>
      <c r="J8" s="775"/>
      <c r="K8" s="776" t="s">
        <v>2</v>
      </c>
      <c r="L8" s="775"/>
      <c r="N8" s="765"/>
      <c r="U8" s="777"/>
      <c r="Z8" s="778">
        <f>'Names of Bidder'!C9</f>
        <v>0</v>
      </c>
      <c r="AA8" s="778"/>
      <c r="AB8" s="778"/>
      <c r="AC8" s="778"/>
      <c r="AD8" s="778"/>
      <c r="AE8" s="778"/>
      <c r="AF8" s="778"/>
      <c r="AG8" s="778"/>
      <c r="AH8" s="778"/>
      <c r="AI8" s="778"/>
      <c r="AJ8" s="778"/>
      <c r="AK8" s="778"/>
      <c r="AL8" s="778"/>
    </row>
    <row r="9" spans="1:256" ht="24" customHeight="1">
      <c r="A9" s="779" t="s">
        <v>12</v>
      </c>
      <c r="B9" s="773"/>
      <c r="C9" s="770" t="str">
        <f>IF('Names of Bidder'!C9=0, "", 'Names of Bidder'!C9)</f>
        <v/>
      </c>
      <c r="D9" s="770"/>
      <c r="E9" s="770"/>
      <c r="F9" s="770"/>
      <c r="G9" s="770"/>
      <c r="H9" s="780"/>
      <c r="I9" s="780"/>
      <c r="J9" s="771"/>
      <c r="K9" s="776" t="s">
        <v>3</v>
      </c>
      <c r="N9" s="765"/>
      <c r="U9" s="777"/>
      <c r="Z9" s="778" t="e">
        <f>'Names of Bidder'!#REF!</f>
        <v>#REF!</v>
      </c>
      <c r="AA9" s="778"/>
      <c r="AB9" s="778"/>
      <c r="AC9" s="778"/>
      <c r="AD9" s="778"/>
      <c r="AE9" s="778"/>
      <c r="AF9" s="778"/>
      <c r="AG9" s="778"/>
      <c r="AH9" s="778"/>
      <c r="AI9" s="778"/>
      <c r="AJ9" s="778"/>
      <c r="AK9" s="778"/>
      <c r="AL9" s="778"/>
    </row>
    <row r="10" spans="1:256" ht="24" customHeight="1">
      <c r="A10" s="779" t="s">
        <v>11</v>
      </c>
      <c r="B10" s="773"/>
      <c r="C10" s="781" t="str">
        <f>IF('Names of Bidder'!C10=0, "", 'Names of Bidder'!C10)</f>
        <v/>
      </c>
      <c r="D10" s="781"/>
      <c r="E10" s="781"/>
      <c r="F10" s="781"/>
      <c r="G10" s="781"/>
      <c r="H10" s="780"/>
      <c r="I10" s="780"/>
      <c r="J10" s="771"/>
      <c r="K10" s="776" t="s">
        <v>4</v>
      </c>
      <c r="N10" s="765"/>
      <c r="Z10" s="778" t="e">
        <f>"JOINT VENTURE OF "&amp;Z8&amp;" &amp; "&amp;Z9</f>
        <v>#REF!</v>
      </c>
      <c r="AA10" s="778"/>
      <c r="AB10" s="778"/>
      <c r="AC10" s="778"/>
      <c r="AD10" s="778"/>
      <c r="AE10" s="778"/>
      <c r="AF10" s="778"/>
      <c r="AG10" s="778"/>
      <c r="AH10" s="778"/>
      <c r="AI10" s="778"/>
      <c r="AJ10" s="778"/>
      <c r="AK10" s="778"/>
      <c r="AL10" s="778"/>
    </row>
    <row r="11" spans="1:256" ht="24" customHeight="1">
      <c r="A11" s="780"/>
      <c r="B11" s="780"/>
      <c r="C11" s="781" t="str">
        <f>IF('Names of Bidder'!C11=0, "", 'Names of Bidder'!C11)</f>
        <v/>
      </c>
      <c r="D11" s="781"/>
      <c r="E11" s="781"/>
      <c r="F11" s="781"/>
      <c r="G11" s="781"/>
      <c r="H11" s="780"/>
      <c r="I11" s="780"/>
      <c r="J11" s="771"/>
      <c r="K11" s="776" t="s">
        <v>5</v>
      </c>
      <c r="N11" s="765"/>
    </row>
    <row r="12" spans="1:256" ht="24" customHeight="1">
      <c r="A12" s="780"/>
      <c r="B12" s="780"/>
      <c r="C12" s="781" t="str">
        <f>IF('Names of Bidder'!C12=0, "", 'Names of Bidder'!C12)</f>
        <v/>
      </c>
      <c r="D12" s="781"/>
      <c r="E12" s="781"/>
      <c r="F12" s="781"/>
      <c r="G12" s="781"/>
      <c r="H12" s="780"/>
      <c r="I12" s="780"/>
      <c r="J12" s="771"/>
      <c r="K12" s="776" t="s">
        <v>6</v>
      </c>
      <c r="N12" s="765"/>
    </row>
    <row r="13" spans="1:256" s="783" customFormat="1" ht="26.25" customHeight="1">
      <c r="A13" s="782" t="s">
        <v>298</v>
      </c>
      <c r="B13" s="782"/>
      <c r="C13" s="782"/>
      <c r="D13" s="782"/>
      <c r="E13" s="782"/>
      <c r="F13" s="782"/>
      <c r="G13" s="782"/>
      <c r="H13" s="782"/>
      <c r="I13" s="782"/>
      <c r="J13" s="782"/>
      <c r="K13" s="782"/>
      <c r="L13" s="782"/>
      <c r="M13" s="782"/>
      <c r="N13" s="782"/>
    </row>
    <row r="14" spans="1:256" ht="15.75" customHeight="1">
      <c r="A14" s="765"/>
      <c r="B14" s="765"/>
      <c r="C14" s="765"/>
      <c r="D14" s="763"/>
      <c r="E14" s="765"/>
      <c r="F14" s="765"/>
      <c r="G14" s="765"/>
      <c r="H14" s="765"/>
      <c r="I14" s="765"/>
      <c r="J14" s="763"/>
      <c r="K14" s="784" t="s">
        <v>343</v>
      </c>
      <c r="L14" s="784"/>
      <c r="M14" s="784"/>
      <c r="N14" s="784"/>
    </row>
    <row r="15" spans="1:256" ht="122.25" customHeight="1">
      <c r="A15" s="785" t="s">
        <v>7</v>
      </c>
      <c r="B15" s="785" t="s">
        <v>259</v>
      </c>
      <c r="C15" s="785" t="s">
        <v>271</v>
      </c>
      <c r="D15" s="785" t="s">
        <v>273</v>
      </c>
      <c r="E15" s="785" t="s">
        <v>13</v>
      </c>
      <c r="F15" s="785" t="s">
        <v>299</v>
      </c>
      <c r="G15" s="785" t="s">
        <v>302</v>
      </c>
      <c r="H15" s="785" t="s">
        <v>305</v>
      </c>
      <c r="I15" s="785" t="s">
        <v>303</v>
      </c>
      <c r="J15" s="785" t="s">
        <v>8</v>
      </c>
      <c r="K15" s="786" t="s">
        <v>9</v>
      </c>
      <c r="L15" s="786" t="s">
        <v>10</v>
      </c>
      <c r="M15" s="785" t="s">
        <v>342</v>
      </c>
      <c r="N15" s="785" t="s">
        <v>341</v>
      </c>
    </row>
    <row r="16" spans="1:256" s="789" customFormat="1">
      <c r="A16" s="787">
        <v>1</v>
      </c>
      <c r="B16" s="787">
        <v>2</v>
      </c>
      <c r="C16" s="787">
        <v>3</v>
      </c>
      <c r="D16" s="788">
        <v>4</v>
      </c>
      <c r="E16" s="787">
        <v>5</v>
      </c>
      <c r="F16" s="787">
        <v>6</v>
      </c>
      <c r="G16" s="787">
        <v>7</v>
      </c>
      <c r="H16" s="787">
        <v>8</v>
      </c>
      <c r="I16" s="787">
        <v>9</v>
      </c>
      <c r="J16" s="788">
        <v>10</v>
      </c>
      <c r="K16" s="787">
        <v>11</v>
      </c>
      <c r="L16" s="787">
        <v>12</v>
      </c>
      <c r="M16" s="787">
        <v>13</v>
      </c>
      <c r="N16" s="787" t="s">
        <v>340</v>
      </c>
      <c r="IV16" s="789">
        <f>SUM(A16:IU16)</f>
        <v>91</v>
      </c>
    </row>
    <row r="17" spans="1:20" s="789" customFormat="1" ht="33.75" customHeight="1">
      <c r="A17" s="790" t="s">
        <v>53</v>
      </c>
      <c r="B17" s="791" t="s">
        <v>507</v>
      </c>
      <c r="C17" s="791"/>
      <c r="D17" s="791"/>
      <c r="E17" s="792"/>
      <c r="F17" s="792"/>
      <c r="G17" s="792"/>
      <c r="H17" s="792"/>
      <c r="I17" s="792"/>
      <c r="J17" s="792"/>
      <c r="K17" s="792"/>
      <c r="L17" s="792"/>
      <c r="M17" s="792"/>
      <c r="N17" s="792"/>
    </row>
    <row r="18" spans="1:20">
      <c r="A18" s="793">
        <v>1</v>
      </c>
      <c r="B18" s="794">
        <v>7000027495</v>
      </c>
      <c r="C18" s="794">
        <v>10</v>
      </c>
      <c r="D18" s="794" t="s">
        <v>508</v>
      </c>
      <c r="E18" s="794">
        <v>1000064223</v>
      </c>
      <c r="F18" s="794">
        <v>76169990</v>
      </c>
      <c r="G18" s="795"/>
      <c r="H18" s="794">
        <v>18</v>
      </c>
      <c r="I18" s="796"/>
      <c r="J18" s="797" t="s">
        <v>523</v>
      </c>
      <c r="K18" s="794" t="s">
        <v>477</v>
      </c>
      <c r="L18" s="794">
        <v>447</v>
      </c>
      <c r="M18" s="798"/>
      <c r="N18" s="799" t="str">
        <f>IF(M18=0, "INCLUDED", IF(ISERROR(M18*L18), M18, M18*L18))</f>
        <v>INCLUDED</v>
      </c>
      <c r="O18" s="800">
        <f>IF(N18="Included",0,N18)</f>
        <v>0</v>
      </c>
      <c r="P18" s="800">
        <f>IF( I18="",H18*(IF(N18="Included",0,N18))/100,I18*(IF(N18="Included",0,N18)))</f>
        <v>0</v>
      </c>
      <c r="Q18" s="801">
        <f>Discount!$H$36</f>
        <v>0</v>
      </c>
      <c r="R18" s="801">
        <f>Q18*O18</f>
        <v>0</v>
      </c>
      <c r="S18" s="801">
        <f>IF(I18="",H18*R18/100,I18*R18)</f>
        <v>0</v>
      </c>
      <c r="T18" s="802">
        <f>M18*L18</f>
        <v>0</v>
      </c>
    </row>
    <row r="19" spans="1:20" ht="46.8">
      <c r="A19" s="793">
        <v>2</v>
      </c>
      <c r="B19" s="794">
        <v>7000027495</v>
      </c>
      <c r="C19" s="794">
        <v>20</v>
      </c>
      <c r="D19" s="794" t="s">
        <v>509</v>
      </c>
      <c r="E19" s="794">
        <v>1000064233</v>
      </c>
      <c r="F19" s="794">
        <v>76169990</v>
      </c>
      <c r="G19" s="795"/>
      <c r="H19" s="794">
        <v>18</v>
      </c>
      <c r="I19" s="796"/>
      <c r="J19" s="797" t="s">
        <v>524</v>
      </c>
      <c r="K19" s="794" t="s">
        <v>476</v>
      </c>
      <c r="L19" s="794">
        <v>894</v>
      </c>
      <c r="M19" s="798"/>
      <c r="N19" s="799" t="str">
        <f t="shared" ref="N19:N86" si="0">IF(M19=0, "INCLUDED", IF(ISERROR(M19*L19), M19, M19*L19))</f>
        <v>INCLUDED</v>
      </c>
      <c r="O19" s="800">
        <f>IF(N19="Included",0,N19)</f>
        <v>0</v>
      </c>
      <c r="P19" s="800">
        <f>IF( I19="",H19*(IF(N19="Included",0,N19))/100,I19*(IF(N19="Included",0,N19)))</f>
        <v>0</v>
      </c>
      <c r="Q19" s="800">
        <f>Discount!$H$36</f>
        <v>0</v>
      </c>
      <c r="R19" s="801">
        <f>Q19*O19</f>
        <v>0</v>
      </c>
      <c r="S19" s="801">
        <f>IF(I19="",H19*R19/100,I19*R19)</f>
        <v>0</v>
      </c>
      <c r="T19" s="802">
        <f t="shared" ref="T19:T87" si="1">M19*L19</f>
        <v>0</v>
      </c>
    </row>
    <row r="20" spans="1:20">
      <c r="A20" s="793">
        <v>3</v>
      </c>
      <c r="B20" s="794">
        <v>7000027495</v>
      </c>
      <c r="C20" s="794">
        <v>30</v>
      </c>
      <c r="D20" s="794" t="s">
        <v>509</v>
      </c>
      <c r="E20" s="794">
        <v>1000064235</v>
      </c>
      <c r="F20" s="794">
        <v>76169990</v>
      </c>
      <c r="G20" s="795"/>
      <c r="H20" s="794">
        <v>18</v>
      </c>
      <c r="I20" s="796"/>
      <c r="J20" s="797" t="s">
        <v>525</v>
      </c>
      <c r="K20" s="794" t="s">
        <v>476</v>
      </c>
      <c r="L20" s="794">
        <v>136</v>
      </c>
      <c r="M20" s="798"/>
      <c r="N20" s="799" t="str">
        <f t="shared" si="0"/>
        <v>INCLUDED</v>
      </c>
      <c r="O20" s="800">
        <f>IF(N20="Included",0,N20)</f>
        <v>0</v>
      </c>
      <c r="P20" s="800">
        <f>IF( I20="",H20*(IF(N20="Included",0,N20))/100,I20*(IF(N20="Included",0,N20)))</f>
        <v>0</v>
      </c>
      <c r="Q20" s="800">
        <f>Discount!$H$36</f>
        <v>0</v>
      </c>
      <c r="R20" s="801">
        <f>Q20*O20</f>
        <v>0</v>
      </c>
      <c r="S20" s="801">
        <f>IF(I20="",H20*R20/100,I20*R20)</f>
        <v>0</v>
      </c>
      <c r="T20" s="802">
        <f t="shared" si="1"/>
        <v>0</v>
      </c>
    </row>
    <row r="21" spans="1:20">
      <c r="A21" s="793">
        <v>4</v>
      </c>
      <c r="B21" s="794">
        <v>7000027495</v>
      </c>
      <c r="C21" s="794">
        <v>40</v>
      </c>
      <c r="D21" s="794" t="s">
        <v>509</v>
      </c>
      <c r="E21" s="794">
        <v>1000064221</v>
      </c>
      <c r="F21" s="794">
        <v>76169990</v>
      </c>
      <c r="G21" s="795"/>
      <c r="H21" s="794">
        <v>18</v>
      </c>
      <c r="I21" s="796"/>
      <c r="J21" s="797" t="s">
        <v>526</v>
      </c>
      <c r="K21" s="794" t="s">
        <v>476</v>
      </c>
      <c r="L21" s="794">
        <v>540</v>
      </c>
      <c r="M21" s="798"/>
      <c r="N21" s="799" t="str">
        <f t="shared" si="0"/>
        <v>INCLUDED</v>
      </c>
      <c r="O21" s="800">
        <f>IF(N21="Included",0,N21)</f>
        <v>0</v>
      </c>
      <c r="P21" s="800">
        <f>IF( I21="",H21*(IF(N21="Included",0,N21))/100,I21*(IF(N21="Included",0,N21)))</f>
        <v>0</v>
      </c>
      <c r="Q21" s="800">
        <f>Discount!$H$36</f>
        <v>0</v>
      </c>
      <c r="R21" s="801">
        <f>Q21*O21</f>
        <v>0</v>
      </c>
      <c r="S21" s="801">
        <f>IF(I21="",H21*R21/100,I21*R21)</f>
        <v>0</v>
      </c>
      <c r="T21" s="802">
        <f t="shared" si="1"/>
        <v>0</v>
      </c>
    </row>
    <row r="22" spans="1:20">
      <c r="A22" s="793">
        <v>5</v>
      </c>
      <c r="B22" s="794">
        <v>7000027495</v>
      </c>
      <c r="C22" s="794">
        <v>50</v>
      </c>
      <c r="D22" s="794" t="s">
        <v>509</v>
      </c>
      <c r="E22" s="794">
        <v>1000019805</v>
      </c>
      <c r="F22" s="794">
        <v>73082011</v>
      </c>
      <c r="G22" s="795"/>
      <c r="H22" s="794">
        <v>18</v>
      </c>
      <c r="I22" s="796"/>
      <c r="J22" s="797" t="s">
        <v>527</v>
      </c>
      <c r="K22" s="794" t="s">
        <v>479</v>
      </c>
      <c r="L22" s="794">
        <v>447</v>
      </c>
      <c r="M22" s="798"/>
      <c r="N22" s="799" t="str">
        <f t="shared" si="0"/>
        <v>INCLUDED</v>
      </c>
      <c r="O22" s="800">
        <f t="shared" ref="O22:O86" si="2">IF(N22="Included",0,N22)</f>
        <v>0</v>
      </c>
      <c r="P22" s="800">
        <f t="shared" ref="P22:P86" si="3">IF( I22="",H22*(IF(N22="Included",0,N22))/100,I22*(IF(N22="Included",0,N22)))</f>
        <v>0</v>
      </c>
      <c r="Q22" s="800">
        <f>Discount!$H$36</f>
        <v>0</v>
      </c>
      <c r="R22" s="801">
        <f t="shared" ref="R22:R86" si="4">Q22*O22</f>
        <v>0</v>
      </c>
      <c r="S22" s="801">
        <f t="shared" ref="S22:S86" si="5">IF(I22="",H22*R22/100,I22*R22)</f>
        <v>0</v>
      </c>
      <c r="T22" s="802">
        <f t="shared" si="1"/>
        <v>0</v>
      </c>
    </row>
    <row r="23" spans="1:20">
      <c r="A23" s="793">
        <v>6</v>
      </c>
      <c r="B23" s="794">
        <v>7000027495</v>
      </c>
      <c r="C23" s="794">
        <v>60</v>
      </c>
      <c r="D23" s="794" t="s">
        <v>509</v>
      </c>
      <c r="E23" s="794">
        <v>1000019783</v>
      </c>
      <c r="F23" s="794">
        <v>73082011</v>
      </c>
      <c r="G23" s="795"/>
      <c r="H23" s="794">
        <v>18</v>
      </c>
      <c r="I23" s="796"/>
      <c r="J23" s="797" t="s">
        <v>528</v>
      </c>
      <c r="K23" s="794" t="s">
        <v>479</v>
      </c>
      <c r="L23" s="794">
        <v>68</v>
      </c>
      <c r="M23" s="798"/>
      <c r="N23" s="799" t="str">
        <f t="shared" si="0"/>
        <v>INCLUDED</v>
      </c>
      <c r="O23" s="800">
        <f t="shared" si="2"/>
        <v>0</v>
      </c>
      <c r="P23" s="800">
        <f t="shared" si="3"/>
        <v>0</v>
      </c>
      <c r="Q23" s="800">
        <f>Discount!$H$36</f>
        <v>0</v>
      </c>
      <c r="R23" s="801">
        <f t="shared" si="4"/>
        <v>0</v>
      </c>
      <c r="S23" s="801">
        <f t="shared" si="5"/>
        <v>0</v>
      </c>
      <c r="T23" s="802">
        <f t="shared" si="1"/>
        <v>0</v>
      </c>
    </row>
    <row r="24" spans="1:20">
      <c r="A24" s="793">
        <v>7</v>
      </c>
      <c r="B24" s="794">
        <v>7000027495</v>
      </c>
      <c r="C24" s="794">
        <v>70</v>
      </c>
      <c r="D24" s="794" t="s">
        <v>509</v>
      </c>
      <c r="E24" s="794">
        <v>1000010803</v>
      </c>
      <c r="F24" s="794">
        <v>73082011</v>
      </c>
      <c r="G24" s="795"/>
      <c r="H24" s="794">
        <v>18</v>
      </c>
      <c r="I24" s="796"/>
      <c r="J24" s="797" t="s">
        <v>529</v>
      </c>
      <c r="K24" s="794" t="s">
        <v>479</v>
      </c>
      <c r="L24" s="794">
        <v>270</v>
      </c>
      <c r="M24" s="798"/>
      <c r="N24" s="799" t="str">
        <f t="shared" si="0"/>
        <v>INCLUDED</v>
      </c>
      <c r="O24" s="800">
        <f t="shared" si="2"/>
        <v>0</v>
      </c>
      <c r="P24" s="800">
        <f t="shared" si="3"/>
        <v>0</v>
      </c>
      <c r="Q24" s="800">
        <f>Discount!$H$36</f>
        <v>0</v>
      </c>
      <c r="R24" s="801">
        <f t="shared" si="4"/>
        <v>0</v>
      </c>
      <c r="S24" s="801">
        <f t="shared" si="5"/>
        <v>0</v>
      </c>
      <c r="T24" s="802">
        <f t="shared" si="1"/>
        <v>0</v>
      </c>
    </row>
    <row r="25" spans="1:20">
      <c r="A25" s="793">
        <v>8</v>
      </c>
      <c r="B25" s="794">
        <v>7000027495</v>
      </c>
      <c r="C25" s="794">
        <v>80</v>
      </c>
      <c r="D25" s="794" t="s">
        <v>510</v>
      </c>
      <c r="E25" s="794">
        <v>1000064225</v>
      </c>
      <c r="F25" s="794">
        <v>76169990</v>
      </c>
      <c r="G25" s="795"/>
      <c r="H25" s="794">
        <v>18</v>
      </c>
      <c r="I25" s="796"/>
      <c r="J25" s="797" t="s">
        <v>530</v>
      </c>
      <c r="K25" s="794" t="s">
        <v>476</v>
      </c>
      <c r="L25" s="794">
        <v>197</v>
      </c>
      <c r="M25" s="798"/>
      <c r="N25" s="799" t="str">
        <f t="shared" si="0"/>
        <v>INCLUDED</v>
      </c>
      <c r="O25" s="800">
        <f t="shared" si="2"/>
        <v>0</v>
      </c>
      <c r="P25" s="800">
        <f t="shared" si="3"/>
        <v>0</v>
      </c>
      <c r="Q25" s="800">
        <f>Discount!$H$36</f>
        <v>0</v>
      </c>
      <c r="R25" s="801">
        <f t="shared" si="4"/>
        <v>0</v>
      </c>
      <c r="S25" s="801">
        <f t="shared" si="5"/>
        <v>0</v>
      </c>
      <c r="T25" s="802">
        <f t="shared" si="1"/>
        <v>0</v>
      </c>
    </row>
    <row r="26" spans="1:20">
      <c r="A26" s="793">
        <v>9</v>
      </c>
      <c r="B26" s="794">
        <v>7000027495</v>
      </c>
      <c r="C26" s="794">
        <v>90</v>
      </c>
      <c r="D26" s="794" t="s">
        <v>510</v>
      </c>
      <c r="E26" s="794">
        <v>1000064227</v>
      </c>
      <c r="F26" s="794">
        <v>76169990</v>
      </c>
      <c r="G26" s="795"/>
      <c r="H26" s="794">
        <v>18</v>
      </c>
      <c r="I26" s="796"/>
      <c r="J26" s="797" t="s">
        <v>531</v>
      </c>
      <c r="K26" s="794" t="s">
        <v>476</v>
      </c>
      <c r="L26" s="794">
        <v>59</v>
      </c>
      <c r="M26" s="798"/>
      <c r="N26" s="799" t="str">
        <f t="shared" si="0"/>
        <v>INCLUDED</v>
      </c>
      <c r="O26" s="800">
        <f t="shared" si="2"/>
        <v>0</v>
      </c>
      <c r="P26" s="800">
        <f t="shared" si="3"/>
        <v>0</v>
      </c>
      <c r="Q26" s="800">
        <f>Discount!$H$36</f>
        <v>0</v>
      </c>
      <c r="R26" s="801">
        <f t="shared" si="4"/>
        <v>0</v>
      </c>
      <c r="S26" s="801">
        <f t="shared" si="5"/>
        <v>0</v>
      </c>
      <c r="T26" s="802">
        <f t="shared" si="1"/>
        <v>0</v>
      </c>
    </row>
    <row r="27" spans="1:20">
      <c r="A27" s="793">
        <v>10</v>
      </c>
      <c r="B27" s="794">
        <v>7000027495</v>
      </c>
      <c r="C27" s="794">
        <v>100</v>
      </c>
      <c r="D27" s="794" t="s">
        <v>510</v>
      </c>
      <c r="E27" s="794">
        <v>1000064231</v>
      </c>
      <c r="F27" s="794">
        <v>76169990</v>
      </c>
      <c r="G27" s="795"/>
      <c r="H27" s="794">
        <v>18</v>
      </c>
      <c r="I27" s="796"/>
      <c r="J27" s="797" t="s">
        <v>532</v>
      </c>
      <c r="K27" s="794" t="s">
        <v>476</v>
      </c>
      <c r="L27" s="794">
        <v>4074</v>
      </c>
      <c r="M27" s="798"/>
      <c r="N27" s="799" t="str">
        <f t="shared" si="0"/>
        <v>INCLUDED</v>
      </c>
      <c r="O27" s="800">
        <f t="shared" si="2"/>
        <v>0</v>
      </c>
      <c r="P27" s="800">
        <f t="shared" si="3"/>
        <v>0</v>
      </c>
      <c r="Q27" s="800">
        <f>Discount!$H$36</f>
        <v>0</v>
      </c>
      <c r="R27" s="801">
        <f t="shared" si="4"/>
        <v>0</v>
      </c>
      <c r="S27" s="801">
        <f t="shared" si="5"/>
        <v>0</v>
      </c>
      <c r="T27" s="802">
        <f t="shared" si="1"/>
        <v>0</v>
      </c>
    </row>
    <row r="28" spans="1:20">
      <c r="A28" s="793">
        <v>11</v>
      </c>
      <c r="B28" s="794">
        <v>7000027495</v>
      </c>
      <c r="C28" s="794">
        <v>110</v>
      </c>
      <c r="D28" s="794" t="s">
        <v>510</v>
      </c>
      <c r="E28" s="794">
        <v>1000064229</v>
      </c>
      <c r="F28" s="794">
        <v>76169990</v>
      </c>
      <c r="G28" s="795"/>
      <c r="H28" s="794">
        <v>18</v>
      </c>
      <c r="I28" s="796"/>
      <c r="J28" s="797" t="s">
        <v>533</v>
      </c>
      <c r="K28" s="794" t="s">
        <v>476</v>
      </c>
      <c r="L28" s="794">
        <v>405</v>
      </c>
      <c r="M28" s="798"/>
      <c r="N28" s="799" t="str">
        <f t="shared" si="0"/>
        <v>INCLUDED</v>
      </c>
      <c r="O28" s="800">
        <f t="shared" si="2"/>
        <v>0</v>
      </c>
      <c r="P28" s="800">
        <f t="shared" si="3"/>
        <v>0</v>
      </c>
      <c r="Q28" s="800">
        <f>Discount!$H$36</f>
        <v>0</v>
      </c>
      <c r="R28" s="801">
        <f t="shared" si="4"/>
        <v>0</v>
      </c>
      <c r="S28" s="801">
        <f t="shared" si="5"/>
        <v>0</v>
      </c>
      <c r="T28" s="802">
        <f t="shared" si="1"/>
        <v>0</v>
      </c>
    </row>
    <row r="29" spans="1:20">
      <c r="A29" s="793">
        <v>12</v>
      </c>
      <c r="B29" s="794">
        <v>7000027495</v>
      </c>
      <c r="C29" s="794">
        <v>120</v>
      </c>
      <c r="D29" s="794" t="s">
        <v>510</v>
      </c>
      <c r="E29" s="794">
        <v>1000064237</v>
      </c>
      <c r="F29" s="794">
        <v>76169990</v>
      </c>
      <c r="G29" s="795"/>
      <c r="H29" s="794">
        <v>18</v>
      </c>
      <c r="I29" s="796"/>
      <c r="J29" s="797" t="s">
        <v>534</v>
      </c>
      <c r="K29" s="794" t="s">
        <v>476</v>
      </c>
      <c r="L29" s="794">
        <v>24</v>
      </c>
      <c r="M29" s="798"/>
      <c r="N29" s="799" t="str">
        <f t="shared" si="0"/>
        <v>INCLUDED</v>
      </c>
      <c r="O29" s="800">
        <f t="shared" si="2"/>
        <v>0</v>
      </c>
      <c r="P29" s="800">
        <f t="shared" si="3"/>
        <v>0</v>
      </c>
      <c r="Q29" s="800">
        <f>Discount!$H$36</f>
        <v>0</v>
      </c>
      <c r="R29" s="801">
        <f t="shared" si="4"/>
        <v>0</v>
      </c>
      <c r="S29" s="801">
        <f t="shared" si="5"/>
        <v>0</v>
      </c>
      <c r="T29" s="802">
        <f t="shared" si="1"/>
        <v>0</v>
      </c>
    </row>
    <row r="30" spans="1:20">
      <c r="A30" s="793">
        <v>13</v>
      </c>
      <c r="B30" s="794">
        <v>7000027495</v>
      </c>
      <c r="C30" s="794">
        <v>160</v>
      </c>
      <c r="D30" s="794" t="s">
        <v>511</v>
      </c>
      <c r="E30" s="794">
        <v>1000064223</v>
      </c>
      <c r="F30" s="794">
        <v>76169990</v>
      </c>
      <c r="G30" s="795"/>
      <c r="H30" s="794">
        <v>18</v>
      </c>
      <c r="I30" s="796"/>
      <c r="J30" s="797" t="s">
        <v>523</v>
      </c>
      <c r="K30" s="794" t="s">
        <v>477</v>
      </c>
      <c r="L30" s="794">
        <v>40</v>
      </c>
      <c r="M30" s="798"/>
      <c r="N30" s="799" t="str">
        <f>IF(M30=0, "INCLUDED", IF(ISERROR(M30*L30), M30, M30*L30))</f>
        <v>INCLUDED</v>
      </c>
      <c r="O30" s="800">
        <f>IF(N30="Included",0,N30)</f>
        <v>0</v>
      </c>
      <c r="P30" s="800">
        <f>IF( I30="",H30*(IF(N30="Included",0,N30))/100,I30*(IF(N30="Included",0,N30)))</f>
        <v>0</v>
      </c>
      <c r="Q30" s="801">
        <f>Discount!$H$36</f>
        <v>0</v>
      </c>
      <c r="R30" s="801">
        <f>Q30*O30</f>
        <v>0</v>
      </c>
      <c r="S30" s="801">
        <f>IF(I30="",H30*R30/100,I30*R30)</f>
        <v>0</v>
      </c>
      <c r="T30" s="802">
        <f>M30*L30</f>
        <v>0</v>
      </c>
    </row>
    <row r="31" spans="1:20" ht="46.8">
      <c r="A31" s="793">
        <v>14</v>
      </c>
      <c r="B31" s="794">
        <v>7000027495</v>
      </c>
      <c r="C31" s="794">
        <v>170</v>
      </c>
      <c r="D31" s="794" t="s">
        <v>512</v>
      </c>
      <c r="E31" s="794">
        <v>1000064233</v>
      </c>
      <c r="F31" s="794">
        <v>76169990</v>
      </c>
      <c r="G31" s="795"/>
      <c r="H31" s="794">
        <v>18</v>
      </c>
      <c r="I31" s="796"/>
      <c r="J31" s="797" t="s">
        <v>524</v>
      </c>
      <c r="K31" s="794" t="s">
        <v>476</v>
      </c>
      <c r="L31" s="794">
        <v>60</v>
      </c>
      <c r="M31" s="798"/>
      <c r="N31" s="799" t="str">
        <f t="shared" ref="N31:N43" si="6">IF(M31=0, "INCLUDED", IF(ISERROR(M31*L31), M31, M31*L31))</f>
        <v>INCLUDED</v>
      </c>
      <c r="O31" s="800">
        <f>IF(N31="Included",0,N31)</f>
        <v>0</v>
      </c>
      <c r="P31" s="800">
        <f>IF( I31="",H31*(IF(N31="Included",0,N31))/100,I31*(IF(N31="Included",0,N31)))</f>
        <v>0</v>
      </c>
      <c r="Q31" s="800">
        <f>Discount!$H$36</f>
        <v>0</v>
      </c>
      <c r="R31" s="801">
        <f>Q31*O31</f>
        <v>0</v>
      </c>
      <c r="S31" s="801">
        <f>IF(I31="",H31*R31/100,I31*R31)</f>
        <v>0</v>
      </c>
      <c r="T31" s="802">
        <f t="shared" ref="T31:T43" si="7">M31*L31</f>
        <v>0</v>
      </c>
    </row>
    <row r="32" spans="1:20">
      <c r="A32" s="793">
        <v>15</v>
      </c>
      <c r="B32" s="794">
        <v>7000027495</v>
      </c>
      <c r="C32" s="794">
        <v>180</v>
      </c>
      <c r="D32" s="794" t="s">
        <v>512</v>
      </c>
      <c r="E32" s="794">
        <v>1000064235</v>
      </c>
      <c r="F32" s="794">
        <v>76169990</v>
      </c>
      <c r="G32" s="795"/>
      <c r="H32" s="794">
        <v>18</v>
      </c>
      <c r="I32" s="796"/>
      <c r="J32" s="797" t="s">
        <v>525</v>
      </c>
      <c r="K32" s="794" t="s">
        <v>476</v>
      </c>
      <c r="L32" s="794">
        <v>14</v>
      </c>
      <c r="M32" s="798"/>
      <c r="N32" s="799" t="str">
        <f t="shared" si="6"/>
        <v>INCLUDED</v>
      </c>
      <c r="O32" s="800">
        <f>IF(N32="Included",0,N32)</f>
        <v>0</v>
      </c>
      <c r="P32" s="800">
        <f>IF( I32="",H32*(IF(N32="Included",0,N32))/100,I32*(IF(N32="Included",0,N32)))</f>
        <v>0</v>
      </c>
      <c r="Q32" s="800">
        <f>Discount!$H$36</f>
        <v>0</v>
      </c>
      <c r="R32" s="801">
        <f>Q32*O32</f>
        <v>0</v>
      </c>
      <c r="S32" s="801">
        <f>IF(I32="",H32*R32/100,I32*R32)</f>
        <v>0</v>
      </c>
      <c r="T32" s="802">
        <f t="shared" si="7"/>
        <v>0</v>
      </c>
    </row>
    <row r="33" spans="1:20">
      <c r="A33" s="793">
        <v>16</v>
      </c>
      <c r="B33" s="794">
        <v>7000027495</v>
      </c>
      <c r="C33" s="794">
        <v>190</v>
      </c>
      <c r="D33" s="794" t="s">
        <v>512</v>
      </c>
      <c r="E33" s="794">
        <v>1000064221</v>
      </c>
      <c r="F33" s="794">
        <v>76169990</v>
      </c>
      <c r="G33" s="795"/>
      <c r="H33" s="794">
        <v>18</v>
      </c>
      <c r="I33" s="796"/>
      <c r="J33" s="797" t="s">
        <v>526</v>
      </c>
      <c r="K33" s="794" t="s">
        <v>476</v>
      </c>
      <c r="L33" s="794">
        <v>48</v>
      </c>
      <c r="M33" s="798"/>
      <c r="N33" s="799" t="str">
        <f t="shared" si="6"/>
        <v>INCLUDED</v>
      </c>
      <c r="O33" s="800">
        <f>IF(N33="Included",0,N33)</f>
        <v>0</v>
      </c>
      <c r="P33" s="800">
        <f>IF( I33="",H33*(IF(N33="Included",0,N33))/100,I33*(IF(N33="Included",0,N33)))</f>
        <v>0</v>
      </c>
      <c r="Q33" s="800">
        <f>Discount!$H$36</f>
        <v>0</v>
      </c>
      <c r="R33" s="801">
        <f>Q33*O33</f>
        <v>0</v>
      </c>
      <c r="S33" s="801">
        <f>IF(I33="",H33*R33/100,I33*R33)</f>
        <v>0</v>
      </c>
      <c r="T33" s="802">
        <f t="shared" si="7"/>
        <v>0</v>
      </c>
    </row>
    <row r="34" spans="1:20">
      <c r="A34" s="793">
        <v>17</v>
      </c>
      <c r="B34" s="794">
        <v>7000027495</v>
      </c>
      <c r="C34" s="794">
        <v>200</v>
      </c>
      <c r="D34" s="794" t="s">
        <v>512</v>
      </c>
      <c r="E34" s="794">
        <v>1000019805</v>
      </c>
      <c r="F34" s="794">
        <v>73082011</v>
      </c>
      <c r="G34" s="795"/>
      <c r="H34" s="794">
        <v>18</v>
      </c>
      <c r="I34" s="796"/>
      <c r="J34" s="797" t="s">
        <v>527</v>
      </c>
      <c r="K34" s="794" t="s">
        <v>479</v>
      </c>
      <c r="L34" s="794">
        <v>9</v>
      </c>
      <c r="M34" s="798"/>
      <c r="N34" s="799" t="str">
        <f t="shared" si="6"/>
        <v>INCLUDED</v>
      </c>
      <c r="O34" s="800">
        <f t="shared" ref="O34:O43" si="8">IF(N34="Included",0,N34)</f>
        <v>0</v>
      </c>
      <c r="P34" s="800">
        <f t="shared" ref="P34:P43" si="9">IF( I34="",H34*(IF(N34="Included",0,N34))/100,I34*(IF(N34="Included",0,N34)))</f>
        <v>0</v>
      </c>
      <c r="Q34" s="800">
        <f>Discount!$H$36</f>
        <v>0</v>
      </c>
      <c r="R34" s="801">
        <f t="shared" ref="R34:R43" si="10">Q34*O34</f>
        <v>0</v>
      </c>
      <c r="S34" s="801">
        <f t="shared" ref="S34:S43" si="11">IF(I34="",H34*R34/100,I34*R34)</f>
        <v>0</v>
      </c>
      <c r="T34" s="802">
        <f t="shared" si="7"/>
        <v>0</v>
      </c>
    </row>
    <row r="35" spans="1:20">
      <c r="A35" s="793">
        <v>18</v>
      </c>
      <c r="B35" s="794">
        <v>7000027495</v>
      </c>
      <c r="C35" s="794">
        <v>210</v>
      </c>
      <c r="D35" s="794" t="s">
        <v>512</v>
      </c>
      <c r="E35" s="794">
        <v>1000019783</v>
      </c>
      <c r="F35" s="794">
        <v>73082011</v>
      </c>
      <c r="G35" s="795"/>
      <c r="H35" s="794">
        <v>18</v>
      </c>
      <c r="I35" s="796"/>
      <c r="J35" s="797" t="s">
        <v>528</v>
      </c>
      <c r="K35" s="794" t="s">
        <v>479</v>
      </c>
      <c r="L35" s="794">
        <v>1</v>
      </c>
      <c r="M35" s="798"/>
      <c r="N35" s="799" t="str">
        <f t="shared" si="6"/>
        <v>INCLUDED</v>
      </c>
      <c r="O35" s="800">
        <f t="shared" si="8"/>
        <v>0</v>
      </c>
      <c r="P35" s="800">
        <f t="shared" si="9"/>
        <v>0</v>
      </c>
      <c r="Q35" s="800">
        <f>Discount!$H$36</f>
        <v>0</v>
      </c>
      <c r="R35" s="801">
        <f t="shared" si="10"/>
        <v>0</v>
      </c>
      <c r="S35" s="801">
        <f t="shared" si="11"/>
        <v>0</v>
      </c>
      <c r="T35" s="802">
        <f t="shared" si="7"/>
        <v>0</v>
      </c>
    </row>
    <row r="36" spans="1:20">
      <c r="A36" s="793">
        <v>19</v>
      </c>
      <c r="B36" s="794">
        <v>7000027495</v>
      </c>
      <c r="C36" s="794">
        <v>220</v>
      </c>
      <c r="D36" s="794" t="s">
        <v>512</v>
      </c>
      <c r="E36" s="794">
        <v>1000010803</v>
      </c>
      <c r="F36" s="794">
        <v>73082011</v>
      </c>
      <c r="G36" s="795"/>
      <c r="H36" s="794">
        <v>18</v>
      </c>
      <c r="I36" s="796"/>
      <c r="J36" s="797" t="s">
        <v>529</v>
      </c>
      <c r="K36" s="794" t="s">
        <v>479</v>
      </c>
      <c r="L36" s="794">
        <v>5</v>
      </c>
      <c r="M36" s="798"/>
      <c r="N36" s="799" t="str">
        <f t="shared" si="6"/>
        <v>INCLUDED</v>
      </c>
      <c r="O36" s="800">
        <f t="shared" si="8"/>
        <v>0</v>
      </c>
      <c r="P36" s="800">
        <f t="shared" si="9"/>
        <v>0</v>
      </c>
      <c r="Q36" s="800">
        <f>Discount!$H$36</f>
        <v>0</v>
      </c>
      <c r="R36" s="801">
        <f t="shared" si="10"/>
        <v>0</v>
      </c>
      <c r="S36" s="801">
        <f t="shared" si="11"/>
        <v>0</v>
      </c>
      <c r="T36" s="802">
        <f t="shared" si="7"/>
        <v>0</v>
      </c>
    </row>
    <row r="37" spans="1:20" ht="31.2">
      <c r="A37" s="793">
        <v>20</v>
      </c>
      <c r="B37" s="794">
        <v>7000027495</v>
      </c>
      <c r="C37" s="794">
        <v>230</v>
      </c>
      <c r="D37" s="794" t="s">
        <v>513</v>
      </c>
      <c r="E37" s="794">
        <v>1000064225</v>
      </c>
      <c r="F37" s="794">
        <v>76169990</v>
      </c>
      <c r="G37" s="795"/>
      <c r="H37" s="794">
        <v>18</v>
      </c>
      <c r="I37" s="796"/>
      <c r="J37" s="797" t="s">
        <v>530</v>
      </c>
      <c r="K37" s="794" t="s">
        <v>476</v>
      </c>
      <c r="L37" s="794">
        <v>50</v>
      </c>
      <c r="M37" s="798"/>
      <c r="N37" s="799" t="str">
        <f t="shared" si="6"/>
        <v>INCLUDED</v>
      </c>
      <c r="O37" s="800">
        <f t="shared" si="8"/>
        <v>0</v>
      </c>
      <c r="P37" s="800">
        <f t="shared" si="9"/>
        <v>0</v>
      </c>
      <c r="Q37" s="800">
        <f>Discount!$H$36</f>
        <v>0</v>
      </c>
      <c r="R37" s="801">
        <f t="shared" si="10"/>
        <v>0</v>
      </c>
      <c r="S37" s="801">
        <f t="shared" si="11"/>
        <v>0</v>
      </c>
      <c r="T37" s="802">
        <f t="shared" si="7"/>
        <v>0</v>
      </c>
    </row>
    <row r="38" spans="1:20" ht="31.2">
      <c r="A38" s="793">
        <v>21</v>
      </c>
      <c r="B38" s="794">
        <v>7000027495</v>
      </c>
      <c r="C38" s="794">
        <v>240</v>
      </c>
      <c r="D38" s="794" t="s">
        <v>513</v>
      </c>
      <c r="E38" s="794">
        <v>1000064227</v>
      </c>
      <c r="F38" s="794">
        <v>76169990</v>
      </c>
      <c r="G38" s="795"/>
      <c r="H38" s="794">
        <v>18</v>
      </c>
      <c r="I38" s="796"/>
      <c r="J38" s="797" t="s">
        <v>531</v>
      </c>
      <c r="K38" s="794" t="s">
        <v>476</v>
      </c>
      <c r="L38" s="794">
        <v>50</v>
      </c>
      <c r="M38" s="798"/>
      <c r="N38" s="799" t="str">
        <f t="shared" si="6"/>
        <v>INCLUDED</v>
      </c>
      <c r="O38" s="800">
        <f t="shared" si="8"/>
        <v>0</v>
      </c>
      <c r="P38" s="800">
        <f t="shared" si="9"/>
        <v>0</v>
      </c>
      <c r="Q38" s="800">
        <f>Discount!$H$36</f>
        <v>0</v>
      </c>
      <c r="R38" s="801">
        <f t="shared" si="10"/>
        <v>0</v>
      </c>
      <c r="S38" s="801">
        <f t="shared" si="11"/>
        <v>0</v>
      </c>
      <c r="T38" s="802">
        <f t="shared" si="7"/>
        <v>0</v>
      </c>
    </row>
    <row r="39" spans="1:20" ht="31.2">
      <c r="A39" s="793">
        <v>22</v>
      </c>
      <c r="B39" s="794">
        <v>7000027495</v>
      </c>
      <c r="C39" s="794">
        <v>250</v>
      </c>
      <c r="D39" s="794" t="s">
        <v>513</v>
      </c>
      <c r="E39" s="794">
        <v>1000064231</v>
      </c>
      <c r="F39" s="794">
        <v>76169990</v>
      </c>
      <c r="G39" s="795"/>
      <c r="H39" s="794">
        <v>18</v>
      </c>
      <c r="I39" s="796"/>
      <c r="J39" s="797" t="s">
        <v>532</v>
      </c>
      <c r="K39" s="794" t="s">
        <v>476</v>
      </c>
      <c r="L39" s="794">
        <v>252</v>
      </c>
      <c r="M39" s="798"/>
      <c r="N39" s="799" t="str">
        <f t="shared" si="6"/>
        <v>INCLUDED</v>
      </c>
      <c r="O39" s="800">
        <f t="shared" si="8"/>
        <v>0</v>
      </c>
      <c r="P39" s="800">
        <f t="shared" si="9"/>
        <v>0</v>
      </c>
      <c r="Q39" s="800">
        <f>Discount!$H$36</f>
        <v>0</v>
      </c>
      <c r="R39" s="801">
        <f t="shared" si="10"/>
        <v>0</v>
      </c>
      <c r="S39" s="801">
        <f t="shared" si="11"/>
        <v>0</v>
      </c>
      <c r="T39" s="802">
        <f t="shared" si="7"/>
        <v>0</v>
      </c>
    </row>
    <row r="40" spans="1:20" ht="31.2">
      <c r="A40" s="793">
        <v>23</v>
      </c>
      <c r="B40" s="794">
        <v>7000027495</v>
      </c>
      <c r="C40" s="794">
        <v>260</v>
      </c>
      <c r="D40" s="794" t="s">
        <v>513</v>
      </c>
      <c r="E40" s="794">
        <v>1000064229</v>
      </c>
      <c r="F40" s="794">
        <v>76169990</v>
      </c>
      <c r="G40" s="795"/>
      <c r="H40" s="794">
        <v>18</v>
      </c>
      <c r="I40" s="796"/>
      <c r="J40" s="797" t="s">
        <v>533</v>
      </c>
      <c r="K40" s="794" t="s">
        <v>476</v>
      </c>
      <c r="L40" s="794">
        <v>18</v>
      </c>
      <c r="M40" s="798"/>
      <c r="N40" s="799" t="str">
        <f t="shared" si="6"/>
        <v>INCLUDED</v>
      </c>
      <c r="O40" s="800">
        <f t="shared" si="8"/>
        <v>0</v>
      </c>
      <c r="P40" s="800">
        <f t="shared" si="9"/>
        <v>0</v>
      </c>
      <c r="Q40" s="800">
        <f>Discount!$H$36</f>
        <v>0</v>
      </c>
      <c r="R40" s="801">
        <f t="shared" si="10"/>
        <v>0</v>
      </c>
      <c r="S40" s="801">
        <f t="shared" si="11"/>
        <v>0</v>
      </c>
      <c r="T40" s="802">
        <f t="shared" si="7"/>
        <v>0</v>
      </c>
    </row>
    <row r="41" spans="1:20" ht="31.2">
      <c r="A41" s="793">
        <v>24</v>
      </c>
      <c r="B41" s="794">
        <v>7000027495</v>
      </c>
      <c r="C41" s="794">
        <v>270</v>
      </c>
      <c r="D41" s="794" t="s">
        <v>514</v>
      </c>
      <c r="E41" s="794">
        <v>1000013472</v>
      </c>
      <c r="F41" s="794">
        <v>73181500</v>
      </c>
      <c r="G41" s="795"/>
      <c r="H41" s="794">
        <v>18</v>
      </c>
      <c r="I41" s="796"/>
      <c r="J41" s="797" t="s">
        <v>535</v>
      </c>
      <c r="K41" s="794" t="s">
        <v>480</v>
      </c>
      <c r="L41" s="794">
        <v>2</v>
      </c>
      <c r="M41" s="798"/>
      <c r="N41" s="799" t="str">
        <f t="shared" si="6"/>
        <v>INCLUDED</v>
      </c>
      <c r="O41" s="800">
        <f t="shared" si="8"/>
        <v>0</v>
      </c>
      <c r="P41" s="800">
        <f t="shared" si="9"/>
        <v>0</v>
      </c>
      <c r="Q41" s="800">
        <f>Discount!$H$36</f>
        <v>0</v>
      </c>
      <c r="R41" s="801">
        <f t="shared" si="10"/>
        <v>0</v>
      </c>
      <c r="S41" s="801">
        <f t="shared" si="11"/>
        <v>0</v>
      </c>
      <c r="T41" s="802">
        <f t="shared" si="7"/>
        <v>0</v>
      </c>
    </row>
    <row r="42" spans="1:20" ht="31.2">
      <c r="A42" s="793">
        <v>25</v>
      </c>
      <c r="B42" s="794">
        <v>7000027495</v>
      </c>
      <c r="C42" s="794">
        <v>280</v>
      </c>
      <c r="D42" s="794" t="s">
        <v>514</v>
      </c>
      <c r="E42" s="794">
        <v>1000064591</v>
      </c>
      <c r="F42" s="794">
        <v>73082011</v>
      </c>
      <c r="G42" s="795"/>
      <c r="H42" s="794">
        <v>18</v>
      </c>
      <c r="I42" s="796"/>
      <c r="J42" s="797" t="s">
        <v>487</v>
      </c>
      <c r="K42" s="794" t="s">
        <v>480</v>
      </c>
      <c r="L42" s="794">
        <v>5</v>
      </c>
      <c r="M42" s="798"/>
      <c r="N42" s="799" t="str">
        <f t="shared" si="6"/>
        <v>INCLUDED</v>
      </c>
      <c r="O42" s="800">
        <f t="shared" si="8"/>
        <v>0</v>
      </c>
      <c r="P42" s="800">
        <f t="shared" si="9"/>
        <v>0</v>
      </c>
      <c r="Q42" s="800">
        <f>Discount!$H$36</f>
        <v>0</v>
      </c>
      <c r="R42" s="801">
        <f t="shared" si="10"/>
        <v>0</v>
      </c>
      <c r="S42" s="801">
        <f t="shared" si="11"/>
        <v>0</v>
      </c>
      <c r="T42" s="802">
        <f t="shared" si="7"/>
        <v>0</v>
      </c>
    </row>
    <row r="43" spans="1:20" ht="31.2">
      <c r="A43" s="793">
        <v>26</v>
      </c>
      <c r="B43" s="794">
        <v>7000027495</v>
      </c>
      <c r="C43" s="794">
        <v>290</v>
      </c>
      <c r="D43" s="794" t="s">
        <v>514</v>
      </c>
      <c r="E43" s="794">
        <v>1000064592</v>
      </c>
      <c r="F43" s="794">
        <v>73082011</v>
      </c>
      <c r="G43" s="795"/>
      <c r="H43" s="794">
        <v>18</v>
      </c>
      <c r="I43" s="796"/>
      <c r="J43" s="797" t="s">
        <v>488</v>
      </c>
      <c r="K43" s="794" t="s">
        <v>480</v>
      </c>
      <c r="L43" s="794">
        <v>15</v>
      </c>
      <c r="M43" s="798"/>
      <c r="N43" s="799" t="str">
        <f t="shared" si="6"/>
        <v>INCLUDED</v>
      </c>
      <c r="O43" s="800">
        <f t="shared" si="8"/>
        <v>0</v>
      </c>
      <c r="P43" s="800">
        <f t="shared" si="9"/>
        <v>0</v>
      </c>
      <c r="Q43" s="800">
        <f>Discount!$H$36</f>
        <v>0</v>
      </c>
      <c r="R43" s="801">
        <f t="shared" si="10"/>
        <v>0</v>
      </c>
      <c r="S43" s="801">
        <f t="shared" si="11"/>
        <v>0</v>
      </c>
      <c r="T43" s="802">
        <f t="shared" si="7"/>
        <v>0</v>
      </c>
    </row>
    <row r="44" spans="1:20">
      <c r="A44" s="793">
        <v>27</v>
      </c>
      <c r="B44" s="794">
        <v>7000027495</v>
      </c>
      <c r="C44" s="794">
        <v>310</v>
      </c>
      <c r="D44" s="794" t="s">
        <v>515</v>
      </c>
      <c r="E44" s="794">
        <v>1000019718</v>
      </c>
      <c r="F44" s="794">
        <v>73082011</v>
      </c>
      <c r="G44" s="795"/>
      <c r="H44" s="794">
        <v>18</v>
      </c>
      <c r="I44" s="796"/>
      <c r="J44" s="797" t="s">
        <v>536</v>
      </c>
      <c r="K44" s="794" t="s">
        <v>476</v>
      </c>
      <c r="L44" s="794">
        <v>11</v>
      </c>
      <c r="M44" s="798"/>
      <c r="N44" s="799" t="str">
        <f>IF(M44=0, "INCLUDED", IF(ISERROR(M44*L44), M44, M44*L44))</f>
        <v>INCLUDED</v>
      </c>
      <c r="O44" s="800">
        <f>IF(N44="Included",0,N44)</f>
        <v>0</v>
      </c>
      <c r="P44" s="800">
        <f>IF( I44="",H44*(IF(N44="Included",0,N44))/100,I44*(IF(N44="Included",0,N44)))</f>
        <v>0</v>
      </c>
      <c r="Q44" s="801">
        <f>Discount!$H$36</f>
        <v>0</v>
      </c>
      <c r="R44" s="801">
        <f>Q44*O44</f>
        <v>0</v>
      </c>
      <c r="S44" s="801">
        <f>IF(I44="",H44*R44/100,I44*R44)</f>
        <v>0</v>
      </c>
      <c r="T44" s="802">
        <f>M44*L44</f>
        <v>0</v>
      </c>
    </row>
    <row r="45" spans="1:20" ht="31.2">
      <c r="A45" s="793">
        <v>28</v>
      </c>
      <c r="B45" s="794">
        <v>7000027495</v>
      </c>
      <c r="C45" s="794">
        <v>340</v>
      </c>
      <c r="D45" s="794" t="s">
        <v>516</v>
      </c>
      <c r="E45" s="794">
        <v>1000009328</v>
      </c>
      <c r="F45" s="794">
        <v>85469090</v>
      </c>
      <c r="G45" s="795"/>
      <c r="H45" s="794">
        <v>18</v>
      </c>
      <c r="I45" s="796"/>
      <c r="J45" s="797" t="s">
        <v>537</v>
      </c>
      <c r="K45" s="794" t="s">
        <v>476</v>
      </c>
      <c r="L45" s="794">
        <v>540</v>
      </c>
      <c r="M45" s="798"/>
      <c r="N45" s="799" t="str">
        <f t="shared" ref="N45:N61" si="12">IF(M45=0, "INCLUDED", IF(ISERROR(M45*L45), M45, M45*L45))</f>
        <v>INCLUDED</v>
      </c>
      <c r="O45" s="800">
        <f>IF(N45="Included",0,N45)</f>
        <v>0</v>
      </c>
      <c r="P45" s="800">
        <f>IF( I45="",H45*(IF(N45="Included",0,N45))/100,I45*(IF(N45="Included",0,N45)))</f>
        <v>0</v>
      </c>
      <c r="Q45" s="800">
        <f>Discount!$H$36</f>
        <v>0</v>
      </c>
      <c r="R45" s="801">
        <f>Q45*O45</f>
        <v>0</v>
      </c>
      <c r="S45" s="801">
        <f>IF(I45="",H45*R45/100,I45*R45)</f>
        <v>0</v>
      </c>
      <c r="T45" s="802">
        <f t="shared" ref="T45:T61" si="13">M45*L45</f>
        <v>0</v>
      </c>
    </row>
    <row r="46" spans="1:20" ht="31.2">
      <c r="A46" s="793">
        <v>29</v>
      </c>
      <c r="B46" s="794">
        <v>7000027495</v>
      </c>
      <c r="C46" s="794">
        <v>350</v>
      </c>
      <c r="D46" s="794" t="s">
        <v>516</v>
      </c>
      <c r="E46" s="794">
        <v>1000009325</v>
      </c>
      <c r="F46" s="794">
        <v>85469090</v>
      </c>
      <c r="G46" s="795"/>
      <c r="H46" s="794">
        <v>18</v>
      </c>
      <c r="I46" s="796"/>
      <c r="J46" s="797" t="s">
        <v>538</v>
      </c>
      <c r="K46" s="794" t="s">
        <v>476</v>
      </c>
      <c r="L46" s="794">
        <v>515</v>
      </c>
      <c r="M46" s="798"/>
      <c r="N46" s="799" t="str">
        <f t="shared" si="12"/>
        <v>INCLUDED</v>
      </c>
      <c r="O46" s="800">
        <f>IF(N46="Included",0,N46)</f>
        <v>0</v>
      </c>
      <c r="P46" s="800">
        <f>IF( I46="",H46*(IF(N46="Included",0,N46))/100,I46*(IF(N46="Included",0,N46)))</f>
        <v>0</v>
      </c>
      <c r="Q46" s="800">
        <f>Discount!$H$36</f>
        <v>0</v>
      </c>
      <c r="R46" s="801">
        <f>Q46*O46</f>
        <v>0</v>
      </c>
      <c r="S46" s="801">
        <f>IF(I46="",H46*R46/100,I46*R46)</f>
        <v>0</v>
      </c>
      <c r="T46" s="802">
        <f t="shared" si="13"/>
        <v>0</v>
      </c>
    </row>
    <row r="47" spans="1:20">
      <c r="A47" s="793">
        <v>30</v>
      </c>
      <c r="B47" s="794">
        <v>7000027495</v>
      </c>
      <c r="C47" s="794">
        <v>360</v>
      </c>
      <c r="D47" s="794" t="s">
        <v>517</v>
      </c>
      <c r="E47" s="794">
        <v>1000009328</v>
      </c>
      <c r="F47" s="794">
        <v>85469090</v>
      </c>
      <c r="G47" s="795"/>
      <c r="H47" s="794">
        <v>18</v>
      </c>
      <c r="I47" s="796"/>
      <c r="J47" s="797" t="s">
        <v>537</v>
      </c>
      <c r="K47" s="794" t="s">
        <v>476</v>
      </c>
      <c r="L47" s="794">
        <v>54</v>
      </c>
      <c r="M47" s="798"/>
      <c r="N47" s="799" t="str">
        <f t="shared" si="12"/>
        <v>INCLUDED</v>
      </c>
      <c r="O47" s="800">
        <f>IF(N47="Included",0,N47)</f>
        <v>0</v>
      </c>
      <c r="P47" s="800">
        <f>IF( I47="",H47*(IF(N47="Included",0,N47))/100,I47*(IF(N47="Included",0,N47)))</f>
        <v>0</v>
      </c>
      <c r="Q47" s="800">
        <f>Discount!$H$36</f>
        <v>0</v>
      </c>
      <c r="R47" s="801">
        <f>Q47*O47</f>
        <v>0</v>
      </c>
      <c r="S47" s="801">
        <f>IF(I47="",H47*R47/100,I47*R47)</f>
        <v>0</v>
      </c>
      <c r="T47" s="802">
        <f t="shared" si="13"/>
        <v>0</v>
      </c>
    </row>
    <row r="48" spans="1:20">
      <c r="A48" s="793">
        <v>31</v>
      </c>
      <c r="B48" s="794">
        <v>7000027495</v>
      </c>
      <c r="C48" s="794">
        <v>370</v>
      </c>
      <c r="D48" s="794" t="s">
        <v>517</v>
      </c>
      <c r="E48" s="794">
        <v>1000009325</v>
      </c>
      <c r="F48" s="794">
        <v>85469090</v>
      </c>
      <c r="G48" s="795"/>
      <c r="H48" s="794">
        <v>18</v>
      </c>
      <c r="I48" s="796"/>
      <c r="J48" s="797" t="s">
        <v>538</v>
      </c>
      <c r="K48" s="794" t="s">
        <v>476</v>
      </c>
      <c r="L48" s="794">
        <v>52</v>
      </c>
      <c r="M48" s="798"/>
      <c r="N48" s="799" t="str">
        <f t="shared" si="12"/>
        <v>INCLUDED</v>
      </c>
      <c r="O48" s="800">
        <f t="shared" ref="O48:O61" si="14">IF(N48="Included",0,N48)</f>
        <v>0</v>
      </c>
      <c r="P48" s="800">
        <f t="shared" ref="P48:P61" si="15">IF( I48="",H48*(IF(N48="Included",0,N48))/100,I48*(IF(N48="Included",0,N48)))</f>
        <v>0</v>
      </c>
      <c r="Q48" s="800">
        <f>Discount!$H$36</f>
        <v>0</v>
      </c>
      <c r="R48" s="801">
        <f t="shared" ref="R48:R61" si="16">Q48*O48</f>
        <v>0</v>
      </c>
      <c r="S48" s="801">
        <f t="shared" ref="S48:S61" si="17">IF(I48="",H48*R48/100,I48*R48)</f>
        <v>0</v>
      </c>
      <c r="T48" s="802">
        <f t="shared" si="13"/>
        <v>0</v>
      </c>
    </row>
    <row r="49" spans="1:20" ht="31.2">
      <c r="A49" s="793">
        <v>32</v>
      </c>
      <c r="B49" s="794">
        <v>7000027495</v>
      </c>
      <c r="C49" s="794">
        <v>380</v>
      </c>
      <c r="D49" s="794" t="s">
        <v>518</v>
      </c>
      <c r="E49" s="794">
        <v>1000010539</v>
      </c>
      <c r="F49" s="794">
        <v>73082011</v>
      </c>
      <c r="G49" s="795"/>
      <c r="H49" s="794">
        <v>18</v>
      </c>
      <c r="I49" s="796"/>
      <c r="J49" s="797" t="s">
        <v>539</v>
      </c>
      <c r="K49" s="794" t="s">
        <v>476</v>
      </c>
      <c r="L49" s="794">
        <v>193</v>
      </c>
      <c r="M49" s="798"/>
      <c r="N49" s="799" t="str">
        <f t="shared" si="12"/>
        <v>INCLUDED</v>
      </c>
      <c r="O49" s="800">
        <f t="shared" si="14"/>
        <v>0</v>
      </c>
      <c r="P49" s="800">
        <f t="shared" si="15"/>
        <v>0</v>
      </c>
      <c r="Q49" s="800">
        <f>Discount!$H$36</f>
        <v>0</v>
      </c>
      <c r="R49" s="801">
        <f t="shared" si="16"/>
        <v>0</v>
      </c>
      <c r="S49" s="801">
        <f t="shared" si="17"/>
        <v>0</v>
      </c>
      <c r="T49" s="802">
        <f t="shared" si="13"/>
        <v>0</v>
      </c>
    </row>
    <row r="50" spans="1:20" ht="31.2">
      <c r="A50" s="793">
        <v>33</v>
      </c>
      <c r="B50" s="794">
        <v>7000027495</v>
      </c>
      <c r="C50" s="794">
        <v>390</v>
      </c>
      <c r="D50" s="794" t="s">
        <v>518</v>
      </c>
      <c r="E50" s="794">
        <v>1000015971</v>
      </c>
      <c r="F50" s="794">
        <v>73082011</v>
      </c>
      <c r="G50" s="795"/>
      <c r="H50" s="794">
        <v>18</v>
      </c>
      <c r="I50" s="796"/>
      <c r="J50" s="797" t="s">
        <v>540</v>
      </c>
      <c r="K50" s="794" t="s">
        <v>476</v>
      </c>
      <c r="L50" s="794">
        <v>193</v>
      </c>
      <c r="M50" s="798"/>
      <c r="N50" s="799" t="str">
        <f t="shared" si="12"/>
        <v>INCLUDED</v>
      </c>
      <c r="O50" s="800">
        <f t="shared" si="14"/>
        <v>0</v>
      </c>
      <c r="P50" s="800">
        <f t="shared" si="15"/>
        <v>0</v>
      </c>
      <c r="Q50" s="800">
        <f>Discount!$H$36</f>
        <v>0</v>
      </c>
      <c r="R50" s="801">
        <f t="shared" si="16"/>
        <v>0</v>
      </c>
      <c r="S50" s="801">
        <f t="shared" si="17"/>
        <v>0</v>
      </c>
      <c r="T50" s="802">
        <f t="shared" si="13"/>
        <v>0</v>
      </c>
    </row>
    <row r="51" spans="1:20" ht="31.2">
      <c r="A51" s="793">
        <v>34</v>
      </c>
      <c r="B51" s="794">
        <v>7000027495</v>
      </c>
      <c r="C51" s="794">
        <v>400</v>
      </c>
      <c r="D51" s="794" t="s">
        <v>518</v>
      </c>
      <c r="E51" s="794">
        <v>1000017508</v>
      </c>
      <c r="F51" s="794">
        <v>73082011</v>
      </c>
      <c r="G51" s="795"/>
      <c r="H51" s="794">
        <v>18</v>
      </c>
      <c r="I51" s="796"/>
      <c r="J51" s="797" t="s">
        <v>486</v>
      </c>
      <c r="K51" s="794" t="s">
        <v>479</v>
      </c>
      <c r="L51" s="794">
        <v>193</v>
      </c>
      <c r="M51" s="798"/>
      <c r="N51" s="799" t="str">
        <f t="shared" si="12"/>
        <v>INCLUDED</v>
      </c>
      <c r="O51" s="800">
        <f t="shared" si="14"/>
        <v>0</v>
      </c>
      <c r="P51" s="800">
        <f t="shared" si="15"/>
        <v>0</v>
      </c>
      <c r="Q51" s="800">
        <f>Discount!$H$36</f>
        <v>0</v>
      </c>
      <c r="R51" s="801">
        <f t="shared" si="16"/>
        <v>0</v>
      </c>
      <c r="S51" s="801">
        <f t="shared" si="17"/>
        <v>0</v>
      </c>
      <c r="T51" s="802">
        <f t="shared" si="13"/>
        <v>0</v>
      </c>
    </row>
    <row r="52" spans="1:20" ht="31.2">
      <c r="A52" s="793">
        <v>35</v>
      </c>
      <c r="B52" s="794">
        <v>7000027495</v>
      </c>
      <c r="C52" s="794">
        <v>410</v>
      </c>
      <c r="D52" s="794" t="s">
        <v>518</v>
      </c>
      <c r="E52" s="794">
        <v>1000006779</v>
      </c>
      <c r="F52" s="794">
        <v>73082011</v>
      </c>
      <c r="G52" s="795"/>
      <c r="H52" s="794">
        <v>18</v>
      </c>
      <c r="I52" s="796"/>
      <c r="J52" s="797" t="s">
        <v>541</v>
      </c>
      <c r="K52" s="794" t="s">
        <v>479</v>
      </c>
      <c r="L52" s="794">
        <v>193</v>
      </c>
      <c r="M52" s="798"/>
      <c r="N52" s="799" t="str">
        <f t="shared" si="12"/>
        <v>INCLUDED</v>
      </c>
      <c r="O52" s="800">
        <f t="shared" si="14"/>
        <v>0</v>
      </c>
      <c r="P52" s="800">
        <f t="shared" si="15"/>
        <v>0</v>
      </c>
      <c r="Q52" s="800">
        <f>Discount!$H$36</f>
        <v>0</v>
      </c>
      <c r="R52" s="801">
        <f t="shared" si="16"/>
        <v>0</v>
      </c>
      <c r="S52" s="801">
        <f t="shared" si="17"/>
        <v>0</v>
      </c>
      <c r="T52" s="802">
        <f t="shared" si="13"/>
        <v>0</v>
      </c>
    </row>
    <row r="53" spans="1:20" ht="31.2">
      <c r="A53" s="793">
        <v>36</v>
      </c>
      <c r="B53" s="794">
        <v>7000027495</v>
      </c>
      <c r="C53" s="794">
        <v>420</v>
      </c>
      <c r="D53" s="794" t="s">
        <v>518</v>
      </c>
      <c r="E53" s="794">
        <v>1000007735</v>
      </c>
      <c r="F53" s="794">
        <v>73082011</v>
      </c>
      <c r="G53" s="795"/>
      <c r="H53" s="794">
        <v>18</v>
      </c>
      <c r="I53" s="796"/>
      <c r="J53" s="797" t="s">
        <v>542</v>
      </c>
      <c r="K53" s="794" t="s">
        <v>479</v>
      </c>
      <c r="L53" s="794">
        <v>149</v>
      </c>
      <c r="M53" s="798"/>
      <c r="N53" s="799" t="str">
        <f t="shared" si="12"/>
        <v>INCLUDED</v>
      </c>
      <c r="O53" s="800">
        <f t="shared" si="14"/>
        <v>0</v>
      </c>
      <c r="P53" s="800">
        <f t="shared" si="15"/>
        <v>0</v>
      </c>
      <c r="Q53" s="800">
        <f>Discount!$H$36</f>
        <v>0</v>
      </c>
      <c r="R53" s="801">
        <f t="shared" si="16"/>
        <v>0</v>
      </c>
      <c r="S53" s="801">
        <f t="shared" si="17"/>
        <v>0</v>
      </c>
      <c r="T53" s="802">
        <f t="shared" si="13"/>
        <v>0</v>
      </c>
    </row>
    <row r="54" spans="1:20">
      <c r="A54" s="793">
        <v>37</v>
      </c>
      <c r="B54" s="794">
        <v>7000027495</v>
      </c>
      <c r="C54" s="794">
        <v>430</v>
      </c>
      <c r="D54" s="794" t="s">
        <v>519</v>
      </c>
      <c r="E54" s="794">
        <v>1000030841</v>
      </c>
      <c r="F54" s="794">
        <v>73121020</v>
      </c>
      <c r="G54" s="795"/>
      <c r="H54" s="794">
        <v>18</v>
      </c>
      <c r="I54" s="796"/>
      <c r="J54" s="797" t="s">
        <v>543</v>
      </c>
      <c r="K54" s="794" t="s">
        <v>477</v>
      </c>
      <c r="L54" s="794">
        <v>71</v>
      </c>
      <c r="M54" s="798"/>
      <c r="N54" s="799" t="str">
        <f t="shared" si="12"/>
        <v>INCLUDED</v>
      </c>
      <c r="O54" s="800">
        <f t="shared" si="14"/>
        <v>0</v>
      </c>
      <c r="P54" s="800">
        <f t="shared" si="15"/>
        <v>0</v>
      </c>
      <c r="Q54" s="800">
        <f>Discount!$H$36</f>
        <v>0</v>
      </c>
      <c r="R54" s="801">
        <f t="shared" si="16"/>
        <v>0</v>
      </c>
      <c r="S54" s="801">
        <f t="shared" si="17"/>
        <v>0</v>
      </c>
      <c r="T54" s="802">
        <f t="shared" si="13"/>
        <v>0</v>
      </c>
    </row>
    <row r="55" spans="1:20" ht="31.2">
      <c r="A55" s="793">
        <v>38</v>
      </c>
      <c r="B55" s="794">
        <v>7000027495</v>
      </c>
      <c r="C55" s="794">
        <v>440</v>
      </c>
      <c r="D55" s="794" t="s">
        <v>520</v>
      </c>
      <c r="E55" s="794">
        <v>1000015505</v>
      </c>
      <c r="F55" s="794">
        <v>73082011</v>
      </c>
      <c r="G55" s="795"/>
      <c r="H55" s="794">
        <v>18</v>
      </c>
      <c r="I55" s="796"/>
      <c r="J55" s="797" t="s">
        <v>544</v>
      </c>
      <c r="K55" s="794" t="s">
        <v>476</v>
      </c>
      <c r="L55" s="794">
        <v>39</v>
      </c>
      <c r="M55" s="798"/>
      <c r="N55" s="799" t="str">
        <f t="shared" si="12"/>
        <v>INCLUDED</v>
      </c>
      <c r="O55" s="800">
        <f t="shared" si="14"/>
        <v>0</v>
      </c>
      <c r="P55" s="800">
        <f t="shared" si="15"/>
        <v>0</v>
      </c>
      <c r="Q55" s="800">
        <f>Discount!$H$36</f>
        <v>0</v>
      </c>
      <c r="R55" s="801">
        <f t="shared" si="16"/>
        <v>0</v>
      </c>
      <c r="S55" s="801">
        <f t="shared" si="17"/>
        <v>0</v>
      </c>
      <c r="T55" s="802">
        <f t="shared" si="13"/>
        <v>0</v>
      </c>
    </row>
    <row r="56" spans="1:20" ht="31.2">
      <c r="A56" s="793">
        <v>39</v>
      </c>
      <c r="B56" s="794">
        <v>7000027495</v>
      </c>
      <c r="C56" s="794">
        <v>450</v>
      </c>
      <c r="D56" s="794" t="s">
        <v>520</v>
      </c>
      <c r="E56" s="794">
        <v>1000034136</v>
      </c>
      <c r="F56" s="794">
        <v>76169990</v>
      </c>
      <c r="G56" s="795"/>
      <c r="H56" s="794">
        <v>18</v>
      </c>
      <c r="I56" s="796"/>
      <c r="J56" s="797" t="s">
        <v>545</v>
      </c>
      <c r="K56" s="794" t="s">
        <v>476</v>
      </c>
      <c r="L56" s="794">
        <v>213</v>
      </c>
      <c r="M56" s="798"/>
      <c r="N56" s="799" t="str">
        <f t="shared" si="12"/>
        <v>INCLUDED</v>
      </c>
      <c r="O56" s="800">
        <f t="shared" si="14"/>
        <v>0</v>
      </c>
      <c r="P56" s="800">
        <f t="shared" si="15"/>
        <v>0</v>
      </c>
      <c r="Q56" s="800">
        <f>Discount!$H$36</f>
        <v>0</v>
      </c>
      <c r="R56" s="801">
        <f t="shared" si="16"/>
        <v>0</v>
      </c>
      <c r="S56" s="801">
        <f t="shared" si="17"/>
        <v>0</v>
      </c>
      <c r="T56" s="802">
        <f t="shared" si="13"/>
        <v>0</v>
      </c>
    </row>
    <row r="57" spans="1:20" ht="31.2">
      <c r="A57" s="793">
        <v>40</v>
      </c>
      <c r="B57" s="794">
        <v>7000027495</v>
      </c>
      <c r="C57" s="794">
        <v>460</v>
      </c>
      <c r="D57" s="794" t="s">
        <v>520</v>
      </c>
      <c r="E57" s="794">
        <v>1000022420</v>
      </c>
      <c r="F57" s="794">
        <v>73082011</v>
      </c>
      <c r="G57" s="795"/>
      <c r="H57" s="794">
        <v>18</v>
      </c>
      <c r="I57" s="796"/>
      <c r="J57" s="797" t="s">
        <v>546</v>
      </c>
      <c r="K57" s="794" t="s">
        <v>476</v>
      </c>
      <c r="L57" s="794">
        <v>426</v>
      </c>
      <c r="M57" s="798"/>
      <c r="N57" s="799" t="str">
        <f t="shared" si="12"/>
        <v>INCLUDED</v>
      </c>
      <c r="O57" s="800">
        <f t="shared" si="14"/>
        <v>0</v>
      </c>
      <c r="P57" s="800">
        <f t="shared" si="15"/>
        <v>0</v>
      </c>
      <c r="Q57" s="800">
        <f>Discount!$H$36</f>
        <v>0</v>
      </c>
      <c r="R57" s="801">
        <f t="shared" si="16"/>
        <v>0</v>
      </c>
      <c r="S57" s="801">
        <f t="shared" si="17"/>
        <v>0</v>
      </c>
      <c r="T57" s="802">
        <f t="shared" si="13"/>
        <v>0</v>
      </c>
    </row>
    <row r="58" spans="1:20" ht="31.2">
      <c r="A58" s="793">
        <v>41</v>
      </c>
      <c r="B58" s="794">
        <v>7000027495</v>
      </c>
      <c r="C58" s="794">
        <v>470</v>
      </c>
      <c r="D58" s="794" t="s">
        <v>520</v>
      </c>
      <c r="E58" s="794">
        <v>1000020447</v>
      </c>
      <c r="F58" s="794">
        <v>73082011</v>
      </c>
      <c r="G58" s="795"/>
      <c r="H58" s="794">
        <v>18</v>
      </c>
      <c r="I58" s="796"/>
      <c r="J58" s="797" t="s">
        <v>547</v>
      </c>
      <c r="K58" s="794" t="s">
        <v>476</v>
      </c>
      <c r="L58" s="794">
        <v>145</v>
      </c>
      <c r="M58" s="798"/>
      <c r="N58" s="799" t="str">
        <f t="shared" si="12"/>
        <v>INCLUDED</v>
      </c>
      <c r="O58" s="800">
        <f t="shared" si="14"/>
        <v>0</v>
      </c>
      <c r="P58" s="800">
        <f t="shared" si="15"/>
        <v>0</v>
      </c>
      <c r="Q58" s="800">
        <f>Discount!$H$36</f>
        <v>0</v>
      </c>
      <c r="R58" s="801">
        <f t="shared" si="16"/>
        <v>0</v>
      </c>
      <c r="S58" s="801">
        <f t="shared" si="17"/>
        <v>0</v>
      </c>
      <c r="T58" s="802">
        <f t="shared" si="13"/>
        <v>0</v>
      </c>
    </row>
    <row r="59" spans="1:20" ht="31.2">
      <c r="A59" s="793">
        <v>42</v>
      </c>
      <c r="B59" s="794">
        <v>7000027495</v>
      </c>
      <c r="C59" s="794">
        <v>480</v>
      </c>
      <c r="D59" s="794" t="s">
        <v>520</v>
      </c>
      <c r="E59" s="794">
        <v>1000020991</v>
      </c>
      <c r="F59" s="794">
        <v>73082011</v>
      </c>
      <c r="G59" s="795"/>
      <c r="H59" s="794">
        <v>18</v>
      </c>
      <c r="I59" s="796"/>
      <c r="J59" s="797" t="s">
        <v>548</v>
      </c>
      <c r="K59" s="794" t="s">
        <v>476</v>
      </c>
      <c r="L59" s="794">
        <v>64</v>
      </c>
      <c r="M59" s="798"/>
      <c r="N59" s="799" t="str">
        <f t="shared" si="12"/>
        <v>INCLUDED</v>
      </c>
      <c r="O59" s="800">
        <f t="shared" si="14"/>
        <v>0</v>
      </c>
      <c r="P59" s="800">
        <f t="shared" si="15"/>
        <v>0</v>
      </c>
      <c r="Q59" s="800">
        <f>Discount!$H$36</f>
        <v>0</v>
      </c>
      <c r="R59" s="801">
        <f t="shared" si="16"/>
        <v>0</v>
      </c>
      <c r="S59" s="801">
        <f t="shared" si="17"/>
        <v>0</v>
      </c>
      <c r="T59" s="802">
        <f t="shared" si="13"/>
        <v>0</v>
      </c>
    </row>
    <row r="60" spans="1:20" ht="31.2">
      <c r="A60" s="793">
        <v>43</v>
      </c>
      <c r="B60" s="794">
        <v>7000027495</v>
      </c>
      <c r="C60" s="794">
        <v>500</v>
      </c>
      <c r="D60" s="794" t="s">
        <v>521</v>
      </c>
      <c r="E60" s="794">
        <v>1000024159</v>
      </c>
      <c r="F60" s="794">
        <v>72166900</v>
      </c>
      <c r="G60" s="795"/>
      <c r="H60" s="794">
        <v>18</v>
      </c>
      <c r="I60" s="796"/>
      <c r="J60" s="797" t="s">
        <v>549</v>
      </c>
      <c r="K60" s="794" t="s">
        <v>550</v>
      </c>
      <c r="L60" s="794">
        <v>2000</v>
      </c>
      <c r="M60" s="798"/>
      <c r="N60" s="799" t="str">
        <f t="shared" si="12"/>
        <v>INCLUDED</v>
      </c>
      <c r="O60" s="800">
        <f t="shared" si="14"/>
        <v>0</v>
      </c>
      <c r="P60" s="800">
        <f t="shared" si="15"/>
        <v>0</v>
      </c>
      <c r="Q60" s="800">
        <f>Discount!$H$36</f>
        <v>0</v>
      </c>
      <c r="R60" s="801">
        <f t="shared" si="16"/>
        <v>0</v>
      </c>
      <c r="S60" s="801">
        <f t="shared" si="17"/>
        <v>0</v>
      </c>
      <c r="T60" s="802">
        <f t="shared" si="13"/>
        <v>0</v>
      </c>
    </row>
    <row r="61" spans="1:20" ht="31.2">
      <c r="A61" s="793">
        <v>44</v>
      </c>
      <c r="B61" s="794">
        <v>7000027495</v>
      </c>
      <c r="C61" s="794">
        <v>520</v>
      </c>
      <c r="D61" s="794" t="s">
        <v>522</v>
      </c>
      <c r="E61" s="794">
        <v>8000002295</v>
      </c>
      <c r="F61" s="794">
        <v>85389000</v>
      </c>
      <c r="G61" s="795"/>
      <c r="H61" s="794">
        <v>18</v>
      </c>
      <c r="I61" s="796"/>
      <c r="J61" s="797" t="s">
        <v>551</v>
      </c>
      <c r="K61" s="794" t="s">
        <v>478</v>
      </c>
      <c r="L61" s="794">
        <v>1</v>
      </c>
      <c r="M61" s="798"/>
      <c r="N61" s="799" t="str">
        <f t="shared" si="12"/>
        <v>INCLUDED</v>
      </c>
      <c r="O61" s="800">
        <f t="shared" si="14"/>
        <v>0</v>
      </c>
      <c r="P61" s="800">
        <f t="shared" si="15"/>
        <v>0</v>
      </c>
      <c r="Q61" s="800">
        <f>Discount!$H$36</f>
        <v>0</v>
      </c>
      <c r="R61" s="801">
        <f t="shared" si="16"/>
        <v>0</v>
      </c>
      <c r="S61" s="801">
        <f t="shared" si="17"/>
        <v>0</v>
      </c>
      <c r="T61" s="802">
        <f t="shared" si="13"/>
        <v>0</v>
      </c>
    </row>
    <row r="62" spans="1:20" s="789" customFormat="1" ht="33.75" customHeight="1">
      <c r="A62" s="790" t="s">
        <v>67</v>
      </c>
      <c r="B62" s="803" t="s">
        <v>552</v>
      </c>
      <c r="C62" s="803"/>
      <c r="D62" s="803"/>
      <c r="E62" s="792"/>
      <c r="F62" s="792"/>
      <c r="G62" s="792"/>
      <c r="H62" s="792"/>
      <c r="I62" s="792"/>
      <c r="J62" s="792"/>
      <c r="K62" s="792"/>
      <c r="L62" s="792"/>
      <c r="M62" s="792"/>
      <c r="N62" s="792"/>
    </row>
    <row r="63" spans="1:20">
      <c r="A63" s="793">
        <v>1</v>
      </c>
      <c r="B63" s="794">
        <v>7000027494</v>
      </c>
      <c r="C63" s="794">
        <v>10</v>
      </c>
      <c r="D63" s="794" t="s">
        <v>508</v>
      </c>
      <c r="E63" s="794">
        <v>1000060404</v>
      </c>
      <c r="F63" s="794">
        <v>73082011</v>
      </c>
      <c r="G63" s="795"/>
      <c r="H63" s="794">
        <v>18</v>
      </c>
      <c r="I63" s="796"/>
      <c r="J63" s="797" t="s">
        <v>556</v>
      </c>
      <c r="K63" s="794" t="s">
        <v>477</v>
      </c>
      <c r="L63" s="794">
        <v>84</v>
      </c>
      <c r="M63" s="798"/>
      <c r="N63" s="799" t="str">
        <f>IF(M63=0, "INCLUDED", IF(ISERROR(M63*L63), M63, M63*L63))</f>
        <v>INCLUDED</v>
      </c>
      <c r="O63" s="800">
        <f>IF(N63="Included",0,N63)</f>
        <v>0</v>
      </c>
      <c r="P63" s="800">
        <f>IF( I63="",H63*(IF(N63="Included",0,N63))/100,I63*(IF(N63="Included",0,N63)))</f>
        <v>0</v>
      </c>
      <c r="Q63" s="801">
        <f>Discount!$H$36</f>
        <v>0</v>
      </c>
      <c r="R63" s="801">
        <f>Q63*O63</f>
        <v>0</v>
      </c>
      <c r="S63" s="801">
        <f>IF(I63="",H63*R63/100,I63*R63)</f>
        <v>0</v>
      </c>
      <c r="T63" s="802">
        <f>M63*L63</f>
        <v>0</v>
      </c>
    </row>
    <row r="64" spans="1:20" ht="46.8">
      <c r="A64" s="793">
        <v>2</v>
      </c>
      <c r="B64" s="794">
        <v>7000027494</v>
      </c>
      <c r="C64" s="794">
        <v>20</v>
      </c>
      <c r="D64" s="794" t="s">
        <v>509</v>
      </c>
      <c r="E64" s="794">
        <v>1000060407</v>
      </c>
      <c r="F64" s="794">
        <v>76169990</v>
      </c>
      <c r="G64" s="795"/>
      <c r="H64" s="794">
        <v>18</v>
      </c>
      <c r="I64" s="796"/>
      <c r="J64" s="797" t="s">
        <v>557</v>
      </c>
      <c r="K64" s="794" t="s">
        <v>476</v>
      </c>
      <c r="L64" s="794">
        <v>186</v>
      </c>
      <c r="M64" s="798"/>
      <c r="N64" s="799" t="str">
        <f t="shared" ref="N64:N67" si="18">IF(M64=0, "INCLUDED", IF(ISERROR(M64*L64), M64, M64*L64))</f>
        <v>INCLUDED</v>
      </c>
      <c r="O64" s="800">
        <f>IF(N64="Included",0,N64)</f>
        <v>0</v>
      </c>
      <c r="P64" s="800">
        <f>IF( I64="",H64*(IF(N64="Included",0,N64))/100,I64*(IF(N64="Included",0,N64)))</f>
        <v>0</v>
      </c>
      <c r="Q64" s="800">
        <f>Discount!$H$36</f>
        <v>0</v>
      </c>
      <c r="R64" s="801">
        <f>Q64*O64</f>
        <v>0</v>
      </c>
      <c r="S64" s="801">
        <f>IF(I64="",H64*R64/100,I64*R64)</f>
        <v>0</v>
      </c>
      <c r="T64" s="802">
        <f t="shared" ref="T64:T67" si="19">M64*L64</f>
        <v>0</v>
      </c>
    </row>
    <row r="65" spans="1:20">
      <c r="A65" s="793">
        <v>3</v>
      </c>
      <c r="B65" s="794">
        <v>7000027494</v>
      </c>
      <c r="C65" s="794">
        <v>30</v>
      </c>
      <c r="D65" s="794" t="s">
        <v>509</v>
      </c>
      <c r="E65" s="794">
        <v>1000060408</v>
      </c>
      <c r="F65" s="794">
        <v>76169990</v>
      </c>
      <c r="G65" s="795"/>
      <c r="H65" s="794">
        <v>18</v>
      </c>
      <c r="I65" s="796"/>
      <c r="J65" s="797" t="s">
        <v>558</v>
      </c>
      <c r="K65" s="794" t="s">
        <v>476</v>
      </c>
      <c r="L65" s="794">
        <v>30</v>
      </c>
      <c r="M65" s="798"/>
      <c r="N65" s="799" t="str">
        <f t="shared" si="18"/>
        <v>INCLUDED</v>
      </c>
      <c r="O65" s="800">
        <f>IF(N65="Included",0,N65)</f>
        <v>0</v>
      </c>
      <c r="P65" s="800">
        <f>IF( I65="",H65*(IF(N65="Included",0,N65))/100,I65*(IF(N65="Included",0,N65)))</f>
        <v>0</v>
      </c>
      <c r="Q65" s="800">
        <f>Discount!$H$36</f>
        <v>0</v>
      </c>
      <c r="R65" s="801">
        <f>Q65*O65</f>
        <v>0</v>
      </c>
      <c r="S65" s="801">
        <f>IF(I65="",H65*R65/100,I65*R65)</f>
        <v>0</v>
      </c>
      <c r="T65" s="802">
        <f t="shared" si="19"/>
        <v>0</v>
      </c>
    </row>
    <row r="66" spans="1:20">
      <c r="A66" s="793">
        <v>4</v>
      </c>
      <c r="B66" s="794">
        <v>7000027494</v>
      </c>
      <c r="C66" s="794">
        <v>40</v>
      </c>
      <c r="D66" s="794" t="s">
        <v>509</v>
      </c>
      <c r="E66" s="794">
        <v>1000060403</v>
      </c>
      <c r="F66" s="794">
        <v>76149000</v>
      </c>
      <c r="G66" s="795"/>
      <c r="H66" s="794">
        <v>18</v>
      </c>
      <c r="I66" s="796"/>
      <c r="J66" s="797" t="s">
        <v>559</v>
      </c>
      <c r="K66" s="794" t="s">
        <v>476</v>
      </c>
      <c r="L66" s="794">
        <v>192</v>
      </c>
      <c r="M66" s="798"/>
      <c r="N66" s="799" t="str">
        <f t="shared" si="18"/>
        <v>INCLUDED</v>
      </c>
      <c r="O66" s="800">
        <f>IF(N66="Included",0,N66)</f>
        <v>0</v>
      </c>
      <c r="P66" s="800">
        <f>IF( I66="",H66*(IF(N66="Included",0,N66))/100,I66*(IF(N66="Included",0,N66)))</f>
        <v>0</v>
      </c>
      <c r="Q66" s="800">
        <f>Discount!$H$36</f>
        <v>0</v>
      </c>
      <c r="R66" s="801">
        <f>Q66*O66</f>
        <v>0</v>
      </c>
      <c r="S66" s="801">
        <f>IF(I66="",H66*R66/100,I66*R66)</f>
        <v>0</v>
      </c>
      <c r="T66" s="802">
        <f t="shared" si="19"/>
        <v>0</v>
      </c>
    </row>
    <row r="67" spans="1:20">
      <c r="A67" s="793">
        <v>5</v>
      </c>
      <c r="B67" s="794">
        <v>7000027494</v>
      </c>
      <c r="C67" s="794">
        <v>50</v>
      </c>
      <c r="D67" s="794" t="s">
        <v>509</v>
      </c>
      <c r="E67" s="794">
        <v>1000030482</v>
      </c>
      <c r="F67" s="794">
        <v>73082011</v>
      </c>
      <c r="G67" s="795"/>
      <c r="H67" s="794">
        <v>18</v>
      </c>
      <c r="I67" s="796"/>
      <c r="J67" s="797" t="s">
        <v>560</v>
      </c>
      <c r="K67" s="794" t="s">
        <v>479</v>
      </c>
      <c r="L67" s="794">
        <v>186</v>
      </c>
      <c r="M67" s="798"/>
      <c r="N67" s="799" t="str">
        <f t="shared" si="18"/>
        <v>INCLUDED</v>
      </c>
      <c r="O67" s="800">
        <f t="shared" ref="O67" si="20">IF(N67="Included",0,N67)</f>
        <v>0</v>
      </c>
      <c r="P67" s="800">
        <f t="shared" ref="P67" si="21">IF( I67="",H67*(IF(N67="Included",0,N67))/100,I67*(IF(N67="Included",0,N67)))</f>
        <v>0</v>
      </c>
      <c r="Q67" s="800">
        <f>Discount!$H$36</f>
        <v>0</v>
      </c>
      <c r="R67" s="801">
        <f t="shared" ref="R67" si="22">Q67*O67</f>
        <v>0</v>
      </c>
      <c r="S67" s="801">
        <f t="shared" ref="S67" si="23">IF(I67="",H67*R67/100,I67*R67)</f>
        <v>0</v>
      </c>
      <c r="T67" s="802">
        <f t="shared" si="19"/>
        <v>0</v>
      </c>
    </row>
    <row r="68" spans="1:20" ht="31.2">
      <c r="A68" s="793">
        <v>6</v>
      </c>
      <c r="B68" s="794">
        <v>7000027494</v>
      </c>
      <c r="C68" s="794">
        <v>60</v>
      </c>
      <c r="D68" s="794" t="s">
        <v>509</v>
      </c>
      <c r="E68" s="794">
        <v>1000030481</v>
      </c>
      <c r="F68" s="794">
        <v>73082011</v>
      </c>
      <c r="G68" s="795"/>
      <c r="H68" s="794">
        <v>18</v>
      </c>
      <c r="I68" s="796"/>
      <c r="J68" s="797" t="s">
        <v>561</v>
      </c>
      <c r="K68" s="794" t="s">
        <v>479</v>
      </c>
      <c r="L68" s="794">
        <v>30</v>
      </c>
      <c r="M68" s="798"/>
      <c r="N68" s="799" t="str">
        <f>IF(M68=0, "INCLUDED", IF(ISERROR(M68*L68), M68, M68*L68))</f>
        <v>INCLUDED</v>
      </c>
      <c r="O68" s="800">
        <f>IF(N68="Included",0,N68)</f>
        <v>0</v>
      </c>
      <c r="P68" s="800">
        <f>IF( I68="",H68*(IF(N68="Included",0,N68))/100,I68*(IF(N68="Included",0,N68)))</f>
        <v>0</v>
      </c>
      <c r="Q68" s="801">
        <f>Discount!$H$36</f>
        <v>0</v>
      </c>
      <c r="R68" s="801">
        <f>Q68*O68</f>
        <v>0</v>
      </c>
      <c r="S68" s="801">
        <f>IF(I68="",H68*R68/100,I68*R68)</f>
        <v>0</v>
      </c>
      <c r="T68" s="802">
        <f>M68*L68</f>
        <v>0</v>
      </c>
    </row>
    <row r="69" spans="1:20">
      <c r="A69" s="793">
        <v>7</v>
      </c>
      <c r="B69" s="794">
        <v>7000027494</v>
      </c>
      <c r="C69" s="794">
        <v>70</v>
      </c>
      <c r="D69" s="794" t="s">
        <v>509</v>
      </c>
      <c r="E69" s="794">
        <v>1000030483</v>
      </c>
      <c r="F69" s="794">
        <v>73082011</v>
      </c>
      <c r="G69" s="795"/>
      <c r="H69" s="794">
        <v>18</v>
      </c>
      <c r="I69" s="796"/>
      <c r="J69" s="797" t="s">
        <v>562</v>
      </c>
      <c r="K69" s="794" t="s">
        <v>479</v>
      </c>
      <c r="L69" s="794">
        <v>192</v>
      </c>
      <c r="M69" s="798"/>
      <c r="N69" s="799" t="str">
        <f t="shared" ref="N69:N72" si="24">IF(M69=0, "INCLUDED", IF(ISERROR(M69*L69), M69, M69*L69))</f>
        <v>INCLUDED</v>
      </c>
      <c r="O69" s="800">
        <f>IF(N69="Included",0,N69)</f>
        <v>0</v>
      </c>
      <c r="P69" s="800">
        <f>IF( I69="",H69*(IF(N69="Included",0,N69))/100,I69*(IF(N69="Included",0,N69)))</f>
        <v>0</v>
      </c>
      <c r="Q69" s="800">
        <f>Discount!$H$36</f>
        <v>0</v>
      </c>
      <c r="R69" s="801">
        <f>Q69*O69</f>
        <v>0</v>
      </c>
      <c r="S69" s="801">
        <f>IF(I69="",H69*R69/100,I69*R69)</f>
        <v>0</v>
      </c>
      <c r="T69" s="802">
        <f t="shared" ref="T69:T72" si="25">M69*L69</f>
        <v>0</v>
      </c>
    </row>
    <row r="70" spans="1:20">
      <c r="A70" s="793">
        <v>8</v>
      </c>
      <c r="B70" s="794">
        <v>7000027494</v>
      </c>
      <c r="C70" s="794">
        <v>80</v>
      </c>
      <c r="D70" s="794" t="s">
        <v>510</v>
      </c>
      <c r="E70" s="794">
        <v>1000060405</v>
      </c>
      <c r="F70" s="794">
        <v>73082011</v>
      </c>
      <c r="G70" s="795"/>
      <c r="H70" s="794">
        <v>18</v>
      </c>
      <c r="I70" s="796"/>
      <c r="J70" s="797" t="s">
        <v>563</v>
      </c>
      <c r="K70" s="794" t="s">
        <v>476</v>
      </c>
      <c r="L70" s="794">
        <v>37</v>
      </c>
      <c r="M70" s="798"/>
      <c r="N70" s="799" t="str">
        <f t="shared" si="24"/>
        <v>INCLUDED</v>
      </c>
      <c r="O70" s="800">
        <f>IF(N70="Included",0,N70)</f>
        <v>0</v>
      </c>
      <c r="P70" s="800">
        <f>IF( I70="",H70*(IF(N70="Included",0,N70))/100,I70*(IF(N70="Included",0,N70)))</f>
        <v>0</v>
      </c>
      <c r="Q70" s="800">
        <f>Discount!$H$36</f>
        <v>0</v>
      </c>
      <c r="R70" s="801">
        <f>Q70*O70</f>
        <v>0</v>
      </c>
      <c r="S70" s="801">
        <f>IF(I70="",H70*R70/100,I70*R70)</f>
        <v>0</v>
      </c>
      <c r="T70" s="802">
        <f t="shared" si="25"/>
        <v>0</v>
      </c>
    </row>
    <row r="71" spans="1:20">
      <c r="A71" s="793">
        <v>9</v>
      </c>
      <c r="B71" s="794">
        <v>7000027494</v>
      </c>
      <c r="C71" s="794">
        <v>90</v>
      </c>
      <c r="D71" s="794" t="s">
        <v>510</v>
      </c>
      <c r="E71" s="794">
        <v>1000060406</v>
      </c>
      <c r="F71" s="794">
        <v>73082011</v>
      </c>
      <c r="G71" s="795"/>
      <c r="H71" s="794">
        <v>18</v>
      </c>
      <c r="I71" s="796"/>
      <c r="J71" s="797" t="s">
        <v>564</v>
      </c>
      <c r="K71" s="794" t="s">
        <v>476</v>
      </c>
      <c r="L71" s="794">
        <v>11</v>
      </c>
      <c r="M71" s="798"/>
      <c r="N71" s="799" t="str">
        <f t="shared" si="24"/>
        <v>INCLUDED</v>
      </c>
      <c r="O71" s="800">
        <f>IF(N71="Included",0,N71)</f>
        <v>0</v>
      </c>
      <c r="P71" s="800">
        <f>IF( I71="",H71*(IF(N71="Included",0,N71))/100,I71*(IF(N71="Included",0,N71)))</f>
        <v>0</v>
      </c>
      <c r="Q71" s="800">
        <f>Discount!$H$36</f>
        <v>0</v>
      </c>
      <c r="R71" s="801">
        <f>Q71*O71</f>
        <v>0</v>
      </c>
      <c r="S71" s="801">
        <f>IF(I71="",H71*R71/100,I71*R71)</f>
        <v>0</v>
      </c>
      <c r="T71" s="802">
        <f t="shared" si="25"/>
        <v>0</v>
      </c>
    </row>
    <row r="72" spans="1:20">
      <c r="A72" s="793">
        <v>10</v>
      </c>
      <c r="B72" s="794">
        <v>7000027494</v>
      </c>
      <c r="C72" s="794">
        <v>100</v>
      </c>
      <c r="D72" s="794" t="s">
        <v>510</v>
      </c>
      <c r="E72" s="794">
        <v>1000060410</v>
      </c>
      <c r="F72" s="794">
        <v>76169990</v>
      </c>
      <c r="G72" s="795"/>
      <c r="H72" s="794">
        <v>18</v>
      </c>
      <c r="I72" s="796"/>
      <c r="J72" s="797" t="s">
        <v>565</v>
      </c>
      <c r="K72" s="794" t="s">
        <v>476</v>
      </c>
      <c r="L72" s="794">
        <v>756</v>
      </c>
      <c r="M72" s="798"/>
      <c r="N72" s="799" t="str">
        <f t="shared" si="24"/>
        <v>INCLUDED</v>
      </c>
      <c r="O72" s="800">
        <f t="shared" ref="O72" si="26">IF(N72="Included",0,N72)</f>
        <v>0</v>
      </c>
      <c r="P72" s="800">
        <f t="shared" ref="P72" si="27">IF( I72="",H72*(IF(N72="Included",0,N72))/100,I72*(IF(N72="Included",0,N72)))</f>
        <v>0</v>
      </c>
      <c r="Q72" s="800">
        <f>Discount!$H$36</f>
        <v>0</v>
      </c>
      <c r="R72" s="801">
        <f t="shared" ref="R72" si="28">Q72*O72</f>
        <v>0</v>
      </c>
      <c r="S72" s="801">
        <f t="shared" ref="S72" si="29">IF(I72="",H72*R72/100,I72*R72)</f>
        <v>0</v>
      </c>
      <c r="T72" s="802">
        <f t="shared" si="25"/>
        <v>0</v>
      </c>
    </row>
    <row r="73" spans="1:20">
      <c r="A73" s="793">
        <v>11</v>
      </c>
      <c r="B73" s="794">
        <v>7000027494</v>
      </c>
      <c r="C73" s="794">
        <v>140</v>
      </c>
      <c r="D73" s="794" t="s">
        <v>511</v>
      </c>
      <c r="E73" s="794">
        <v>1000060404</v>
      </c>
      <c r="F73" s="794">
        <v>73082011</v>
      </c>
      <c r="G73" s="795"/>
      <c r="H73" s="794">
        <v>18</v>
      </c>
      <c r="I73" s="796"/>
      <c r="J73" s="797" t="s">
        <v>556</v>
      </c>
      <c r="K73" s="794" t="s">
        <v>477</v>
      </c>
      <c r="L73" s="794">
        <v>8</v>
      </c>
      <c r="M73" s="798"/>
      <c r="N73" s="799" t="str">
        <f t="shared" si="0"/>
        <v>INCLUDED</v>
      </c>
      <c r="O73" s="800">
        <f t="shared" si="2"/>
        <v>0</v>
      </c>
      <c r="P73" s="800">
        <f t="shared" si="3"/>
        <v>0</v>
      </c>
      <c r="Q73" s="800">
        <f>Discount!$H$36</f>
        <v>0</v>
      </c>
      <c r="R73" s="801">
        <f t="shared" si="4"/>
        <v>0</v>
      </c>
      <c r="S73" s="801">
        <f t="shared" si="5"/>
        <v>0</v>
      </c>
      <c r="T73" s="802">
        <f t="shared" si="1"/>
        <v>0</v>
      </c>
    </row>
    <row r="74" spans="1:20" ht="46.8">
      <c r="A74" s="793">
        <v>12</v>
      </c>
      <c r="B74" s="794">
        <v>7000027494</v>
      </c>
      <c r="C74" s="794">
        <v>150</v>
      </c>
      <c r="D74" s="794" t="s">
        <v>553</v>
      </c>
      <c r="E74" s="794">
        <v>1000060407</v>
      </c>
      <c r="F74" s="794">
        <v>76169990</v>
      </c>
      <c r="G74" s="795"/>
      <c r="H74" s="794">
        <v>18</v>
      </c>
      <c r="I74" s="796"/>
      <c r="J74" s="797" t="s">
        <v>557</v>
      </c>
      <c r="K74" s="794" t="s">
        <v>476</v>
      </c>
      <c r="L74" s="794">
        <v>12</v>
      </c>
      <c r="M74" s="798"/>
      <c r="N74" s="799" t="str">
        <f t="shared" si="0"/>
        <v>INCLUDED</v>
      </c>
      <c r="O74" s="800">
        <f t="shared" si="2"/>
        <v>0</v>
      </c>
      <c r="P74" s="800">
        <f t="shared" si="3"/>
        <v>0</v>
      </c>
      <c r="Q74" s="800">
        <f>Discount!$H$36</f>
        <v>0</v>
      </c>
      <c r="R74" s="801">
        <f t="shared" si="4"/>
        <v>0</v>
      </c>
      <c r="S74" s="801">
        <f t="shared" si="5"/>
        <v>0</v>
      </c>
      <c r="T74" s="802">
        <f t="shared" si="1"/>
        <v>0</v>
      </c>
    </row>
    <row r="75" spans="1:20" ht="31.2">
      <c r="A75" s="793">
        <v>13</v>
      </c>
      <c r="B75" s="794">
        <v>7000027494</v>
      </c>
      <c r="C75" s="794">
        <v>160</v>
      </c>
      <c r="D75" s="794" t="s">
        <v>553</v>
      </c>
      <c r="E75" s="794">
        <v>1000060408</v>
      </c>
      <c r="F75" s="794">
        <v>76169990</v>
      </c>
      <c r="G75" s="795"/>
      <c r="H75" s="794">
        <v>18</v>
      </c>
      <c r="I75" s="796"/>
      <c r="J75" s="797" t="s">
        <v>558</v>
      </c>
      <c r="K75" s="794" t="s">
        <v>476</v>
      </c>
      <c r="L75" s="794">
        <v>3</v>
      </c>
      <c r="M75" s="798"/>
      <c r="N75" s="799" t="str">
        <f t="shared" si="0"/>
        <v>INCLUDED</v>
      </c>
      <c r="O75" s="800">
        <f t="shared" si="2"/>
        <v>0</v>
      </c>
      <c r="P75" s="800">
        <f t="shared" si="3"/>
        <v>0</v>
      </c>
      <c r="Q75" s="800">
        <f>Discount!$H$36</f>
        <v>0</v>
      </c>
      <c r="R75" s="801">
        <f t="shared" si="4"/>
        <v>0</v>
      </c>
      <c r="S75" s="801">
        <f t="shared" si="5"/>
        <v>0</v>
      </c>
      <c r="T75" s="802">
        <f t="shared" si="1"/>
        <v>0</v>
      </c>
    </row>
    <row r="76" spans="1:20" ht="31.2">
      <c r="A76" s="793">
        <v>14</v>
      </c>
      <c r="B76" s="794">
        <v>7000027494</v>
      </c>
      <c r="C76" s="794">
        <v>170</v>
      </c>
      <c r="D76" s="794" t="s">
        <v>553</v>
      </c>
      <c r="E76" s="794">
        <v>1000060403</v>
      </c>
      <c r="F76" s="794">
        <v>76149000</v>
      </c>
      <c r="G76" s="795"/>
      <c r="H76" s="794">
        <v>18</v>
      </c>
      <c r="I76" s="796"/>
      <c r="J76" s="797" t="s">
        <v>559</v>
      </c>
      <c r="K76" s="794" t="s">
        <v>476</v>
      </c>
      <c r="L76" s="794">
        <v>12</v>
      </c>
      <c r="M76" s="798"/>
      <c r="N76" s="799" t="str">
        <f t="shared" si="0"/>
        <v>INCLUDED</v>
      </c>
      <c r="O76" s="800">
        <f t="shared" si="2"/>
        <v>0</v>
      </c>
      <c r="P76" s="800">
        <f t="shared" si="3"/>
        <v>0</v>
      </c>
      <c r="Q76" s="800">
        <f>Discount!$H$36</f>
        <v>0</v>
      </c>
      <c r="R76" s="801">
        <f t="shared" si="4"/>
        <v>0</v>
      </c>
      <c r="S76" s="801">
        <f t="shared" si="5"/>
        <v>0</v>
      </c>
      <c r="T76" s="802">
        <f t="shared" si="1"/>
        <v>0</v>
      </c>
    </row>
    <row r="77" spans="1:20" ht="31.2">
      <c r="A77" s="793">
        <v>15</v>
      </c>
      <c r="B77" s="794">
        <v>7000027494</v>
      </c>
      <c r="C77" s="794">
        <v>180</v>
      </c>
      <c r="D77" s="794" t="s">
        <v>553</v>
      </c>
      <c r="E77" s="794">
        <v>1000030482</v>
      </c>
      <c r="F77" s="794">
        <v>73082011</v>
      </c>
      <c r="G77" s="795"/>
      <c r="H77" s="794">
        <v>18</v>
      </c>
      <c r="I77" s="796"/>
      <c r="J77" s="797" t="s">
        <v>560</v>
      </c>
      <c r="K77" s="794" t="s">
        <v>479</v>
      </c>
      <c r="L77" s="794">
        <v>4</v>
      </c>
      <c r="M77" s="798"/>
      <c r="N77" s="799" t="str">
        <f t="shared" si="0"/>
        <v>INCLUDED</v>
      </c>
      <c r="O77" s="800">
        <f t="shared" si="2"/>
        <v>0</v>
      </c>
      <c r="P77" s="800">
        <f t="shared" si="3"/>
        <v>0</v>
      </c>
      <c r="Q77" s="800">
        <f>Discount!$H$36</f>
        <v>0</v>
      </c>
      <c r="R77" s="801">
        <f t="shared" si="4"/>
        <v>0</v>
      </c>
      <c r="S77" s="801">
        <f t="shared" si="5"/>
        <v>0</v>
      </c>
      <c r="T77" s="802">
        <f t="shared" si="1"/>
        <v>0</v>
      </c>
    </row>
    <row r="78" spans="1:20" ht="31.2">
      <c r="A78" s="793">
        <v>16</v>
      </c>
      <c r="B78" s="794">
        <v>7000027494</v>
      </c>
      <c r="C78" s="794">
        <v>190</v>
      </c>
      <c r="D78" s="794" t="s">
        <v>553</v>
      </c>
      <c r="E78" s="794">
        <v>1000030481</v>
      </c>
      <c r="F78" s="794">
        <v>73082011</v>
      </c>
      <c r="G78" s="795"/>
      <c r="H78" s="794">
        <v>18</v>
      </c>
      <c r="I78" s="796"/>
      <c r="J78" s="797" t="s">
        <v>561</v>
      </c>
      <c r="K78" s="794" t="s">
        <v>479</v>
      </c>
      <c r="L78" s="794">
        <v>1</v>
      </c>
      <c r="M78" s="798"/>
      <c r="N78" s="799" t="str">
        <f t="shared" si="0"/>
        <v>INCLUDED</v>
      </c>
      <c r="O78" s="800">
        <f t="shared" si="2"/>
        <v>0</v>
      </c>
      <c r="P78" s="800">
        <f t="shared" si="3"/>
        <v>0</v>
      </c>
      <c r="Q78" s="800">
        <f>Discount!$H$36</f>
        <v>0</v>
      </c>
      <c r="R78" s="801">
        <f t="shared" si="4"/>
        <v>0</v>
      </c>
      <c r="S78" s="801">
        <f t="shared" si="5"/>
        <v>0</v>
      </c>
      <c r="T78" s="802">
        <f t="shared" si="1"/>
        <v>0</v>
      </c>
    </row>
    <row r="79" spans="1:20" ht="31.2">
      <c r="A79" s="793">
        <v>17</v>
      </c>
      <c r="B79" s="794">
        <v>7000027494</v>
      </c>
      <c r="C79" s="794">
        <v>200</v>
      </c>
      <c r="D79" s="794" t="s">
        <v>553</v>
      </c>
      <c r="E79" s="794">
        <v>1000030483</v>
      </c>
      <c r="F79" s="794">
        <v>73082011</v>
      </c>
      <c r="G79" s="795"/>
      <c r="H79" s="794">
        <v>18</v>
      </c>
      <c r="I79" s="796"/>
      <c r="J79" s="797" t="s">
        <v>562</v>
      </c>
      <c r="K79" s="794" t="s">
        <v>479</v>
      </c>
      <c r="L79" s="794">
        <v>4</v>
      </c>
      <c r="M79" s="798"/>
      <c r="N79" s="799" t="str">
        <f t="shared" si="0"/>
        <v>INCLUDED</v>
      </c>
      <c r="O79" s="800">
        <f t="shared" si="2"/>
        <v>0</v>
      </c>
      <c r="P79" s="800">
        <f t="shared" si="3"/>
        <v>0</v>
      </c>
      <c r="Q79" s="800">
        <f>Discount!$H$36</f>
        <v>0</v>
      </c>
      <c r="R79" s="801">
        <f t="shared" si="4"/>
        <v>0</v>
      </c>
      <c r="S79" s="801">
        <f t="shared" si="5"/>
        <v>0</v>
      </c>
      <c r="T79" s="802">
        <f t="shared" si="1"/>
        <v>0</v>
      </c>
    </row>
    <row r="80" spans="1:20" ht="31.2">
      <c r="A80" s="793">
        <v>18</v>
      </c>
      <c r="B80" s="794">
        <v>7000027494</v>
      </c>
      <c r="C80" s="794">
        <v>210</v>
      </c>
      <c r="D80" s="794" t="s">
        <v>513</v>
      </c>
      <c r="E80" s="794">
        <v>1000060405</v>
      </c>
      <c r="F80" s="794">
        <v>73082011</v>
      </c>
      <c r="G80" s="795"/>
      <c r="H80" s="794">
        <v>18</v>
      </c>
      <c r="I80" s="796"/>
      <c r="J80" s="797" t="s">
        <v>563</v>
      </c>
      <c r="K80" s="794" t="s">
        <v>476</v>
      </c>
      <c r="L80" s="794">
        <v>25</v>
      </c>
      <c r="M80" s="798"/>
      <c r="N80" s="799" t="str">
        <f t="shared" si="0"/>
        <v>INCLUDED</v>
      </c>
      <c r="O80" s="800">
        <f t="shared" si="2"/>
        <v>0</v>
      </c>
      <c r="P80" s="800">
        <f t="shared" si="3"/>
        <v>0</v>
      </c>
      <c r="Q80" s="800">
        <f>Discount!$H$36</f>
        <v>0</v>
      </c>
      <c r="R80" s="801">
        <f t="shared" si="4"/>
        <v>0</v>
      </c>
      <c r="S80" s="801">
        <f t="shared" si="5"/>
        <v>0</v>
      </c>
      <c r="T80" s="802">
        <f t="shared" si="1"/>
        <v>0</v>
      </c>
    </row>
    <row r="81" spans="1:20" ht="31.2">
      <c r="A81" s="793">
        <v>19</v>
      </c>
      <c r="B81" s="794">
        <v>7000027494</v>
      </c>
      <c r="C81" s="794">
        <v>220</v>
      </c>
      <c r="D81" s="794" t="s">
        <v>513</v>
      </c>
      <c r="E81" s="794">
        <v>1000060406</v>
      </c>
      <c r="F81" s="794">
        <v>73082011</v>
      </c>
      <c r="G81" s="795"/>
      <c r="H81" s="794">
        <v>18</v>
      </c>
      <c r="I81" s="796"/>
      <c r="J81" s="797" t="s">
        <v>564</v>
      </c>
      <c r="K81" s="794" t="s">
        <v>476</v>
      </c>
      <c r="L81" s="794">
        <v>25</v>
      </c>
      <c r="M81" s="798"/>
      <c r="N81" s="799" t="str">
        <f t="shared" si="0"/>
        <v>INCLUDED</v>
      </c>
      <c r="O81" s="800">
        <f t="shared" si="2"/>
        <v>0</v>
      </c>
      <c r="P81" s="800">
        <f t="shared" si="3"/>
        <v>0</v>
      </c>
      <c r="Q81" s="800">
        <f>Discount!$H$36</f>
        <v>0</v>
      </c>
      <c r="R81" s="801">
        <f t="shared" si="4"/>
        <v>0</v>
      </c>
      <c r="S81" s="801">
        <f t="shared" si="5"/>
        <v>0</v>
      </c>
      <c r="T81" s="802">
        <f t="shared" si="1"/>
        <v>0</v>
      </c>
    </row>
    <row r="82" spans="1:20" ht="31.2">
      <c r="A82" s="793">
        <v>20</v>
      </c>
      <c r="B82" s="794">
        <v>7000027494</v>
      </c>
      <c r="C82" s="794">
        <v>230</v>
      </c>
      <c r="D82" s="794" t="s">
        <v>513</v>
      </c>
      <c r="E82" s="794">
        <v>1000060410</v>
      </c>
      <c r="F82" s="794">
        <v>76169990</v>
      </c>
      <c r="G82" s="795"/>
      <c r="H82" s="794">
        <v>18</v>
      </c>
      <c r="I82" s="796"/>
      <c r="J82" s="797" t="s">
        <v>565</v>
      </c>
      <c r="K82" s="794" t="s">
        <v>476</v>
      </c>
      <c r="L82" s="794">
        <v>48</v>
      </c>
      <c r="M82" s="798"/>
      <c r="N82" s="799" t="str">
        <f t="shared" si="0"/>
        <v>INCLUDED</v>
      </c>
      <c r="O82" s="800">
        <f t="shared" si="2"/>
        <v>0</v>
      </c>
      <c r="P82" s="800">
        <f t="shared" si="3"/>
        <v>0</v>
      </c>
      <c r="Q82" s="800">
        <f>Discount!$H$36</f>
        <v>0</v>
      </c>
      <c r="R82" s="801">
        <f t="shared" si="4"/>
        <v>0</v>
      </c>
      <c r="S82" s="801">
        <f t="shared" si="5"/>
        <v>0</v>
      </c>
      <c r="T82" s="802">
        <f t="shared" si="1"/>
        <v>0</v>
      </c>
    </row>
    <row r="83" spans="1:20" ht="31.2">
      <c r="A83" s="793">
        <v>21</v>
      </c>
      <c r="B83" s="794">
        <v>7000027494</v>
      </c>
      <c r="C83" s="794">
        <v>240</v>
      </c>
      <c r="D83" s="794" t="s">
        <v>554</v>
      </c>
      <c r="E83" s="794">
        <v>1000013391</v>
      </c>
      <c r="F83" s="794">
        <v>73082011</v>
      </c>
      <c r="G83" s="795"/>
      <c r="H83" s="794">
        <v>18</v>
      </c>
      <c r="I83" s="796"/>
      <c r="J83" s="797" t="s">
        <v>566</v>
      </c>
      <c r="K83" s="794" t="s">
        <v>480</v>
      </c>
      <c r="L83" s="794">
        <v>12</v>
      </c>
      <c r="M83" s="798"/>
      <c r="N83" s="799" t="str">
        <f t="shared" si="0"/>
        <v>INCLUDED</v>
      </c>
      <c r="O83" s="800">
        <f t="shared" si="2"/>
        <v>0</v>
      </c>
      <c r="P83" s="800">
        <f t="shared" si="3"/>
        <v>0</v>
      </c>
      <c r="Q83" s="800">
        <f>Discount!$H$36</f>
        <v>0</v>
      </c>
      <c r="R83" s="801">
        <f t="shared" si="4"/>
        <v>0</v>
      </c>
      <c r="S83" s="801">
        <f t="shared" si="5"/>
        <v>0</v>
      </c>
      <c r="T83" s="802">
        <f t="shared" si="1"/>
        <v>0</v>
      </c>
    </row>
    <row r="84" spans="1:20" ht="31.2">
      <c r="A84" s="793">
        <v>22</v>
      </c>
      <c r="B84" s="794">
        <v>7000027494</v>
      </c>
      <c r="C84" s="794">
        <v>250</v>
      </c>
      <c r="D84" s="794" t="s">
        <v>554</v>
      </c>
      <c r="E84" s="794">
        <v>1000015274</v>
      </c>
      <c r="F84" s="794">
        <v>73082011</v>
      </c>
      <c r="G84" s="795"/>
      <c r="H84" s="794">
        <v>18</v>
      </c>
      <c r="I84" s="796"/>
      <c r="J84" s="797" t="s">
        <v>567</v>
      </c>
      <c r="K84" s="794" t="s">
        <v>480</v>
      </c>
      <c r="L84" s="794">
        <v>16</v>
      </c>
      <c r="M84" s="798"/>
      <c r="N84" s="799" t="str">
        <f t="shared" si="0"/>
        <v>INCLUDED</v>
      </c>
      <c r="O84" s="800">
        <f t="shared" si="2"/>
        <v>0</v>
      </c>
      <c r="P84" s="800">
        <f>IF( I84="",H84*(IF(N84="Included",0,N84))/100,I84*(IF(N84="Included",0,N84)))</f>
        <v>0</v>
      </c>
      <c r="Q84" s="800">
        <f>Discount!$H$36</f>
        <v>0</v>
      </c>
      <c r="R84" s="801">
        <f t="shared" si="4"/>
        <v>0</v>
      </c>
      <c r="S84" s="801">
        <f t="shared" si="5"/>
        <v>0</v>
      </c>
      <c r="T84" s="802">
        <f t="shared" si="1"/>
        <v>0</v>
      </c>
    </row>
    <row r="85" spans="1:20">
      <c r="A85" s="793">
        <v>23</v>
      </c>
      <c r="B85" s="794">
        <v>7000027494</v>
      </c>
      <c r="C85" s="794">
        <v>260</v>
      </c>
      <c r="D85" s="794" t="s">
        <v>554</v>
      </c>
      <c r="E85" s="794">
        <v>1000013472</v>
      </c>
      <c r="F85" s="794">
        <v>73181500</v>
      </c>
      <c r="G85" s="795"/>
      <c r="H85" s="794">
        <v>18</v>
      </c>
      <c r="I85" s="796"/>
      <c r="J85" s="797" t="s">
        <v>535</v>
      </c>
      <c r="K85" s="794" t="s">
        <v>480</v>
      </c>
      <c r="L85" s="794">
        <v>2.5</v>
      </c>
      <c r="M85" s="798"/>
      <c r="N85" s="799" t="str">
        <f t="shared" si="0"/>
        <v>INCLUDED</v>
      </c>
      <c r="O85" s="800">
        <f t="shared" si="2"/>
        <v>0</v>
      </c>
      <c r="P85" s="800">
        <f>IF( I85="",H85*(IF(N85="Included",0,N85))/100,I85*(IF(N85="Included",0,N85)))</f>
        <v>0</v>
      </c>
      <c r="Q85" s="800">
        <f>Discount!$H$36</f>
        <v>0</v>
      </c>
      <c r="R85" s="801">
        <f t="shared" si="4"/>
        <v>0</v>
      </c>
      <c r="S85" s="801">
        <f t="shared" si="5"/>
        <v>0</v>
      </c>
      <c r="T85" s="802">
        <f t="shared" si="1"/>
        <v>0</v>
      </c>
    </row>
    <row r="86" spans="1:20" ht="31.2">
      <c r="A86" s="793">
        <v>24</v>
      </c>
      <c r="B86" s="794">
        <v>7000027494</v>
      </c>
      <c r="C86" s="794">
        <v>270</v>
      </c>
      <c r="D86" s="794" t="s">
        <v>554</v>
      </c>
      <c r="E86" s="794">
        <v>1000013393</v>
      </c>
      <c r="F86" s="794">
        <v>73082011</v>
      </c>
      <c r="G86" s="795"/>
      <c r="H86" s="794">
        <v>18</v>
      </c>
      <c r="I86" s="796"/>
      <c r="J86" s="797" t="s">
        <v>568</v>
      </c>
      <c r="K86" s="794" t="s">
        <v>480</v>
      </c>
      <c r="L86" s="794">
        <v>1.1000000000000001</v>
      </c>
      <c r="M86" s="798"/>
      <c r="N86" s="799" t="str">
        <f t="shared" si="0"/>
        <v>INCLUDED</v>
      </c>
      <c r="O86" s="800">
        <f t="shared" si="2"/>
        <v>0</v>
      </c>
      <c r="P86" s="800">
        <f t="shared" si="3"/>
        <v>0</v>
      </c>
      <c r="Q86" s="800">
        <f>Discount!$H$36</f>
        <v>0</v>
      </c>
      <c r="R86" s="801">
        <f t="shared" si="4"/>
        <v>0</v>
      </c>
      <c r="S86" s="801">
        <f t="shared" si="5"/>
        <v>0</v>
      </c>
      <c r="T86" s="802">
        <f t="shared" si="1"/>
        <v>0</v>
      </c>
    </row>
    <row r="87" spans="1:20" ht="31.2">
      <c r="A87" s="793">
        <v>25</v>
      </c>
      <c r="B87" s="794">
        <v>7000027494</v>
      </c>
      <c r="C87" s="794">
        <v>280</v>
      </c>
      <c r="D87" s="794" t="s">
        <v>554</v>
      </c>
      <c r="E87" s="794">
        <v>1000015276</v>
      </c>
      <c r="F87" s="794">
        <v>73082011</v>
      </c>
      <c r="G87" s="795"/>
      <c r="H87" s="794">
        <v>18</v>
      </c>
      <c r="I87" s="796"/>
      <c r="J87" s="797" t="s">
        <v>569</v>
      </c>
      <c r="K87" s="794" t="s">
        <v>480</v>
      </c>
      <c r="L87" s="794">
        <v>0.1</v>
      </c>
      <c r="M87" s="798"/>
      <c r="N87" s="799" t="str">
        <f t="shared" ref="N87:N93" si="30">IF(M87=0, "INCLUDED", IF(ISERROR(M87*L87), M87, M87*L87))</f>
        <v>INCLUDED</v>
      </c>
      <c r="O87" s="800">
        <f t="shared" ref="O87:O93" si="31">IF(N87="Included",0,N87)</f>
        <v>0</v>
      </c>
      <c r="P87" s="800">
        <f t="shared" ref="P87:P93" si="32">IF( I87="",H87*(IF(N87="Included",0,N87))/100,I87*(IF(N87="Included",0,N87)))</f>
        <v>0</v>
      </c>
      <c r="Q87" s="800">
        <f>Discount!$H$36</f>
        <v>0</v>
      </c>
      <c r="R87" s="801">
        <f t="shared" ref="R87:R93" si="33">Q87*O87</f>
        <v>0</v>
      </c>
      <c r="S87" s="801">
        <f t="shared" ref="S87:S93" si="34">IF(I87="",H87*R87/100,I87*R87)</f>
        <v>0</v>
      </c>
      <c r="T87" s="802">
        <f t="shared" si="1"/>
        <v>0</v>
      </c>
    </row>
    <row r="88" spans="1:20">
      <c r="A88" s="793">
        <v>26</v>
      </c>
      <c r="B88" s="794">
        <v>7000027494</v>
      </c>
      <c r="C88" s="794">
        <v>290</v>
      </c>
      <c r="D88" s="794" t="s">
        <v>554</v>
      </c>
      <c r="E88" s="794">
        <v>1000007847</v>
      </c>
      <c r="F88" s="794">
        <v>73181500</v>
      </c>
      <c r="G88" s="795"/>
      <c r="H88" s="794">
        <v>18</v>
      </c>
      <c r="I88" s="796"/>
      <c r="J88" s="797" t="s">
        <v>570</v>
      </c>
      <c r="K88" s="794" t="s">
        <v>480</v>
      </c>
      <c r="L88" s="794">
        <v>0.1</v>
      </c>
      <c r="M88" s="798"/>
      <c r="N88" s="799" t="str">
        <f t="shared" si="30"/>
        <v>INCLUDED</v>
      </c>
      <c r="O88" s="800">
        <f t="shared" si="31"/>
        <v>0</v>
      </c>
      <c r="P88" s="800">
        <f t="shared" si="32"/>
        <v>0</v>
      </c>
      <c r="Q88" s="800">
        <f>Discount!$H$36</f>
        <v>0</v>
      </c>
      <c r="R88" s="801">
        <f t="shared" si="33"/>
        <v>0</v>
      </c>
      <c r="S88" s="801">
        <f t="shared" si="34"/>
        <v>0</v>
      </c>
      <c r="T88" s="802">
        <f t="shared" ref="T88:T93" si="35">M88*L88</f>
        <v>0</v>
      </c>
    </row>
    <row r="89" spans="1:20">
      <c r="A89" s="793">
        <v>27</v>
      </c>
      <c r="B89" s="794">
        <v>7000027494</v>
      </c>
      <c r="C89" s="794">
        <v>300</v>
      </c>
      <c r="D89" s="794" t="s">
        <v>554</v>
      </c>
      <c r="E89" s="794">
        <v>1000064591</v>
      </c>
      <c r="F89" s="794">
        <v>73082011</v>
      </c>
      <c r="G89" s="795"/>
      <c r="H89" s="794">
        <v>18</v>
      </c>
      <c r="I89" s="796"/>
      <c r="J89" s="797" t="s">
        <v>487</v>
      </c>
      <c r="K89" s="794" t="s">
        <v>480</v>
      </c>
      <c r="L89" s="794">
        <v>6</v>
      </c>
      <c r="M89" s="798"/>
      <c r="N89" s="799" t="str">
        <f t="shared" si="30"/>
        <v>INCLUDED</v>
      </c>
      <c r="O89" s="800">
        <f t="shared" si="31"/>
        <v>0</v>
      </c>
      <c r="P89" s="800">
        <f t="shared" si="32"/>
        <v>0</v>
      </c>
      <c r="Q89" s="800">
        <f>Discount!$H$36</f>
        <v>0</v>
      </c>
      <c r="R89" s="801">
        <f t="shared" si="33"/>
        <v>0</v>
      </c>
      <c r="S89" s="801">
        <f t="shared" si="34"/>
        <v>0</v>
      </c>
      <c r="T89" s="802">
        <f t="shared" si="35"/>
        <v>0</v>
      </c>
    </row>
    <row r="90" spans="1:20">
      <c r="A90" s="793">
        <v>28</v>
      </c>
      <c r="B90" s="794">
        <v>7000027494</v>
      </c>
      <c r="C90" s="794">
        <v>310</v>
      </c>
      <c r="D90" s="794" t="s">
        <v>554</v>
      </c>
      <c r="E90" s="794">
        <v>1000064591</v>
      </c>
      <c r="F90" s="794">
        <v>73082011</v>
      </c>
      <c r="G90" s="795"/>
      <c r="H90" s="794">
        <v>18</v>
      </c>
      <c r="I90" s="796"/>
      <c r="J90" s="797" t="s">
        <v>487</v>
      </c>
      <c r="K90" s="794" t="s">
        <v>480</v>
      </c>
      <c r="L90" s="794">
        <v>9</v>
      </c>
      <c r="M90" s="798"/>
      <c r="N90" s="799" t="str">
        <f t="shared" si="30"/>
        <v>INCLUDED</v>
      </c>
      <c r="O90" s="800">
        <f t="shared" si="31"/>
        <v>0</v>
      </c>
      <c r="P90" s="800">
        <f t="shared" si="32"/>
        <v>0</v>
      </c>
      <c r="Q90" s="800">
        <f>Discount!$H$36</f>
        <v>0</v>
      </c>
      <c r="R90" s="801">
        <f t="shared" si="33"/>
        <v>0</v>
      </c>
      <c r="S90" s="801">
        <f t="shared" si="34"/>
        <v>0</v>
      </c>
      <c r="T90" s="802">
        <f t="shared" si="35"/>
        <v>0</v>
      </c>
    </row>
    <row r="91" spans="1:20">
      <c r="A91" s="793">
        <v>29</v>
      </c>
      <c r="B91" s="794">
        <v>7000027494</v>
      </c>
      <c r="C91" s="794">
        <v>330</v>
      </c>
      <c r="D91" s="794" t="s">
        <v>515</v>
      </c>
      <c r="E91" s="794">
        <v>1000019718</v>
      </c>
      <c r="F91" s="794">
        <v>73082011</v>
      </c>
      <c r="G91" s="795"/>
      <c r="H91" s="794">
        <v>18</v>
      </c>
      <c r="I91" s="796"/>
      <c r="J91" s="797" t="s">
        <v>536</v>
      </c>
      <c r="K91" s="794" t="s">
        <v>476</v>
      </c>
      <c r="L91" s="794">
        <v>2</v>
      </c>
      <c r="M91" s="798"/>
      <c r="N91" s="799" t="str">
        <f t="shared" si="30"/>
        <v>INCLUDED</v>
      </c>
      <c r="O91" s="800">
        <f t="shared" si="31"/>
        <v>0</v>
      </c>
      <c r="P91" s="800">
        <f t="shared" si="32"/>
        <v>0</v>
      </c>
      <c r="Q91" s="800">
        <f>Discount!$H$36</f>
        <v>0</v>
      </c>
      <c r="R91" s="801">
        <f t="shared" si="33"/>
        <v>0</v>
      </c>
      <c r="S91" s="801">
        <f t="shared" si="34"/>
        <v>0</v>
      </c>
      <c r="T91" s="802">
        <f t="shared" si="35"/>
        <v>0</v>
      </c>
    </row>
    <row r="92" spans="1:20" ht="31.2">
      <c r="A92" s="793">
        <v>30</v>
      </c>
      <c r="B92" s="794">
        <v>7000027494</v>
      </c>
      <c r="C92" s="794">
        <v>350</v>
      </c>
      <c r="D92" s="794" t="s">
        <v>516</v>
      </c>
      <c r="E92" s="794">
        <v>1000009322</v>
      </c>
      <c r="F92" s="794">
        <v>85469090</v>
      </c>
      <c r="G92" s="795"/>
      <c r="H92" s="794">
        <v>18</v>
      </c>
      <c r="I92" s="796"/>
      <c r="J92" s="797" t="s">
        <v>571</v>
      </c>
      <c r="K92" s="794" t="s">
        <v>476</v>
      </c>
      <c r="L92" s="794">
        <v>408</v>
      </c>
      <c r="M92" s="798"/>
      <c r="N92" s="799" t="str">
        <f t="shared" si="30"/>
        <v>INCLUDED</v>
      </c>
      <c r="O92" s="800">
        <f t="shared" si="31"/>
        <v>0</v>
      </c>
      <c r="P92" s="800">
        <f t="shared" si="32"/>
        <v>0</v>
      </c>
      <c r="Q92" s="800">
        <f>Discount!$H$36</f>
        <v>0</v>
      </c>
      <c r="R92" s="801">
        <f t="shared" si="33"/>
        <v>0</v>
      </c>
      <c r="S92" s="801">
        <f t="shared" si="34"/>
        <v>0</v>
      </c>
      <c r="T92" s="802">
        <f t="shared" si="35"/>
        <v>0</v>
      </c>
    </row>
    <row r="93" spans="1:20">
      <c r="A93" s="793">
        <v>31</v>
      </c>
      <c r="B93" s="794">
        <v>7000027494</v>
      </c>
      <c r="C93" s="794">
        <v>360</v>
      </c>
      <c r="D93" s="794" t="s">
        <v>517</v>
      </c>
      <c r="E93" s="794">
        <v>1000009322</v>
      </c>
      <c r="F93" s="794">
        <v>85469090</v>
      </c>
      <c r="G93" s="795"/>
      <c r="H93" s="794">
        <v>18</v>
      </c>
      <c r="I93" s="796"/>
      <c r="J93" s="797" t="s">
        <v>571</v>
      </c>
      <c r="K93" s="794" t="s">
        <v>476</v>
      </c>
      <c r="L93" s="794">
        <v>41</v>
      </c>
      <c r="M93" s="798"/>
      <c r="N93" s="799" t="str">
        <f t="shared" si="30"/>
        <v>INCLUDED</v>
      </c>
      <c r="O93" s="800">
        <f t="shared" si="31"/>
        <v>0</v>
      </c>
      <c r="P93" s="800">
        <f t="shared" si="32"/>
        <v>0</v>
      </c>
      <c r="Q93" s="800">
        <f>Discount!$H$36</f>
        <v>0</v>
      </c>
      <c r="R93" s="801">
        <f t="shared" si="33"/>
        <v>0</v>
      </c>
      <c r="S93" s="801">
        <f t="shared" si="34"/>
        <v>0</v>
      </c>
      <c r="T93" s="802">
        <f t="shared" si="35"/>
        <v>0</v>
      </c>
    </row>
    <row r="94" spans="1:20" ht="31.2">
      <c r="A94" s="793">
        <v>32</v>
      </c>
      <c r="B94" s="794">
        <v>7000027494</v>
      </c>
      <c r="C94" s="794">
        <v>370</v>
      </c>
      <c r="D94" s="794" t="s">
        <v>555</v>
      </c>
      <c r="E94" s="794">
        <v>1000060404</v>
      </c>
      <c r="F94" s="794">
        <v>73082011</v>
      </c>
      <c r="G94" s="795"/>
      <c r="H94" s="794">
        <v>18</v>
      </c>
      <c r="I94" s="796"/>
      <c r="J94" s="797" t="s">
        <v>556</v>
      </c>
      <c r="K94" s="794" t="s">
        <v>477</v>
      </c>
      <c r="L94" s="794">
        <v>0.75</v>
      </c>
      <c r="M94" s="798"/>
      <c r="N94" s="799" t="str">
        <f t="shared" ref="N94:N95" si="36">IF(M94=0, "INCLUDED", IF(ISERROR(M94*L94), M94, M94*L94))</f>
        <v>INCLUDED</v>
      </c>
      <c r="O94" s="800">
        <f>IF(N94="Included",0,N94)</f>
        <v>0</v>
      </c>
      <c r="P94" s="800">
        <f>IF( I94="",H94*(IF(N94="Included",0,N94))/100,I94*(IF(N94="Included",0,N94)))</f>
        <v>0</v>
      </c>
      <c r="Q94" s="800">
        <f>Discount!$H$36</f>
        <v>0</v>
      </c>
      <c r="R94" s="801">
        <f>Q94*O94</f>
        <v>0</v>
      </c>
      <c r="S94" s="801">
        <f>IF(I94="",H94*R94/100,I94*R94)</f>
        <v>0</v>
      </c>
      <c r="T94" s="802">
        <f t="shared" ref="T94:T95" si="37">M94*L94</f>
        <v>0</v>
      </c>
    </row>
    <row r="95" spans="1:20" ht="31.2">
      <c r="A95" s="793">
        <v>33</v>
      </c>
      <c r="B95" s="794">
        <v>7000027494</v>
      </c>
      <c r="C95" s="794">
        <v>420</v>
      </c>
      <c r="D95" s="794" t="s">
        <v>522</v>
      </c>
      <c r="E95" s="794">
        <v>8000002295</v>
      </c>
      <c r="F95" s="794">
        <v>85389000</v>
      </c>
      <c r="G95" s="795"/>
      <c r="H95" s="794">
        <v>18</v>
      </c>
      <c r="I95" s="796"/>
      <c r="J95" s="797" t="s">
        <v>551</v>
      </c>
      <c r="K95" s="794" t="s">
        <v>478</v>
      </c>
      <c r="L95" s="794">
        <v>1</v>
      </c>
      <c r="M95" s="798"/>
      <c r="N95" s="799" t="str">
        <f t="shared" si="36"/>
        <v>INCLUDED</v>
      </c>
      <c r="O95" s="800">
        <f t="shared" ref="O95" si="38">IF(N95="Included",0,N95)</f>
        <v>0</v>
      </c>
      <c r="P95" s="800">
        <f t="shared" ref="P95" si="39">IF( I95="",H95*(IF(N95="Included",0,N95))/100,I95*(IF(N95="Included",0,N95)))</f>
        <v>0</v>
      </c>
      <c r="Q95" s="800">
        <f>Discount!$H$36</f>
        <v>0</v>
      </c>
      <c r="R95" s="801">
        <f t="shared" ref="R95" si="40">Q95*O95</f>
        <v>0</v>
      </c>
      <c r="S95" s="801">
        <f t="shared" ref="S95" si="41">IF(I95="",H95*R95/100,I95*R95)</f>
        <v>0</v>
      </c>
      <c r="T95" s="802">
        <f t="shared" si="37"/>
        <v>0</v>
      </c>
    </row>
    <row r="96" spans="1:20" ht="34.5" customHeight="1">
      <c r="A96" s="804"/>
      <c r="B96" s="804"/>
      <c r="C96" s="804"/>
      <c r="D96" s="804"/>
      <c r="E96" s="804"/>
      <c r="F96" s="804"/>
      <c r="G96" s="804"/>
      <c r="H96" s="804"/>
      <c r="I96" s="804"/>
      <c r="J96" s="804"/>
      <c r="K96" s="804"/>
      <c r="L96" s="804"/>
      <c r="M96" s="804"/>
      <c r="N96" s="804"/>
      <c r="O96" s="800"/>
      <c r="P96" s="800"/>
      <c r="Q96" s="800"/>
      <c r="R96" s="801"/>
      <c r="S96" s="801"/>
      <c r="T96" s="802"/>
    </row>
    <row r="97" spans="1:20" ht="16.5" customHeight="1">
      <c r="A97" s="805" t="s">
        <v>461</v>
      </c>
      <c r="B97" s="805"/>
      <c r="C97" s="805"/>
      <c r="D97" s="805"/>
      <c r="E97" s="805"/>
      <c r="F97" s="805"/>
      <c r="G97" s="805"/>
      <c r="H97" s="805"/>
      <c r="I97" s="805"/>
      <c r="J97" s="805"/>
      <c r="K97" s="805"/>
      <c r="L97" s="805"/>
      <c r="M97" s="805"/>
      <c r="N97" s="806">
        <f>SUM(N18:N95)</f>
        <v>0</v>
      </c>
      <c r="O97" s="807"/>
      <c r="P97" s="808">
        <f>SUM(P18:P95)</f>
        <v>0</v>
      </c>
      <c r="Q97" s="809"/>
      <c r="R97" s="810">
        <f>SUM(R18:R95)</f>
        <v>0</v>
      </c>
      <c r="S97" s="811">
        <f>SUM(S18:S95)</f>
        <v>0</v>
      </c>
      <c r="T97" s="802">
        <f>SUM(T18:T95)</f>
        <v>0</v>
      </c>
    </row>
    <row r="98" spans="1:20">
      <c r="A98" s="805" t="s">
        <v>264</v>
      </c>
      <c r="B98" s="805"/>
      <c r="C98" s="805"/>
      <c r="D98" s="805"/>
      <c r="E98" s="805"/>
      <c r="F98" s="805"/>
      <c r="G98" s="805"/>
      <c r="H98" s="805"/>
      <c r="I98" s="805"/>
      <c r="J98" s="805"/>
      <c r="K98" s="805"/>
      <c r="L98" s="805"/>
      <c r="M98" s="805"/>
      <c r="N98" s="806">
        <f>'Sch-7'!M18</f>
        <v>0</v>
      </c>
      <c r="Q98" s="812"/>
      <c r="R98" s="812"/>
      <c r="S98" s="812"/>
    </row>
    <row r="99" spans="1:20">
      <c r="A99" s="813" t="s">
        <v>462</v>
      </c>
      <c r="B99" s="813"/>
      <c r="C99" s="813"/>
      <c r="D99" s="813"/>
      <c r="E99" s="813"/>
      <c r="F99" s="813"/>
      <c r="G99" s="813"/>
      <c r="H99" s="813"/>
      <c r="I99" s="813"/>
      <c r="J99" s="813"/>
      <c r="K99" s="813"/>
      <c r="L99" s="813"/>
      <c r="M99" s="813"/>
      <c r="N99" s="814">
        <f>N97+N98</f>
        <v>0</v>
      </c>
      <c r="Q99" s="812"/>
      <c r="R99" s="812"/>
      <c r="S99" s="812"/>
    </row>
    <row r="100" spans="1:20" ht="32.25" customHeight="1">
      <c r="A100" s="815"/>
      <c r="B100" s="816" t="s">
        <v>301</v>
      </c>
      <c r="C100" s="816"/>
      <c r="D100" s="816"/>
      <c r="E100" s="816"/>
      <c r="F100" s="816"/>
      <c r="G100" s="816"/>
      <c r="H100" s="816"/>
      <c r="I100" s="816"/>
      <c r="J100" s="816"/>
      <c r="K100" s="816"/>
      <c r="L100" s="816"/>
      <c r="M100" s="816"/>
      <c r="N100" s="817"/>
      <c r="Q100" s="812"/>
      <c r="R100" s="812"/>
      <c r="S100" s="812"/>
    </row>
    <row r="101" spans="1:20">
      <c r="O101" s="812"/>
      <c r="P101" s="812"/>
      <c r="Q101" s="812"/>
      <c r="R101" s="812"/>
      <c r="S101" s="812"/>
    </row>
    <row r="102" spans="1:20">
      <c r="B102" s="764" t="s">
        <v>306</v>
      </c>
      <c r="C102" s="819" t="str">
        <f>'Names of Bidder'!C22&amp;" "&amp;'Names of Bidder'!D22&amp;" "&amp;'Names of Bidder'!E22</f>
        <v xml:space="preserve">  </v>
      </c>
      <c r="D102" s="820"/>
      <c r="I102" s="821"/>
      <c r="J102" s="822" t="s">
        <v>308</v>
      </c>
      <c r="K102" s="823" t="str">
        <f>IF('Names of Bidder'!C19="","",'Names of Bidder'!C19)</f>
        <v/>
      </c>
      <c r="L102" s="823"/>
      <c r="M102" s="823"/>
      <c r="N102" s="823"/>
      <c r="O102" s="812"/>
      <c r="P102" s="812"/>
      <c r="Q102" s="812"/>
      <c r="R102" s="812"/>
      <c r="S102" s="812"/>
    </row>
    <row r="103" spans="1:20">
      <c r="B103" s="764" t="s">
        <v>307</v>
      </c>
      <c r="C103" s="820" t="str">
        <f>IF('Names of Bidder'!C23="","",'Names of Bidder'!C23)</f>
        <v/>
      </c>
      <c r="D103" s="820"/>
      <c r="I103" s="821"/>
      <c r="J103" s="822" t="s">
        <v>124</v>
      </c>
      <c r="K103" s="823" t="str">
        <f>IF('Names of Bidder'!C20="","",'Names of Bidder'!C20)</f>
        <v/>
      </c>
      <c r="L103" s="823"/>
      <c r="M103" s="823"/>
      <c r="N103" s="823"/>
      <c r="O103" s="812"/>
      <c r="P103" s="812"/>
      <c r="Q103" s="812"/>
      <c r="R103" s="812"/>
      <c r="S103" s="812"/>
    </row>
    <row r="104" spans="1:20">
      <c r="O104" s="812"/>
      <c r="P104" s="812"/>
      <c r="Q104" s="812"/>
      <c r="R104" s="812"/>
      <c r="S104" s="812"/>
    </row>
    <row r="105" spans="1:20">
      <c r="G105" s="818"/>
      <c r="H105" s="818"/>
      <c r="I105" s="818"/>
    </row>
    <row r="106" spans="1:20">
      <c r="G106" s="818"/>
      <c r="H106" s="818"/>
      <c r="I106" s="818"/>
    </row>
    <row r="107" spans="1:20">
      <c r="G107" s="818"/>
      <c r="H107" s="818"/>
      <c r="I107" s="818"/>
    </row>
    <row r="108" spans="1:20">
      <c r="G108" s="818"/>
      <c r="H108" s="818"/>
      <c r="I108" s="818"/>
    </row>
    <row r="109" spans="1:20">
      <c r="G109" s="818"/>
      <c r="H109" s="818"/>
      <c r="I109" s="818"/>
    </row>
    <row r="110" spans="1:20">
      <c r="G110" s="818"/>
      <c r="H110" s="818"/>
      <c r="I110" s="818"/>
    </row>
    <row r="111" spans="1:20">
      <c r="G111" s="818"/>
      <c r="H111" s="818"/>
      <c r="I111" s="818"/>
    </row>
    <row r="112" spans="1:20">
      <c r="G112" s="818"/>
      <c r="H112" s="818"/>
      <c r="I112" s="818"/>
    </row>
    <row r="113" spans="7:9">
      <c r="G113" s="818"/>
      <c r="H113" s="818"/>
      <c r="I113" s="818"/>
    </row>
    <row r="114" spans="7:9">
      <c r="G114" s="818"/>
      <c r="H114" s="818"/>
      <c r="I114" s="818"/>
    </row>
    <row r="115" spans="7:9">
      <c r="G115" s="818"/>
      <c r="H115" s="818"/>
      <c r="I115" s="818"/>
    </row>
    <row r="116" spans="7:9">
      <c r="G116" s="818"/>
      <c r="H116" s="818"/>
      <c r="I116" s="818"/>
    </row>
    <row r="117" spans="7:9">
      <c r="G117" s="818"/>
      <c r="H117" s="818"/>
      <c r="I117" s="818"/>
    </row>
    <row r="118" spans="7:9">
      <c r="G118" s="818"/>
      <c r="H118" s="818"/>
      <c r="I118" s="818"/>
    </row>
    <row r="119" spans="7:9">
      <c r="G119" s="818"/>
      <c r="H119" s="818"/>
      <c r="I119" s="818"/>
    </row>
    <row r="120" spans="7:9">
      <c r="G120" s="818"/>
      <c r="H120" s="818"/>
      <c r="I120" s="818"/>
    </row>
    <row r="121" spans="7:9">
      <c r="G121" s="818"/>
      <c r="H121" s="818"/>
      <c r="I121" s="818"/>
    </row>
    <row r="122" spans="7:9">
      <c r="G122" s="818"/>
      <c r="H122" s="818"/>
      <c r="I122" s="818"/>
    </row>
    <row r="123" spans="7:9">
      <c r="G123" s="818"/>
      <c r="H123" s="818"/>
      <c r="I123" s="818"/>
    </row>
    <row r="124" spans="7:9">
      <c r="G124" s="818"/>
      <c r="H124" s="818"/>
      <c r="I124" s="818"/>
    </row>
    <row r="125" spans="7:9">
      <c r="G125" s="818"/>
      <c r="H125" s="818"/>
      <c r="I125" s="818"/>
    </row>
    <row r="126" spans="7:9">
      <c r="G126" s="818"/>
      <c r="H126" s="818"/>
      <c r="I126" s="818"/>
    </row>
    <row r="127" spans="7:9">
      <c r="G127" s="818"/>
      <c r="H127" s="818"/>
      <c r="I127" s="818"/>
    </row>
    <row r="128" spans="7:9">
      <c r="G128" s="818"/>
      <c r="H128" s="818"/>
      <c r="I128" s="818"/>
    </row>
    <row r="129" spans="7:9">
      <c r="G129" s="818"/>
      <c r="H129" s="818"/>
      <c r="I129" s="818"/>
    </row>
    <row r="130" spans="7:9">
      <c r="G130" s="818"/>
      <c r="H130" s="818"/>
      <c r="I130" s="818"/>
    </row>
    <row r="131" spans="7:9">
      <c r="G131" s="818"/>
      <c r="H131" s="818"/>
      <c r="I131" s="818"/>
    </row>
    <row r="132" spans="7:9">
      <c r="G132" s="818"/>
      <c r="H132" s="818"/>
      <c r="I132" s="818"/>
    </row>
    <row r="133" spans="7:9">
      <c r="G133" s="818"/>
      <c r="H133" s="818"/>
      <c r="I133" s="818"/>
    </row>
    <row r="134" spans="7:9">
      <c r="G134" s="818"/>
      <c r="H134" s="818"/>
      <c r="I134" s="818"/>
    </row>
    <row r="135" spans="7:9">
      <c r="G135" s="818"/>
      <c r="H135" s="818"/>
      <c r="I135" s="818"/>
    </row>
    <row r="136" spans="7:9">
      <c r="G136" s="818"/>
      <c r="H136" s="818"/>
      <c r="I136" s="818"/>
    </row>
  </sheetData>
  <sheetProtection algorithmName="SHA-512" hashValue="GKtIZxY5BpDL+fbfadKfvmkxvg6ton2DHUVHkDOb/kUetCYYorfC9YmokwWK8h2G7qED1F777P7SpnoksczTdA==" saltValue="myOXlHG91jsSIMISjqukCg==" spinCount="100000" sheet="1" formatColumns="0" formatRows="0" selectLockedCells="1"/>
  <customSheetViews>
    <customSheetView guid="{8BA4A88A-5522-45F5-A82B-CD7725CE50B1}" scale="85" showPageBreaks="1" fitToPage="1" printArea="1" hiddenColumns="1" view="pageBreakPreview">
      <selection activeCell="M302" sqref="M302"/>
      <pageMargins left="0.25" right="0.25" top="0.75" bottom="0.5" header="0.3" footer="0.5"/>
      <printOptions horizontalCentered="1"/>
      <pageSetup paperSize="9" scale="44" fitToHeight="0" orientation="landscape" r:id="rId1"/>
      <headerFooter>
        <oddHeader>&amp;RSchedule-1Page &amp;P of &amp;N</oddHeader>
      </headerFooter>
    </customSheetView>
    <customSheetView guid="{889C3D82-0A24-4765-A688-A80A782F5056}" scale="85" showPageBreaks="1" fitToPage="1" printArea="1" hiddenColumns="1" view="pageBreakPreview">
      <selection activeCell="M302" sqref="M302"/>
      <pageMargins left="0.25" right="0.25" top="0.75" bottom="0.5" header="0.3" footer="0.5"/>
      <printOptions horizontalCentered="1"/>
      <pageSetup paperSize="9" scale="44" fitToHeight="0" orientation="landscape" r:id="rId2"/>
      <headerFooter>
        <oddHeader>&amp;RSchedule-1Page &amp;P of &amp;N</oddHeader>
      </headerFooter>
    </customSheetView>
    <customSheetView guid="{89CB4E6A-722E-4E39-885D-E2A6D0D08321}" scale="60" showPageBreaks="1" fitToPage="1" printArea="1" hiddenColumns="1" view="pageBreakPreview">
      <selection activeCell="M18" sqref="M18"/>
      <pageMargins left="0.25" right="0.25" top="0.75" bottom="0.5" header="0.3" footer="0.5"/>
      <printOptions horizontalCentered="1"/>
      <pageSetup paperSize="9" scale="44" fitToHeight="0" orientation="landscape" r:id="rId3"/>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25" right="0.25" top="0.75" bottom="0.5" header="0.3" footer="0.5"/>
      <printOptions horizontalCentered="1"/>
      <pageSetup paperSize="9" scale="59" orientation="landscape" r:id="rId4"/>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25" right="0.25" top="0.75" bottom="0.5" header="0.3" footer="0.5"/>
      <printOptions horizontalCentered="1"/>
      <pageSetup paperSize="9" scale="59" orientation="landscape" r:id="rId5"/>
      <headerFooter>
        <oddHeader>&amp;RSchedule-1Page &amp;P of &amp;N</oddHeader>
      </headerFooter>
    </customSheetView>
    <customSheetView guid="{CCA37BAE-906F-43D5-9FD9-B13563E4B9D7}" scale="80" showPageBreaks="1" printArea="1" hiddenColumns="1" view="pageBreakPreview">
      <selection activeCell="M168" sqref="M168:M202"/>
      <pageMargins left="0.25" right="0.25" top="0.75" bottom="0.5" header="0.3" footer="0.5"/>
      <printOptions horizontalCentered="1"/>
      <pageSetup paperSize="9" scale="59" orientation="landscape" r:id="rId6"/>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7"/>
      <headerFooter>
        <oddHeader>&amp;RSchedule-1Page &amp;P of &amp;N</oddHeader>
      </headerFooter>
    </customSheetView>
    <customSheetView guid="{63D51328-7CBC-4A1E-B96D-BAE91416501B}" showPageBreaks="1" printArea="1" hiddenColumns="1" view="pageBreakPreview" topLeftCell="A87">
      <selection activeCell="M113" sqref="M113"/>
      <pageMargins left="0.25" right="0.25" top="0.75" bottom="0.5" header="0.3" footer="0.5"/>
      <printOptions horizontalCentered="1"/>
      <pageSetup paperSize="9" scale="60" orientation="landscape" r:id="rId8"/>
      <headerFooter>
        <oddHeader>&amp;RSchedule-1Page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9"/>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10"/>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11"/>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25" right="0.25" top="0.75" bottom="0.5" header="0.3" footer="0.5"/>
      <printOptions horizontalCentered="1"/>
      <pageSetup paperSize="9" scale="59" orientation="landscape" r:id="rId12"/>
      <headerFooter>
        <oddHeader>&amp;RSchedule-1Page &amp;P of &amp;N</oddHeader>
      </headerFooter>
    </customSheetView>
  </customSheetViews>
  <mergeCells count="24">
    <mergeCell ref="B62:D62"/>
    <mergeCell ref="Z10:AL10"/>
    <mergeCell ref="Z8:AL8"/>
    <mergeCell ref="Z9:AL9"/>
    <mergeCell ref="A3:N3"/>
    <mergeCell ref="A4:N4"/>
    <mergeCell ref="A6:B6"/>
    <mergeCell ref="A8:G8"/>
    <mergeCell ref="K14:N14"/>
    <mergeCell ref="C12:G12"/>
    <mergeCell ref="C10:G10"/>
    <mergeCell ref="C9:G9"/>
    <mergeCell ref="A7:I7"/>
    <mergeCell ref="A13:N13"/>
    <mergeCell ref="C11:G11"/>
    <mergeCell ref="A96:N96"/>
    <mergeCell ref="A97:M97"/>
    <mergeCell ref="C103:D103"/>
    <mergeCell ref="B100:N100"/>
    <mergeCell ref="K103:N103"/>
    <mergeCell ref="K102:N102"/>
    <mergeCell ref="A98:M98"/>
    <mergeCell ref="A99:M99"/>
    <mergeCell ref="C102:D102"/>
  </mergeCells>
  <conditionalFormatting sqref="I18:I29 I44:I61 I68:I95">
    <cfRule type="expression" dxfId="11" priority="88" stopIfTrue="1">
      <formula>H18&gt;0</formula>
    </cfRule>
  </conditionalFormatting>
  <conditionalFormatting sqref="I30:I43">
    <cfRule type="expression" dxfId="10" priority="30" stopIfTrue="1">
      <formula>H30&gt;0</formula>
    </cfRule>
  </conditionalFormatting>
  <conditionalFormatting sqref="I63:I67">
    <cfRule type="expression" dxfId="9" priority="27" stopIfTrue="1">
      <formula>H63&gt;0</formula>
    </cfRule>
  </conditionalFormatting>
  <dataValidations count="3">
    <dataValidation type="list" operator="greaterThan" allowBlank="1" showInputMessage="1" showErrorMessage="1" sqref="I18:I61 I63:I95" xr:uid="{00000000-0002-0000-0400-000000000000}">
      <formula1>"0%,5%,12%,18%,28%"</formula1>
    </dataValidation>
    <dataValidation type="whole" operator="greaterThan" allowBlank="1" showInputMessage="1" showErrorMessage="1" sqref="G18:G61 G63:G95" xr:uid="{00000000-0002-0000-0400-000001000000}">
      <formula1>0</formula1>
    </dataValidation>
    <dataValidation type="decimal" operator="greaterThanOrEqual" allowBlank="1" showInputMessage="1" showErrorMessage="1" sqref="M18:M61 M63:M95" xr:uid="{00000000-0002-0000-0400-000002000000}">
      <formula1>0</formula1>
    </dataValidation>
  </dataValidations>
  <printOptions horizontalCentered="1"/>
  <pageMargins left="0.25" right="0.25" top="0.75" bottom="0.5" header="0.3" footer="0.5"/>
  <pageSetup paperSize="9" scale="44" fitToHeight="0" orientation="landscape" r:id="rId13"/>
  <headerFooter>
    <oddHeader>&amp;RSchedule-1Page &amp;P of &amp;N</oddHeader>
  </headerFooter>
  <drawing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103"/>
  <sheetViews>
    <sheetView view="pageBreakPreview" topLeftCell="A55" zoomScale="85" zoomScaleSheetLayoutView="85" workbookViewId="0">
      <selection activeCell="I56" sqref="I56"/>
    </sheetView>
  </sheetViews>
  <sheetFormatPr defaultColWidth="9.109375" defaultRowHeight="15.6"/>
  <cols>
    <col min="1" max="1" width="6.109375" style="836" customWidth="1"/>
    <col min="2" max="2" width="15" style="836" customWidth="1"/>
    <col min="3" max="3" width="11.33203125" style="836" customWidth="1"/>
    <col min="4" max="4" width="23.88671875" style="836" customWidth="1"/>
    <col min="5" max="5" width="20.33203125" style="836" customWidth="1"/>
    <col min="6" max="6" width="105.6640625" style="837" customWidth="1"/>
    <col min="7" max="7" width="11.33203125" style="836" customWidth="1"/>
    <col min="8" max="8" width="11" style="836" customWidth="1"/>
    <col min="9" max="9" width="18.88671875" style="838" customWidth="1"/>
    <col min="10" max="10" width="24.33203125" style="836" customWidth="1"/>
    <col min="11" max="13" width="10.33203125" style="829" customWidth="1"/>
    <col min="14" max="14" width="9.109375" style="829" customWidth="1"/>
    <col min="15" max="28" width="9.109375" style="829"/>
    <col min="29" max="16384" width="9.109375" style="830"/>
  </cols>
  <sheetData>
    <row r="1" spans="1:32" ht="27.75" customHeight="1">
      <c r="A1" s="824" t="str">
        <f>Basic!B5</f>
        <v>CC/NT/W-COND/DOM/A04/24/05656</v>
      </c>
      <c r="B1" s="824"/>
      <c r="C1" s="824"/>
      <c r="D1" s="825"/>
      <c r="E1" s="825"/>
      <c r="F1" s="825"/>
      <c r="G1" s="826"/>
      <c r="H1" s="826"/>
      <c r="I1" s="827"/>
      <c r="J1" s="828" t="s">
        <v>14</v>
      </c>
    </row>
    <row r="2" spans="1:32" ht="21.75" customHeight="1">
      <c r="A2" s="831"/>
      <c r="B2" s="831"/>
      <c r="C2" s="831"/>
      <c r="D2" s="831"/>
      <c r="E2" s="831"/>
      <c r="F2" s="831"/>
      <c r="G2" s="763"/>
      <c r="H2" s="763"/>
      <c r="I2" s="830"/>
      <c r="J2" s="763"/>
    </row>
    <row r="3" spans="1:32" ht="52.8" customHeight="1">
      <c r="A3" s="766" t="str">
        <f>Cover!$B$2</f>
        <v>Reconductoring Package - OH01 for (i) Reconductoring of 220kV Hisar (PG)-Hisar (IA) D/c line associated with ‘Reconductoring of 220kV Hisar (PG) – Hisar (IA) S/c line’; and (ii) Reconductoring of 400 kV S/c (TWIN ACSR MOOSE) Raichur – Veltoor (Mahabubnagar) line with TWIN HTLS conductor associated with ‘Reconductoring of Raichur – Veltoor (Mahabubnagar) 400kV S/c line with HTLS conductor’.</v>
      </c>
      <c r="B3" s="766"/>
      <c r="C3" s="766"/>
      <c r="D3" s="766"/>
      <c r="E3" s="766"/>
      <c r="F3" s="766"/>
      <c r="G3" s="766"/>
      <c r="H3" s="766"/>
      <c r="I3" s="766"/>
      <c r="J3" s="766"/>
      <c r="K3" s="833"/>
      <c r="N3" s="834"/>
      <c r="O3" s="834"/>
      <c r="AC3" s="829"/>
      <c r="AD3" s="829"/>
      <c r="AE3" s="829"/>
      <c r="AF3" s="829"/>
    </row>
    <row r="4" spans="1:32" ht="21.9" customHeight="1">
      <c r="A4" s="835" t="s">
        <v>0</v>
      </c>
      <c r="B4" s="835"/>
      <c r="C4" s="835"/>
      <c r="D4" s="835"/>
      <c r="E4" s="835"/>
      <c r="F4" s="835"/>
      <c r="G4" s="835"/>
      <c r="H4" s="835"/>
      <c r="I4" s="835"/>
      <c r="J4" s="835"/>
    </row>
    <row r="5" spans="1:32" ht="15" customHeight="1">
      <c r="J5" s="763"/>
    </row>
    <row r="6" spans="1:32" ht="22.5" customHeight="1">
      <c r="A6" s="769" t="s">
        <v>338</v>
      </c>
      <c r="B6" s="769"/>
      <c r="C6" s="765"/>
      <c r="D6" s="763"/>
      <c r="E6" s="765"/>
      <c r="F6" s="765"/>
      <c r="G6" s="765"/>
      <c r="H6" s="765"/>
      <c r="I6" s="765"/>
      <c r="J6" s="763"/>
    </row>
    <row r="7" spans="1:32" ht="25.5" customHeight="1">
      <c r="A7" s="770">
        <f>'Sch-1'!A7</f>
        <v>0</v>
      </c>
      <c r="B7" s="770"/>
      <c r="C7" s="770"/>
      <c r="D7" s="770"/>
      <c r="E7" s="770"/>
      <c r="F7" s="770"/>
      <c r="G7" s="839"/>
      <c r="H7" s="772" t="s">
        <v>1</v>
      </c>
      <c r="I7" s="839"/>
      <c r="J7" s="763"/>
    </row>
    <row r="8" spans="1:32" ht="29.25" customHeight="1">
      <c r="A8" s="774" t="str">
        <f>"Bidder’s Name and Address  (" &amp; MID('Names of Bidder'!A9,9, 20) &amp; ") :"</f>
        <v>Bidder’s Name and Address  (Sole Bidder) :</v>
      </c>
      <c r="B8" s="774"/>
      <c r="C8" s="774"/>
      <c r="D8" s="774"/>
      <c r="E8" s="774"/>
      <c r="F8" s="774"/>
      <c r="G8" s="774"/>
      <c r="H8" s="776" t="s">
        <v>2</v>
      </c>
      <c r="I8" s="775"/>
      <c r="J8" s="763"/>
    </row>
    <row r="9" spans="1:32" ht="26.25" customHeight="1">
      <c r="A9" s="779" t="s">
        <v>12</v>
      </c>
      <c r="B9" s="773"/>
      <c r="C9" s="770" t="str">
        <f>IF('Names of Bidder'!C9=0, "", 'Names of Bidder'!C9)</f>
        <v/>
      </c>
      <c r="D9" s="770"/>
      <c r="E9" s="770"/>
      <c r="F9" s="840"/>
      <c r="G9" s="840"/>
      <c r="H9" s="776" t="s">
        <v>3</v>
      </c>
      <c r="I9" s="780"/>
      <c r="J9" s="763"/>
    </row>
    <row r="10" spans="1:32" ht="17.25" customHeight="1">
      <c r="A10" s="779" t="s">
        <v>11</v>
      </c>
      <c r="B10" s="773"/>
      <c r="C10" s="781" t="str">
        <f>IF('Names of Bidder'!C10=0, "", 'Names of Bidder'!C10)</f>
        <v/>
      </c>
      <c r="D10" s="781"/>
      <c r="E10" s="781"/>
      <c r="F10" s="840"/>
      <c r="G10" s="840"/>
      <c r="H10" s="776" t="s">
        <v>4</v>
      </c>
      <c r="I10" s="780"/>
      <c r="J10" s="763"/>
    </row>
    <row r="11" spans="1:32" ht="18" customHeight="1">
      <c r="A11" s="780"/>
      <c r="B11" s="780"/>
      <c r="C11" s="781" t="str">
        <f>IF('Names of Bidder'!C11=0, "", 'Names of Bidder'!C11)</f>
        <v/>
      </c>
      <c r="D11" s="781"/>
      <c r="E11" s="781"/>
      <c r="F11" s="840"/>
      <c r="G11" s="840"/>
      <c r="H11" s="776" t="s">
        <v>5</v>
      </c>
      <c r="I11" s="780"/>
      <c r="J11" s="763"/>
    </row>
    <row r="12" spans="1:32" ht="18" customHeight="1">
      <c r="A12" s="780"/>
      <c r="B12" s="780"/>
      <c r="C12" s="781" t="str">
        <f>IF('Names of Bidder'!C12=0, "", 'Names of Bidder'!C12)</f>
        <v/>
      </c>
      <c r="D12" s="781"/>
      <c r="E12" s="781"/>
      <c r="F12" s="840"/>
      <c r="G12" s="840"/>
      <c r="H12" s="776" t="s">
        <v>6</v>
      </c>
      <c r="I12" s="780"/>
      <c r="J12" s="763"/>
    </row>
    <row r="13" spans="1:32" s="775" customFormat="1" ht="26.4" customHeight="1">
      <c r="A13" s="841" t="s">
        <v>352</v>
      </c>
      <c r="B13" s="841"/>
      <c r="C13" s="841"/>
      <c r="D13" s="841"/>
      <c r="E13" s="841"/>
      <c r="F13" s="841"/>
      <c r="G13" s="841"/>
      <c r="H13" s="841"/>
      <c r="I13" s="841"/>
      <c r="J13" s="841"/>
      <c r="K13" s="842"/>
      <c r="L13" s="842"/>
      <c r="M13" s="842"/>
      <c r="N13" s="842"/>
      <c r="O13" s="842"/>
      <c r="P13" s="842"/>
      <c r="Q13" s="842"/>
      <c r="R13" s="842"/>
      <c r="S13" s="842"/>
      <c r="T13" s="842"/>
      <c r="U13" s="842"/>
      <c r="V13" s="842"/>
      <c r="W13" s="842"/>
      <c r="X13" s="842"/>
      <c r="Y13" s="842"/>
      <c r="Z13" s="842"/>
      <c r="AA13" s="842"/>
      <c r="AB13" s="842"/>
    </row>
    <row r="14" spans="1:32" ht="20.25" customHeight="1" thickBot="1">
      <c r="A14" s="843"/>
      <c r="B14" s="843"/>
      <c r="C14" s="843"/>
      <c r="D14" s="843"/>
      <c r="E14" s="843"/>
      <c r="F14" s="844"/>
      <c r="G14" s="845"/>
      <c r="H14" s="845"/>
      <c r="I14" s="846" t="s">
        <v>343</v>
      </c>
      <c r="J14" s="846"/>
    </row>
    <row r="15" spans="1:32" ht="102" customHeight="1">
      <c r="A15" s="847" t="s">
        <v>7</v>
      </c>
      <c r="B15" s="848" t="s">
        <v>259</v>
      </c>
      <c r="C15" s="848" t="s">
        <v>271</v>
      </c>
      <c r="D15" s="848" t="s">
        <v>273</v>
      </c>
      <c r="E15" s="848" t="s">
        <v>13</v>
      </c>
      <c r="F15" s="849" t="s">
        <v>15</v>
      </c>
      <c r="G15" s="849" t="s">
        <v>9</v>
      </c>
      <c r="H15" s="849" t="s">
        <v>16</v>
      </c>
      <c r="I15" s="849" t="s">
        <v>351</v>
      </c>
      <c r="J15" s="850" t="s">
        <v>350</v>
      </c>
    </row>
    <row r="16" spans="1:32" s="852" customFormat="1">
      <c r="A16" s="788">
        <v>1</v>
      </c>
      <c r="B16" s="788">
        <v>2</v>
      </c>
      <c r="C16" s="788">
        <v>3</v>
      </c>
      <c r="D16" s="788">
        <v>4</v>
      </c>
      <c r="E16" s="788">
        <v>5</v>
      </c>
      <c r="F16" s="788">
        <v>6</v>
      </c>
      <c r="G16" s="788">
        <v>7</v>
      </c>
      <c r="H16" s="788">
        <v>8</v>
      </c>
      <c r="I16" s="788">
        <v>9</v>
      </c>
      <c r="J16" s="788" t="s">
        <v>344</v>
      </c>
      <c r="K16" s="851"/>
      <c r="L16" s="851"/>
      <c r="M16" s="851"/>
      <c r="N16" s="851"/>
      <c r="O16" s="851"/>
      <c r="P16" s="851"/>
      <c r="Q16" s="851"/>
      <c r="R16" s="851"/>
      <c r="S16" s="851"/>
      <c r="T16" s="851"/>
      <c r="U16" s="851"/>
      <c r="V16" s="851"/>
      <c r="W16" s="851"/>
      <c r="X16" s="851"/>
      <c r="Y16" s="851"/>
      <c r="Z16" s="851"/>
      <c r="AA16" s="851"/>
      <c r="AB16" s="851"/>
    </row>
    <row r="17" spans="1:28" s="859" customFormat="1" ht="34.5" customHeight="1">
      <c r="A17" s="853" t="str">
        <f>'Sch-1'!A17</f>
        <v>I</v>
      </c>
      <c r="B17" s="854" t="str">
        <f>'Sch-1'!B17:D17</f>
        <v xml:space="preserve">Re-conductoring Raichur-Veltoor TL      </v>
      </c>
      <c r="C17" s="855"/>
      <c r="D17" s="856"/>
      <c r="E17" s="857"/>
      <c r="F17" s="857"/>
      <c r="G17" s="857"/>
      <c r="H17" s="857"/>
      <c r="I17" s="857"/>
      <c r="J17" s="857"/>
      <c r="K17" s="858"/>
      <c r="L17" s="858"/>
      <c r="M17" s="858"/>
      <c r="N17" s="858"/>
      <c r="O17" s="858"/>
      <c r="P17" s="858"/>
      <c r="Q17" s="858"/>
      <c r="R17" s="858"/>
      <c r="S17" s="858"/>
      <c r="T17" s="858"/>
      <c r="U17" s="858"/>
      <c r="V17" s="858"/>
      <c r="W17" s="858"/>
      <c r="X17" s="858"/>
      <c r="Y17" s="858"/>
      <c r="Z17" s="858"/>
      <c r="AA17" s="858"/>
      <c r="AB17" s="858"/>
    </row>
    <row r="18" spans="1:28">
      <c r="A18" s="860">
        <v>1</v>
      </c>
      <c r="B18" s="794">
        <f>+'Sch-1'!B18</f>
        <v>7000027495</v>
      </c>
      <c r="C18" s="794">
        <f>+'Sch-1'!C18</f>
        <v>10</v>
      </c>
      <c r="D18" s="794" t="str">
        <f>+'Sch-1'!D18</f>
        <v xml:space="preserve">Conductor                               </v>
      </c>
      <c r="E18" s="794">
        <f>+'Sch-1'!E18</f>
        <v>1000064223</v>
      </c>
      <c r="F18" s="797" t="str">
        <f>+'Sch-1'!J18</f>
        <v>HTLS  CONDUCTOR FOR 400KV TL</v>
      </c>
      <c r="G18" s="794" t="str">
        <f>+'Sch-1'!K18</f>
        <v xml:space="preserve">KM </v>
      </c>
      <c r="H18" s="794">
        <f>+'Sch-1'!L18</f>
        <v>447</v>
      </c>
      <c r="I18" s="861"/>
      <c r="J18" s="799" t="str">
        <f t="shared" ref="J18:J93" si="0">IF(I18=0, "INCLUDED", IF(ISERROR(I18*H18), I18, I18*H18))</f>
        <v>INCLUDED</v>
      </c>
    </row>
    <row r="19" spans="1:28">
      <c r="A19" s="860">
        <v>2</v>
      </c>
      <c r="B19" s="794">
        <f>+'Sch-1'!B19</f>
        <v>7000027495</v>
      </c>
      <c r="C19" s="794">
        <f>+'Sch-1'!C19</f>
        <v>20</v>
      </c>
      <c r="D19" s="794" t="str">
        <f>+'Sch-1'!D19</f>
        <v xml:space="preserve">HTLS CLAMPS &amp; FITTINGS                  </v>
      </c>
      <c r="E19" s="794">
        <f>+'Sch-1'!E19</f>
        <v>1000064233</v>
      </c>
      <c r="F19" s="797" t="str">
        <f>+'Sch-1'!J19</f>
        <v>SUSPENSION  CLAMP  (FREE CENTRE TYPE SUSPENSION CLAMP ALONG WITHPREFORMED ARMOUR RODS OR ARMOUR GRIP SUSPENSION CLAMP) SUITABLE FORSUSPENSION INSULATOR STRING FOR HTLS CONDUCTOR FOR 400KV TL</v>
      </c>
      <c r="G19" s="794" t="str">
        <f>+'Sch-1'!K19</f>
        <v xml:space="preserve">EA </v>
      </c>
      <c r="H19" s="794">
        <f>+'Sch-1'!L19</f>
        <v>894</v>
      </c>
      <c r="I19" s="861"/>
      <c r="J19" s="799" t="str">
        <f t="shared" si="0"/>
        <v>INCLUDED</v>
      </c>
    </row>
    <row r="20" spans="1:28" ht="46.8">
      <c r="A20" s="860">
        <v>3</v>
      </c>
      <c r="B20" s="794">
        <f>+'Sch-1'!B20</f>
        <v>7000027495</v>
      </c>
      <c r="C20" s="794">
        <f>+'Sch-1'!C20</f>
        <v>30</v>
      </c>
      <c r="D20" s="794" t="str">
        <f>+'Sch-1'!D20</f>
        <v xml:space="preserve">HTLS CLAMPS &amp; FITTINGS                  </v>
      </c>
      <c r="E20" s="794">
        <f>+'Sch-1'!E20</f>
        <v>1000064235</v>
      </c>
      <c r="F20" s="797" t="str">
        <f>+'Sch-1'!J20</f>
        <v>SUSPENSION  CLAMP SUITABLE FOR SUSPENSION PILOT INSULATOR STRING FORHTLS CONDUCTOR FOR 400KV TL</v>
      </c>
      <c r="G20" s="794" t="str">
        <f>+'Sch-1'!K20</f>
        <v xml:space="preserve">EA </v>
      </c>
      <c r="H20" s="794">
        <f>+'Sch-1'!L20</f>
        <v>136</v>
      </c>
      <c r="I20" s="861"/>
      <c r="J20" s="799" t="str">
        <f t="shared" si="0"/>
        <v>INCLUDED</v>
      </c>
    </row>
    <row r="21" spans="1:28" ht="46.8">
      <c r="A21" s="860">
        <v>4</v>
      </c>
      <c r="B21" s="794">
        <f>+'Sch-1'!B21</f>
        <v>7000027495</v>
      </c>
      <c r="C21" s="794">
        <f>+'Sch-1'!C21</f>
        <v>40</v>
      </c>
      <c r="D21" s="794" t="str">
        <f>+'Sch-1'!D21</f>
        <v xml:space="preserve">HTLS CLAMPS &amp; FITTINGS                  </v>
      </c>
      <c r="E21" s="794">
        <f>+'Sch-1'!E21</f>
        <v>1000064221</v>
      </c>
      <c r="F21" s="797" t="str">
        <f>+'Sch-1'!J21</f>
        <v>DEAD END CLAMP SUITABLE FOR TENSION INSULATOR STRING FOR  HTLSCONDUCTOR FOR  400KV TL</v>
      </c>
      <c r="G21" s="794" t="str">
        <f>+'Sch-1'!K21</f>
        <v xml:space="preserve">EA </v>
      </c>
      <c r="H21" s="794">
        <f>+'Sch-1'!L21</f>
        <v>540</v>
      </c>
      <c r="I21" s="861"/>
      <c r="J21" s="799" t="str">
        <f t="shared" si="0"/>
        <v>INCLUDED</v>
      </c>
    </row>
    <row r="22" spans="1:28" ht="46.8">
      <c r="A22" s="860">
        <v>5</v>
      </c>
      <c r="B22" s="794">
        <f>+'Sch-1'!B22</f>
        <v>7000027495</v>
      </c>
      <c r="C22" s="794">
        <f>+'Sch-1'!C22</f>
        <v>50</v>
      </c>
      <c r="D22" s="794" t="str">
        <f>+'Sch-1'!D22</f>
        <v xml:space="preserve">HTLS CLAMPS &amp; FITTINGS                  </v>
      </c>
      <c r="E22" s="794">
        <f>+'Sch-1'!E22</f>
        <v>1000019805</v>
      </c>
      <c r="F22" s="797" t="str">
        <f>+'Sch-1'!J22</f>
        <v>Hardware Fittings for Twin HTLS Conductor-Single "I" Suspension String(without clamps)</v>
      </c>
      <c r="G22" s="794" t="str">
        <f>+'Sch-1'!K22</f>
        <v>SET</v>
      </c>
      <c r="H22" s="794">
        <f>+'Sch-1'!L22</f>
        <v>447</v>
      </c>
      <c r="I22" s="861"/>
      <c r="J22" s="799" t="str">
        <f t="shared" si="0"/>
        <v>INCLUDED</v>
      </c>
    </row>
    <row r="23" spans="1:28" ht="46.8">
      <c r="A23" s="860">
        <v>6</v>
      </c>
      <c r="B23" s="794">
        <f>+'Sch-1'!B23</f>
        <v>7000027495</v>
      </c>
      <c r="C23" s="794">
        <f>+'Sch-1'!C23</f>
        <v>60</v>
      </c>
      <c r="D23" s="794" t="str">
        <f>+'Sch-1'!D23</f>
        <v xml:space="preserve">HTLS CLAMPS &amp; FITTINGS                  </v>
      </c>
      <c r="E23" s="794">
        <f>+'Sch-1'!E23</f>
        <v>1000019783</v>
      </c>
      <c r="F23" s="797" t="str">
        <f>+'Sch-1'!J23</f>
        <v>Hardware Fittings for Twin HTLS Conductor-Single I Suspension String(Pilot)(without clamps)</v>
      </c>
      <c r="G23" s="794" t="str">
        <f>+'Sch-1'!K23</f>
        <v>SET</v>
      </c>
      <c r="H23" s="794">
        <f>+'Sch-1'!L23</f>
        <v>68</v>
      </c>
      <c r="I23" s="861"/>
      <c r="J23" s="799" t="str">
        <f t="shared" si="0"/>
        <v>INCLUDED</v>
      </c>
    </row>
    <row r="24" spans="1:28" ht="46.8">
      <c r="A24" s="860">
        <v>7</v>
      </c>
      <c r="B24" s="794">
        <f>+'Sch-1'!B24</f>
        <v>7000027495</v>
      </c>
      <c r="C24" s="794">
        <f>+'Sch-1'!C24</f>
        <v>70</v>
      </c>
      <c r="D24" s="794" t="str">
        <f>+'Sch-1'!D24</f>
        <v xml:space="preserve">HTLS CLAMPS &amp; FITTINGS                  </v>
      </c>
      <c r="E24" s="794">
        <f>+'Sch-1'!E24</f>
        <v>1000010803</v>
      </c>
      <c r="F24" s="797" t="str">
        <f>+'Sch-1'!J24</f>
        <v>Hardware Fittings for Twin HTLS Conductor-Double TensionString(without clamps)</v>
      </c>
      <c r="G24" s="794" t="str">
        <f>+'Sch-1'!K24</f>
        <v>SET</v>
      </c>
      <c r="H24" s="794">
        <f>+'Sch-1'!L24</f>
        <v>270</v>
      </c>
      <c r="I24" s="861"/>
      <c r="J24" s="799" t="str">
        <f t="shared" si="0"/>
        <v>INCLUDED</v>
      </c>
    </row>
    <row r="25" spans="1:28" ht="46.8">
      <c r="A25" s="860">
        <v>8</v>
      </c>
      <c r="B25" s="794">
        <f>+'Sch-1'!B25</f>
        <v>7000027495</v>
      </c>
      <c r="C25" s="794">
        <f>+'Sch-1'!C25</f>
        <v>80</v>
      </c>
      <c r="D25" s="794" t="str">
        <f>+'Sch-1'!D25</f>
        <v xml:space="preserve">Conductor Accessories                   </v>
      </c>
      <c r="E25" s="794">
        <f>+'Sch-1'!E25</f>
        <v>1000064225</v>
      </c>
      <c r="F25" s="797" t="str">
        <f>+'Sch-1'!J25</f>
        <v>MID SPAN COMPRESSION JOINT FOR HTLS CONDUCTOR FOR  400KV TL</v>
      </c>
      <c r="G25" s="794" t="str">
        <f>+'Sch-1'!K25</f>
        <v xml:space="preserve">EA </v>
      </c>
      <c r="H25" s="794">
        <f>+'Sch-1'!L25</f>
        <v>197</v>
      </c>
      <c r="I25" s="861"/>
      <c r="J25" s="799" t="str">
        <f t="shared" si="0"/>
        <v>INCLUDED</v>
      </c>
    </row>
    <row r="26" spans="1:28" ht="46.8">
      <c r="A26" s="860">
        <v>9</v>
      </c>
      <c r="B26" s="794">
        <f>+'Sch-1'!B26</f>
        <v>7000027495</v>
      </c>
      <c r="C26" s="794">
        <f>+'Sch-1'!C26</f>
        <v>90</v>
      </c>
      <c r="D26" s="794" t="str">
        <f>+'Sch-1'!D26</f>
        <v xml:space="preserve">Conductor Accessories                   </v>
      </c>
      <c r="E26" s="794">
        <f>+'Sch-1'!E26</f>
        <v>1000064227</v>
      </c>
      <c r="F26" s="797" t="str">
        <f>+'Sch-1'!J26</f>
        <v>REPAIR SLEEVE FOR HTLS CONDUCTOR FOR  400KV TL</v>
      </c>
      <c r="G26" s="794" t="str">
        <f>+'Sch-1'!K26</f>
        <v xml:space="preserve">EA </v>
      </c>
      <c r="H26" s="794">
        <f>+'Sch-1'!L26</f>
        <v>59</v>
      </c>
      <c r="I26" s="861"/>
      <c r="J26" s="799" t="str">
        <f t="shared" si="0"/>
        <v>INCLUDED</v>
      </c>
    </row>
    <row r="27" spans="1:28" ht="46.8">
      <c r="A27" s="860">
        <v>10</v>
      </c>
      <c r="B27" s="794">
        <f>+'Sch-1'!B27</f>
        <v>7000027495</v>
      </c>
      <c r="C27" s="794">
        <f>+'Sch-1'!C27</f>
        <v>100</v>
      </c>
      <c r="D27" s="794" t="str">
        <f>+'Sch-1'!D27</f>
        <v xml:space="preserve">Conductor Accessories                   </v>
      </c>
      <c r="E27" s="794">
        <f>+'Sch-1'!E27</f>
        <v>1000064231</v>
      </c>
      <c r="F27" s="797" t="str">
        <f>+'Sch-1'!J27</f>
        <v>SPACER DAMPER FOR HTLS CONDUCTOR-FOR  400KV TL</v>
      </c>
      <c r="G27" s="794" t="str">
        <f>+'Sch-1'!K27</f>
        <v xml:space="preserve">EA </v>
      </c>
      <c r="H27" s="794">
        <f>+'Sch-1'!L27</f>
        <v>4074</v>
      </c>
      <c r="I27" s="861"/>
      <c r="J27" s="799" t="str">
        <f t="shared" si="0"/>
        <v>INCLUDED</v>
      </c>
    </row>
    <row r="28" spans="1:28" ht="46.8">
      <c r="A28" s="860">
        <v>11</v>
      </c>
      <c r="B28" s="794">
        <f>+'Sch-1'!B28</f>
        <v>7000027495</v>
      </c>
      <c r="C28" s="794">
        <f>+'Sch-1'!C28</f>
        <v>110</v>
      </c>
      <c r="D28" s="794" t="str">
        <f>+'Sch-1'!D28</f>
        <v xml:space="preserve">Conductor Accessories                   </v>
      </c>
      <c r="E28" s="794">
        <f>+'Sch-1'!E28</f>
        <v>1000064229</v>
      </c>
      <c r="F28" s="797" t="str">
        <f>+'Sch-1'!J28</f>
        <v>RIGID SPACER FOR HTLS CONDUCTOR-FOR  400KV TL</v>
      </c>
      <c r="G28" s="794" t="str">
        <f>+'Sch-1'!K28</f>
        <v xml:space="preserve">EA </v>
      </c>
      <c r="H28" s="794">
        <f>+'Sch-1'!L28</f>
        <v>405</v>
      </c>
      <c r="I28" s="861"/>
      <c r="J28" s="799" t="str">
        <f t="shared" si="0"/>
        <v>INCLUDED</v>
      </c>
    </row>
    <row r="29" spans="1:28" ht="46.8">
      <c r="A29" s="860">
        <v>12</v>
      </c>
      <c r="B29" s="794">
        <f>+'Sch-1'!B29</f>
        <v>7000027495</v>
      </c>
      <c r="C29" s="794">
        <f>+'Sch-1'!C29</f>
        <v>120</v>
      </c>
      <c r="D29" s="794" t="str">
        <f>+'Sch-1'!D29</f>
        <v xml:space="preserve">Conductor Accessories                   </v>
      </c>
      <c r="E29" s="794">
        <f>+'Sch-1'!E29</f>
        <v>1000064237</v>
      </c>
      <c r="F29" s="797" t="str">
        <f>+'Sch-1'!J29</f>
        <v>T-CONNECTOR FOR HTLS CONDUCTOR-FOR  400KV TL</v>
      </c>
      <c r="G29" s="794" t="str">
        <f>+'Sch-1'!K29</f>
        <v xml:space="preserve">EA </v>
      </c>
      <c r="H29" s="794">
        <f>+'Sch-1'!L29</f>
        <v>24</v>
      </c>
      <c r="I29" s="861"/>
      <c r="J29" s="799" t="str">
        <f t="shared" si="0"/>
        <v>INCLUDED</v>
      </c>
    </row>
    <row r="30" spans="1:28" ht="46.8">
      <c r="A30" s="860">
        <v>13</v>
      </c>
      <c r="B30" s="794">
        <f>+'Sch-1'!B30</f>
        <v>7000027495</v>
      </c>
      <c r="C30" s="794">
        <f>+'Sch-1'!C30</f>
        <v>160</v>
      </c>
      <c r="D30" s="794" t="str">
        <f>+'Sch-1'!D30</f>
        <v xml:space="preserve">SPARE- HTLS CONDUCTOR                   </v>
      </c>
      <c r="E30" s="794">
        <f>+'Sch-1'!E30</f>
        <v>1000064223</v>
      </c>
      <c r="F30" s="797" t="str">
        <f>+'Sch-1'!J30</f>
        <v>HTLS  CONDUCTOR FOR 400KV TL</v>
      </c>
      <c r="G30" s="794" t="str">
        <f>+'Sch-1'!K30</f>
        <v xml:space="preserve">KM </v>
      </c>
      <c r="H30" s="794">
        <f>+'Sch-1'!L30</f>
        <v>40</v>
      </c>
      <c r="I30" s="861"/>
      <c r="J30" s="799" t="str">
        <f t="shared" ref="J30:J43" si="1">IF(I30=0, "INCLUDED", IF(ISERROR(I30*H30), I30, I30*H30))</f>
        <v>INCLUDED</v>
      </c>
    </row>
    <row r="31" spans="1:28" ht="46.8">
      <c r="A31" s="860">
        <v>14</v>
      </c>
      <c r="B31" s="794">
        <f>+'Sch-1'!B31</f>
        <v>7000027495</v>
      </c>
      <c r="C31" s="794">
        <f>+'Sch-1'!C31</f>
        <v>170</v>
      </c>
      <c r="D31" s="794" t="str">
        <f>+'Sch-1'!D31</f>
        <v xml:space="preserve">SPARE- CLAMP FITTINGS                   </v>
      </c>
      <c r="E31" s="794">
        <f>+'Sch-1'!E31</f>
        <v>1000064233</v>
      </c>
      <c r="F31" s="797" t="str">
        <f>+'Sch-1'!J31</f>
        <v>SUSPENSION  CLAMP  (FREE CENTRE TYPE SUSPENSION CLAMP ALONG WITHPREFORMED ARMOUR RODS OR ARMOUR GRIP SUSPENSION CLAMP) SUITABLE FORSUSPENSION INSULATOR STRING FOR HTLS CONDUCTOR FOR 400KV TL</v>
      </c>
      <c r="G31" s="794" t="str">
        <f>+'Sch-1'!K31</f>
        <v xml:space="preserve">EA </v>
      </c>
      <c r="H31" s="794">
        <f>+'Sch-1'!L31</f>
        <v>60</v>
      </c>
      <c r="I31" s="861"/>
      <c r="J31" s="799" t="str">
        <f t="shared" si="1"/>
        <v>INCLUDED</v>
      </c>
    </row>
    <row r="32" spans="1:28" ht="46.8">
      <c r="A32" s="860">
        <v>15</v>
      </c>
      <c r="B32" s="794">
        <f>+'Sch-1'!B32</f>
        <v>7000027495</v>
      </c>
      <c r="C32" s="794">
        <f>+'Sch-1'!C32</f>
        <v>180</v>
      </c>
      <c r="D32" s="794" t="str">
        <f>+'Sch-1'!D32</f>
        <v xml:space="preserve">SPARE- CLAMP FITTINGS                   </v>
      </c>
      <c r="E32" s="794">
        <f>+'Sch-1'!E32</f>
        <v>1000064235</v>
      </c>
      <c r="F32" s="797" t="str">
        <f>+'Sch-1'!J32</f>
        <v>SUSPENSION  CLAMP SUITABLE FOR SUSPENSION PILOT INSULATOR STRING FORHTLS CONDUCTOR FOR 400KV TL</v>
      </c>
      <c r="G32" s="794" t="str">
        <f>+'Sch-1'!K32</f>
        <v xml:space="preserve">EA </v>
      </c>
      <c r="H32" s="794">
        <f>+'Sch-1'!L32</f>
        <v>14</v>
      </c>
      <c r="I32" s="861"/>
      <c r="J32" s="799" t="str">
        <f t="shared" si="1"/>
        <v>INCLUDED</v>
      </c>
    </row>
    <row r="33" spans="1:10" ht="46.8">
      <c r="A33" s="860">
        <v>16</v>
      </c>
      <c r="B33" s="794">
        <f>+'Sch-1'!B33</f>
        <v>7000027495</v>
      </c>
      <c r="C33" s="794">
        <f>+'Sch-1'!C33</f>
        <v>190</v>
      </c>
      <c r="D33" s="794" t="str">
        <f>+'Sch-1'!D33</f>
        <v xml:space="preserve">SPARE- CLAMP FITTINGS                   </v>
      </c>
      <c r="E33" s="794">
        <f>+'Sch-1'!E33</f>
        <v>1000064221</v>
      </c>
      <c r="F33" s="797" t="str">
        <f>+'Sch-1'!J33</f>
        <v>DEAD END CLAMP SUITABLE FOR TENSION INSULATOR STRING FOR  HTLSCONDUCTOR FOR  400KV TL</v>
      </c>
      <c r="G33" s="794" t="str">
        <f>+'Sch-1'!K33</f>
        <v xml:space="preserve">EA </v>
      </c>
      <c r="H33" s="794">
        <f>+'Sch-1'!L33</f>
        <v>48</v>
      </c>
      <c r="I33" s="861"/>
      <c r="J33" s="799" t="str">
        <f t="shared" si="1"/>
        <v>INCLUDED</v>
      </c>
    </row>
    <row r="34" spans="1:10" ht="46.8">
      <c r="A34" s="860">
        <v>17</v>
      </c>
      <c r="B34" s="794">
        <f>+'Sch-1'!B34</f>
        <v>7000027495</v>
      </c>
      <c r="C34" s="794">
        <f>+'Sch-1'!C34</f>
        <v>200</v>
      </c>
      <c r="D34" s="794" t="str">
        <f>+'Sch-1'!D34</f>
        <v xml:space="preserve">SPARE- CLAMP FITTINGS                   </v>
      </c>
      <c r="E34" s="794">
        <f>+'Sch-1'!E34</f>
        <v>1000019805</v>
      </c>
      <c r="F34" s="797" t="str">
        <f>+'Sch-1'!J34</f>
        <v>Hardware Fittings for Twin HTLS Conductor-Single "I" Suspension String(without clamps)</v>
      </c>
      <c r="G34" s="794" t="str">
        <f>+'Sch-1'!K34</f>
        <v>SET</v>
      </c>
      <c r="H34" s="794">
        <f>+'Sch-1'!L34</f>
        <v>9</v>
      </c>
      <c r="I34" s="861"/>
      <c r="J34" s="799" t="str">
        <f t="shared" si="1"/>
        <v>INCLUDED</v>
      </c>
    </row>
    <row r="35" spans="1:10" ht="46.8">
      <c r="A35" s="860">
        <v>18</v>
      </c>
      <c r="B35" s="794">
        <f>+'Sch-1'!B35</f>
        <v>7000027495</v>
      </c>
      <c r="C35" s="794">
        <f>+'Sch-1'!C35</f>
        <v>210</v>
      </c>
      <c r="D35" s="794" t="str">
        <f>+'Sch-1'!D35</f>
        <v xml:space="preserve">SPARE- CLAMP FITTINGS                   </v>
      </c>
      <c r="E35" s="794">
        <f>+'Sch-1'!E35</f>
        <v>1000019783</v>
      </c>
      <c r="F35" s="797" t="str">
        <f>+'Sch-1'!J35</f>
        <v>Hardware Fittings for Twin HTLS Conductor-Single I Suspension String(Pilot)(without clamps)</v>
      </c>
      <c r="G35" s="794" t="str">
        <f>+'Sch-1'!K35</f>
        <v>SET</v>
      </c>
      <c r="H35" s="794">
        <f>+'Sch-1'!L35</f>
        <v>1</v>
      </c>
      <c r="I35" s="861"/>
      <c r="J35" s="799" t="str">
        <f t="shared" si="1"/>
        <v>INCLUDED</v>
      </c>
    </row>
    <row r="36" spans="1:10" ht="46.8">
      <c r="A36" s="860">
        <v>19</v>
      </c>
      <c r="B36" s="794">
        <f>+'Sch-1'!B36</f>
        <v>7000027495</v>
      </c>
      <c r="C36" s="794">
        <f>+'Sch-1'!C36</f>
        <v>220</v>
      </c>
      <c r="D36" s="794" t="str">
        <f>+'Sch-1'!D36</f>
        <v xml:space="preserve">SPARE- CLAMP FITTINGS                   </v>
      </c>
      <c r="E36" s="794">
        <f>+'Sch-1'!E36</f>
        <v>1000010803</v>
      </c>
      <c r="F36" s="797" t="str">
        <f>+'Sch-1'!J36</f>
        <v>Hardware Fittings for Twin HTLS Conductor-Double TensionString(without clamps)</v>
      </c>
      <c r="G36" s="794" t="str">
        <f>+'Sch-1'!K36</f>
        <v>SET</v>
      </c>
      <c r="H36" s="794">
        <f>+'Sch-1'!L36</f>
        <v>5</v>
      </c>
      <c r="I36" s="861"/>
      <c r="J36" s="799" t="str">
        <f t="shared" si="1"/>
        <v>INCLUDED</v>
      </c>
    </row>
    <row r="37" spans="1:10" ht="46.8">
      <c r="A37" s="860">
        <v>20</v>
      </c>
      <c r="B37" s="794">
        <f>+'Sch-1'!B37</f>
        <v>7000027495</v>
      </c>
      <c r="C37" s="794">
        <f>+'Sch-1'!C37</f>
        <v>230</v>
      </c>
      <c r="D37" s="794" t="str">
        <f>+'Sch-1'!D37</f>
        <v xml:space="preserve">SPARE-CONDUCTOR ACCESSORIES             </v>
      </c>
      <c r="E37" s="794">
        <f>+'Sch-1'!E37</f>
        <v>1000064225</v>
      </c>
      <c r="F37" s="797" t="str">
        <f>+'Sch-1'!J37</f>
        <v>MID SPAN COMPRESSION JOINT FOR HTLS CONDUCTOR FOR  400KV TL</v>
      </c>
      <c r="G37" s="794" t="str">
        <f>+'Sch-1'!K37</f>
        <v xml:space="preserve">EA </v>
      </c>
      <c r="H37" s="794">
        <f>+'Sch-1'!L37</f>
        <v>50</v>
      </c>
      <c r="I37" s="861"/>
      <c r="J37" s="799" t="str">
        <f t="shared" si="1"/>
        <v>INCLUDED</v>
      </c>
    </row>
    <row r="38" spans="1:10" ht="46.8">
      <c r="A38" s="860">
        <v>21</v>
      </c>
      <c r="B38" s="794">
        <f>+'Sch-1'!B38</f>
        <v>7000027495</v>
      </c>
      <c r="C38" s="794">
        <f>+'Sch-1'!C38</f>
        <v>240</v>
      </c>
      <c r="D38" s="794" t="str">
        <f>+'Sch-1'!D38</f>
        <v xml:space="preserve">SPARE-CONDUCTOR ACCESSORIES             </v>
      </c>
      <c r="E38" s="794">
        <f>+'Sch-1'!E38</f>
        <v>1000064227</v>
      </c>
      <c r="F38" s="797" t="str">
        <f>+'Sch-1'!J38</f>
        <v>REPAIR SLEEVE FOR HTLS CONDUCTOR FOR  400KV TL</v>
      </c>
      <c r="G38" s="794" t="str">
        <f>+'Sch-1'!K38</f>
        <v xml:space="preserve">EA </v>
      </c>
      <c r="H38" s="794">
        <f>+'Sch-1'!L38</f>
        <v>50</v>
      </c>
      <c r="I38" s="861"/>
      <c r="J38" s="799" t="str">
        <f t="shared" si="1"/>
        <v>INCLUDED</v>
      </c>
    </row>
    <row r="39" spans="1:10" ht="46.8">
      <c r="A39" s="860">
        <v>22</v>
      </c>
      <c r="B39" s="794">
        <f>+'Sch-1'!B39</f>
        <v>7000027495</v>
      </c>
      <c r="C39" s="794">
        <f>+'Sch-1'!C39</f>
        <v>250</v>
      </c>
      <c r="D39" s="794" t="str">
        <f>+'Sch-1'!D39</f>
        <v xml:space="preserve">SPARE-CONDUCTOR ACCESSORIES             </v>
      </c>
      <c r="E39" s="794">
        <f>+'Sch-1'!E39</f>
        <v>1000064231</v>
      </c>
      <c r="F39" s="797" t="str">
        <f>+'Sch-1'!J39</f>
        <v>SPACER DAMPER FOR HTLS CONDUCTOR-FOR  400KV TL</v>
      </c>
      <c r="G39" s="794" t="str">
        <f>+'Sch-1'!K39</f>
        <v xml:space="preserve">EA </v>
      </c>
      <c r="H39" s="794">
        <f>+'Sch-1'!L39</f>
        <v>252</v>
      </c>
      <c r="I39" s="861"/>
      <c r="J39" s="799" t="str">
        <f t="shared" si="1"/>
        <v>INCLUDED</v>
      </c>
    </row>
    <row r="40" spans="1:10" ht="46.8">
      <c r="A40" s="860">
        <v>23</v>
      </c>
      <c r="B40" s="794">
        <f>+'Sch-1'!B40</f>
        <v>7000027495</v>
      </c>
      <c r="C40" s="794">
        <f>+'Sch-1'!C40</f>
        <v>260</v>
      </c>
      <c r="D40" s="794" t="str">
        <f>+'Sch-1'!D40</f>
        <v xml:space="preserve">SPARE-CONDUCTOR ACCESSORIES             </v>
      </c>
      <c r="E40" s="794">
        <f>+'Sch-1'!E40</f>
        <v>1000064229</v>
      </c>
      <c r="F40" s="797" t="str">
        <f>+'Sch-1'!J40</f>
        <v>RIGID SPACER FOR HTLS CONDUCTOR-FOR  400KV TL</v>
      </c>
      <c r="G40" s="794" t="str">
        <f>+'Sch-1'!K40</f>
        <v xml:space="preserve">EA </v>
      </c>
      <c r="H40" s="794">
        <f>+'Sch-1'!L40</f>
        <v>18</v>
      </c>
      <c r="I40" s="861"/>
      <c r="J40" s="799" t="str">
        <f t="shared" si="1"/>
        <v>INCLUDED</v>
      </c>
    </row>
    <row r="41" spans="1:10" ht="46.8">
      <c r="A41" s="860">
        <v>24</v>
      </c>
      <c r="B41" s="794">
        <f>+'Sch-1'!B41</f>
        <v>7000027495</v>
      </c>
      <c r="C41" s="794">
        <f>+'Sch-1'!C41</f>
        <v>270</v>
      </c>
      <c r="D41" s="794" t="str">
        <f>+'Sch-1'!D41</f>
        <v xml:space="preserve">FABRICATION &amp; SUPPLY (ASSORTED MEMBERS) </v>
      </c>
      <c r="E41" s="794">
        <f>+'Sch-1'!E41</f>
        <v>1000013472</v>
      </c>
      <c r="F41" s="797" t="str">
        <f>+'Sch-1'!J41</f>
        <v>Supply of Hexagonal Bolts &amp; Nuts fortowers including Step Bolts,SpringWashers etc.</v>
      </c>
      <c r="G41" s="794" t="str">
        <f>+'Sch-1'!K41</f>
        <v xml:space="preserve">MT </v>
      </c>
      <c r="H41" s="794">
        <f>+'Sch-1'!L41</f>
        <v>2</v>
      </c>
      <c r="I41" s="861"/>
      <c r="J41" s="799" t="str">
        <f t="shared" si="1"/>
        <v>INCLUDED</v>
      </c>
    </row>
    <row r="42" spans="1:10" ht="46.8">
      <c r="A42" s="860">
        <v>25</v>
      </c>
      <c r="B42" s="794">
        <f>+'Sch-1'!B42</f>
        <v>7000027495</v>
      </c>
      <c r="C42" s="794">
        <f>+'Sch-1'!C42</f>
        <v>280</v>
      </c>
      <c r="D42" s="794" t="str">
        <f>+'Sch-1'!D42</f>
        <v xml:space="preserve">FABRICATION &amp; SUPPLY (ASSORTED MEMBERS) </v>
      </c>
      <c r="E42" s="794">
        <f>+'Sch-1'!E42</f>
        <v>1000064591</v>
      </c>
      <c r="F42" s="797" t="str">
        <f>+'Sch-1'!J42</f>
        <v>SUPPLY OF ASSORTED TOWER MEMBERS HT</v>
      </c>
      <c r="G42" s="794" t="str">
        <f>+'Sch-1'!K42</f>
        <v xml:space="preserve">MT </v>
      </c>
      <c r="H42" s="794">
        <f>+'Sch-1'!L42</f>
        <v>5</v>
      </c>
      <c r="I42" s="861"/>
      <c r="J42" s="799" t="str">
        <f t="shared" si="1"/>
        <v>INCLUDED</v>
      </c>
    </row>
    <row r="43" spans="1:10" ht="46.8">
      <c r="A43" s="860">
        <v>26</v>
      </c>
      <c r="B43" s="794">
        <f>+'Sch-1'!B43</f>
        <v>7000027495</v>
      </c>
      <c r="C43" s="794">
        <f>+'Sch-1'!C43</f>
        <v>290</v>
      </c>
      <c r="D43" s="794" t="str">
        <f>+'Sch-1'!D43</f>
        <v xml:space="preserve">FABRICATION &amp; SUPPLY (ASSORTED MEMBERS) </v>
      </c>
      <c r="E43" s="794">
        <f>+'Sch-1'!E43</f>
        <v>1000064592</v>
      </c>
      <c r="F43" s="797" t="str">
        <f>+'Sch-1'!J43</f>
        <v>SUPPLY OF ASSORTED TOWER MEMBERS MS</v>
      </c>
      <c r="G43" s="794" t="str">
        <f>+'Sch-1'!K43</f>
        <v xml:space="preserve">MT </v>
      </c>
      <c r="H43" s="794">
        <f>+'Sch-1'!L43</f>
        <v>15</v>
      </c>
      <c r="I43" s="861"/>
      <c r="J43" s="799" t="str">
        <f t="shared" si="1"/>
        <v>INCLUDED</v>
      </c>
    </row>
    <row r="44" spans="1:10" ht="46.8">
      <c r="A44" s="860">
        <v>27</v>
      </c>
      <c r="B44" s="794">
        <f>+'Sch-1'!B44</f>
        <v>7000027495</v>
      </c>
      <c r="C44" s="794">
        <f>+'Sch-1'!C44</f>
        <v>310</v>
      </c>
      <c r="D44" s="794" t="str">
        <f>+'Sch-1'!D44</f>
        <v xml:space="preserve">SHIELDWIRE EARTHING                     </v>
      </c>
      <c r="E44" s="794">
        <f>+'Sch-1'!E44</f>
        <v>1000019718</v>
      </c>
      <c r="F44" s="797" t="str">
        <f>+'Sch-1'!J44</f>
        <v>Supply of Shieldwire EarthingincludingPG clamps, downlead clampsbutexcluding Earthwire bits for Pipetypeearthing</v>
      </c>
      <c r="G44" s="794" t="str">
        <f>+'Sch-1'!K44</f>
        <v xml:space="preserve">EA </v>
      </c>
      <c r="H44" s="794">
        <f>+'Sch-1'!L44</f>
        <v>11</v>
      </c>
      <c r="I44" s="861"/>
      <c r="J44" s="799" t="str">
        <f t="shared" si="0"/>
        <v>INCLUDED</v>
      </c>
    </row>
    <row r="45" spans="1:10" ht="46.8">
      <c r="A45" s="860">
        <v>28</v>
      </c>
      <c r="B45" s="794">
        <f>+'Sch-1'!B45</f>
        <v>7000027495</v>
      </c>
      <c r="C45" s="794">
        <f>+'Sch-1'!C45</f>
        <v>340</v>
      </c>
      <c r="D45" s="794" t="str">
        <f>+'Sch-1'!D45</f>
        <v xml:space="preserve">COMPOSITE LONG ROD INSULATOR            </v>
      </c>
      <c r="E45" s="794">
        <f>+'Sch-1'!E45</f>
        <v>1000009328</v>
      </c>
      <c r="F45" s="797" t="str">
        <f>+'Sch-1'!J45</f>
        <v>Composite long rod Insulators for 400kV Transmission Line-160 KN(Length-3910 mm, Creepage-13020 mm)</v>
      </c>
      <c r="G45" s="794" t="str">
        <f>+'Sch-1'!K45</f>
        <v xml:space="preserve">EA </v>
      </c>
      <c r="H45" s="794">
        <f>+'Sch-1'!L45</f>
        <v>540</v>
      </c>
      <c r="I45" s="861"/>
      <c r="J45" s="799" t="str">
        <f t="shared" si="0"/>
        <v>INCLUDED</v>
      </c>
    </row>
    <row r="46" spans="1:10" ht="46.8">
      <c r="A46" s="860">
        <v>29</v>
      </c>
      <c r="B46" s="794">
        <f>+'Sch-1'!B46</f>
        <v>7000027495</v>
      </c>
      <c r="C46" s="794">
        <f>+'Sch-1'!C46</f>
        <v>350</v>
      </c>
      <c r="D46" s="794" t="str">
        <f>+'Sch-1'!D46</f>
        <v xml:space="preserve">COMPOSITE LONG ROD INSULATOR            </v>
      </c>
      <c r="E46" s="794">
        <f>+'Sch-1'!E46</f>
        <v>1000009325</v>
      </c>
      <c r="F46" s="797" t="str">
        <f>+'Sch-1'!J46</f>
        <v>Composite long rod Insulators for 400kV Transmission Line-120 KN(Length-3335 mm, Creepage-13020 mm)</v>
      </c>
      <c r="G46" s="794" t="str">
        <f>+'Sch-1'!K46</f>
        <v xml:space="preserve">EA </v>
      </c>
      <c r="H46" s="794">
        <f>+'Sch-1'!L46</f>
        <v>515</v>
      </c>
      <c r="I46" s="861"/>
      <c r="J46" s="799" t="str">
        <f t="shared" si="0"/>
        <v>INCLUDED</v>
      </c>
    </row>
    <row r="47" spans="1:10" ht="46.8">
      <c r="A47" s="860">
        <v>30</v>
      </c>
      <c r="B47" s="794">
        <f>+'Sch-1'!B47</f>
        <v>7000027495</v>
      </c>
      <c r="C47" s="794">
        <f>+'Sch-1'!C47</f>
        <v>360</v>
      </c>
      <c r="D47" s="794" t="str">
        <f>+'Sch-1'!D47</f>
        <v xml:space="preserve">SPARE- CLR INSULATOR                    </v>
      </c>
      <c r="E47" s="794">
        <f>+'Sch-1'!E47</f>
        <v>1000009328</v>
      </c>
      <c r="F47" s="797" t="str">
        <f>+'Sch-1'!J47</f>
        <v>Composite long rod Insulators for 400kV Transmission Line-160 KN(Length-3910 mm, Creepage-13020 mm)</v>
      </c>
      <c r="G47" s="794" t="str">
        <f>+'Sch-1'!K47</f>
        <v xml:space="preserve">EA </v>
      </c>
      <c r="H47" s="794">
        <f>+'Sch-1'!L47</f>
        <v>54</v>
      </c>
      <c r="I47" s="861"/>
      <c r="J47" s="799" t="str">
        <f t="shared" si="0"/>
        <v>INCLUDED</v>
      </c>
    </row>
    <row r="48" spans="1:10" ht="46.8">
      <c r="A48" s="860">
        <v>31</v>
      </c>
      <c r="B48" s="794">
        <f>+'Sch-1'!B48</f>
        <v>7000027495</v>
      </c>
      <c r="C48" s="794">
        <f>+'Sch-1'!C48</f>
        <v>370</v>
      </c>
      <c r="D48" s="794" t="str">
        <f>+'Sch-1'!D48</f>
        <v xml:space="preserve">SPARE- CLR INSULATOR                    </v>
      </c>
      <c r="E48" s="794">
        <f>+'Sch-1'!E48</f>
        <v>1000009325</v>
      </c>
      <c r="F48" s="797" t="str">
        <f>+'Sch-1'!J48</f>
        <v>Composite long rod Insulators for 400kV Transmission Line-120 KN(Length-3335 mm, Creepage-13020 mm)</v>
      </c>
      <c r="G48" s="794" t="str">
        <f>+'Sch-1'!K48</f>
        <v xml:space="preserve">EA </v>
      </c>
      <c r="H48" s="794">
        <f>+'Sch-1'!L48</f>
        <v>52</v>
      </c>
      <c r="I48" s="861"/>
      <c r="J48" s="799" t="str">
        <f t="shared" si="0"/>
        <v>INCLUDED</v>
      </c>
    </row>
    <row r="49" spans="1:28" ht="46.8">
      <c r="A49" s="860">
        <v>32</v>
      </c>
      <c r="B49" s="794">
        <f>+'Sch-1'!B49</f>
        <v>7000027495</v>
      </c>
      <c r="C49" s="794">
        <f>+'Sch-1'!C49</f>
        <v>380</v>
      </c>
      <c r="D49" s="794" t="str">
        <f>+'Sch-1'!D49</f>
        <v xml:space="preserve">SUPPLY OF TOWER ACCESSORIES             </v>
      </c>
      <c r="E49" s="794">
        <f>+'Sch-1'!E49</f>
        <v>1000010539</v>
      </c>
      <c r="F49" s="797" t="str">
        <f>+'Sch-1'!J49</f>
        <v>Danger  Plate for 400kV</v>
      </c>
      <c r="G49" s="794" t="str">
        <f>+'Sch-1'!K49</f>
        <v xml:space="preserve">EA </v>
      </c>
      <c r="H49" s="794">
        <f>+'Sch-1'!L49</f>
        <v>193</v>
      </c>
      <c r="I49" s="861"/>
      <c r="J49" s="799" t="str">
        <f t="shared" si="0"/>
        <v>INCLUDED</v>
      </c>
    </row>
    <row r="50" spans="1:28" ht="46.8">
      <c r="A50" s="860">
        <v>33</v>
      </c>
      <c r="B50" s="794">
        <f>+'Sch-1'!B50</f>
        <v>7000027495</v>
      </c>
      <c r="C50" s="794">
        <f>+'Sch-1'!C50</f>
        <v>390</v>
      </c>
      <c r="D50" s="794" t="str">
        <f>+'Sch-1'!D50</f>
        <v xml:space="preserve">SUPPLY OF TOWER ACCESSORIES             </v>
      </c>
      <c r="E50" s="794">
        <f>+'Sch-1'!E50</f>
        <v>1000015971</v>
      </c>
      <c r="F50" s="797" t="str">
        <f>+'Sch-1'!J50</f>
        <v>Number  Plate for 400kV</v>
      </c>
      <c r="G50" s="794" t="str">
        <f>+'Sch-1'!K50</f>
        <v xml:space="preserve">EA </v>
      </c>
      <c r="H50" s="794">
        <f>+'Sch-1'!L50</f>
        <v>193</v>
      </c>
      <c r="I50" s="861"/>
      <c r="J50" s="799" t="str">
        <f t="shared" si="0"/>
        <v>INCLUDED</v>
      </c>
    </row>
    <row r="51" spans="1:28" ht="46.8">
      <c r="A51" s="860">
        <v>34</v>
      </c>
      <c r="B51" s="794">
        <f>+'Sch-1'!B51</f>
        <v>7000027495</v>
      </c>
      <c r="C51" s="794">
        <f>+'Sch-1'!C51</f>
        <v>400</v>
      </c>
      <c r="D51" s="794" t="str">
        <f>+'Sch-1'!D51</f>
        <v xml:space="preserve">SUPPLY OF TOWER ACCESSORIES             </v>
      </c>
      <c r="E51" s="794">
        <f>+'Sch-1'!E51</f>
        <v>1000017508</v>
      </c>
      <c r="F51" s="797" t="str">
        <f>+'Sch-1'!J51</f>
        <v>Phase Plate (Set of three)</v>
      </c>
      <c r="G51" s="794" t="str">
        <f>+'Sch-1'!K51</f>
        <v>SET</v>
      </c>
      <c r="H51" s="794">
        <f>+'Sch-1'!L51</f>
        <v>193</v>
      </c>
      <c r="I51" s="861"/>
      <c r="J51" s="799" t="str">
        <f t="shared" si="0"/>
        <v>INCLUDED</v>
      </c>
    </row>
    <row r="52" spans="1:28" ht="46.8">
      <c r="A52" s="860">
        <v>35</v>
      </c>
      <c r="B52" s="794">
        <f>+'Sch-1'!B52</f>
        <v>7000027495</v>
      </c>
      <c r="C52" s="794">
        <f>+'Sch-1'!C52</f>
        <v>410</v>
      </c>
      <c r="D52" s="794" t="str">
        <f>+'Sch-1'!D52</f>
        <v xml:space="preserve">SUPPLY OF TOWER ACCESSORIES             </v>
      </c>
      <c r="E52" s="794">
        <f>+'Sch-1'!E52</f>
        <v>1000006779</v>
      </c>
      <c r="F52" s="797" t="str">
        <f>+'Sch-1'!J52</f>
        <v>Supply of Anti-Climbing Devices ofBarbedWire Type</v>
      </c>
      <c r="G52" s="794" t="str">
        <f>+'Sch-1'!K52</f>
        <v>SET</v>
      </c>
      <c r="H52" s="794">
        <f>+'Sch-1'!L52</f>
        <v>193</v>
      </c>
      <c r="I52" s="861"/>
      <c r="J52" s="799" t="str">
        <f t="shared" si="0"/>
        <v>INCLUDED</v>
      </c>
    </row>
    <row r="53" spans="1:28" ht="46.8">
      <c r="A53" s="860">
        <v>36</v>
      </c>
      <c r="B53" s="794">
        <f>+'Sch-1'!B53</f>
        <v>7000027495</v>
      </c>
      <c r="C53" s="794">
        <f>+'Sch-1'!C53</f>
        <v>420</v>
      </c>
      <c r="D53" s="794" t="str">
        <f>+'Sch-1'!D53</f>
        <v xml:space="preserve">SUPPLY OF TOWER ACCESSORIES             </v>
      </c>
      <c r="E53" s="794">
        <f>+'Sch-1'!E53</f>
        <v>1000007735</v>
      </c>
      <c r="F53" s="797" t="str">
        <f>+'Sch-1'!J53</f>
        <v>Bird Guard (Set of Three)</v>
      </c>
      <c r="G53" s="794" t="str">
        <f>+'Sch-1'!K53</f>
        <v>SET</v>
      </c>
      <c r="H53" s="794">
        <f>+'Sch-1'!L53</f>
        <v>149</v>
      </c>
      <c r="I53" s="861"/>
      <c r="J53" s="799" t="str">
        <f t="shared" si="0"/>
        <v>INCLUDED</v>
      </c>
    </row>
    <row r="54" spans="1:28" ht="46.8">
      <c r="A54" s="860">
        <v>37</v>
      </c>
      <c r="B54" s="794">
        <f>+'Sch-1'!B54</f>
        <v>7000027495</v>
      </c>
      <c r="C54" s="794">
        <f>+'Sch-1'!C54</f>
        <v>430</v>
      </c>
      <c r="D54" s="794" t="str">
        <f>+'Sch-1'!D54</f>
        <v xml:space="preserve">EARTHWIRE                               </v>
      </c>
      <c r="E54" s="794">
        <f>+'Sch-1'!E54</f>
        <v>1000030841</v>
      </c>
      <c r="F54" s="797" t="str">
        <f>+'Sch-1'!J54</f>
        <v>7/3.66 G.S. EARTHWIRE</v>
      </c>
      <c r="G54" s="794" t="str">
        <f>+'Sch-1'!K54</f>
        <v xml:space="preserve">KM </v>
      </c>
      <c r="H54" s="794">
        <f>+'Sch-1'!L54</f>
        <v>71</v>
      </c>
      <c r="I54" s="861"/>
      <c r="J54" s="799" t="str">
        <f t="shared" si="0"/>
        <v>INCLUDED</v>
      </c>
    </row>
    <row r="55" spans="1:28" ht="46.8">
      <c r="A55" s="860">
        <v>38</v>
      </c>
      <c r="B55" s="794">
        <f>+'Sch-1'!B55</f>
        <v>7000027495</v>
      </c>
      <c r="C55" s="794">
        <f>+'Sch-1'!C55</f>
        <v>440</v>
      </c>
      <c r="D55" s="794" t="str">
        <f>+'Sch-1'!D55</f>
        <v xml:space="preserve">ACCESSORIES FOR EARTHWIRE               </v>
      </c>
      <c r="E55" s="794">
        <f>+'Sch-1'!E55</f>
        <v>1000015505</v>
      </c>
      <c r="F55" s="797" t="str">
        <f>+'Sch-1'!J55</f>
        <v>Mid Span Compression Joint -7/3.66mmEarth Wire</v>
      </c>
      <c r="G55" s="794" t="str">
        <f>+'Sch-1'!K55</f>
        <v xml:space="preserve">EA </v>
      </c>
      <c r="H55" s="794">
        <f>+'Sch-1'!L55</f>
        <v>39</v>
      </c>
      <c r="I55" s="861"/>
      <c r="J55" s="799" t="str">
        <f t="shared" si="0"/>
        <v>INCLUDED</v>
      </c>
    </row>
    <row r="56" spans="1:28" ht="46.8">
      <c r="A56" s="860">
        <v>39</v>
      </c>
      <c r="B56" s="794">
        <f>+'Sch-1'!B56</f>
        <v>7000027495</v>
      </c>
      <c r="C56" s="794">
        <f>+'Sch-1'!C56</f>
        <v>450</v>
      </c>
      <c r="D56" s="794" t="str">
        <f>+'Sch-1'!D56</f>
        <v xml:space="preserve">ACCESSORIES FOR EARTHWIRE               </v>
      </c>
      <c r="E56" s="794">
        <f>+'Sch-1'!E56</f>
        <v>1000034136</v>
      </c>
      <c r="F56" s="797" t="str">
        <f>+'Sch-1'!J56</f>
        <v>FLEXIBLE ALUMUNIUM BOND</v>
      </c>
      <c r="G56" s="794" t="str">
        <f>+'Sch-1'!K56</f>
        <v xml:space="preserve">EA </v>
      </c>
      <c r="H56" s="794">
        <f>+'Sch-1'!L56</f>
        <v>213</v>
      </c>
      <c r="I56" s="861"/>
      <c r="J56" s="799" t="str">
        <f t="shared" si="0"/>
        <v>INCLUDED</v>
      </c>
    </row>
    <row r="57" spans="1:28" ht="46.8">
      <c r="A57" s="860">
        <v>40</v>
      </c>
      <c r="B57" s="794">
        <f>+'Sch-1'!B57</f>
        <v>7000027495</v>
      </c>
      <c r="C57" s="794">
        <f>+'Sch-1'!C57</f>
        <v>460</v>
      </c>
      <c r="D57" s="794" t="str">
        <f>+'Sch-1'!D57</f>
        <v xml:space="preserve">ACCESSORIES FOR EARTHWIRE               </v>
      </c>
      <c r="E57" s="794">
        <f>+'Sch-1'!E57</f>
        <v>1000022420</v>
      </c>
      <c r="F57" s="797" t="str">
        <f>+'Sch-1'!J57</f>
        <v>Vibration damper -7/3.66mm Earth Wire</v>
      </c>
      <c r="G57" s="794" t="str">
        <f>+'Sch-1'!K57</f>
        <v xml:space="preserve">EA </v>
      </c>
      <c r="H57" s="794">
        <f>+'Sch-1'!L57</f>
        <v>426</v>
      </c>
      <c r="I57" s="861"/>
      <c r="J57" s="799" t="str">
        <f t="shared" si="0"/>
        <v>INCLUDED</v>
      </c>
    </row>
    <row r="58" spans="1:28" ht="46.8">
      <c r="A58" s="860">
        <v>41</v>
      </c>
      <c r="B58" s="794">
        <f>+'Sch-1'!B58</f>
        <v>7000027495</v>
      </c>
      <c r="C58" s="794">
        <f>+'Sch-1'!C58</f>
        <v>470</v>
      </c>
      <c r="D58" s="794" t="str">
        <f>+'Sch-1'!D58</f>
        <v xml:space="preserve">ACCESSORIES FOR EARTHWIRE               </v>
      </c>
      <c r="E58" s="794">
        <f>+'Sch-1'!E58</f>
        <v>1000020447</v>
      </c>
      <c r="F58" s="797" t="str">
        <f>+'Sch-1'!J58</f>
        <v>Suspension clamp assembly -7/3.66mmEarth Wire</v>
      </c>
      <c r="G58" s="794" t="str">
        <f>+'Sch-1'!K58</f>
        <v xml:space="preserve">EA </v>
      </c>
      <c r="H58" s="794">
        <f>+'Sch-1'!L58</f>
        <v>145</v>
      </c>
      <c r="I58" s="861"/>
      <c r="J58" s="799" t="str">
        <f t="shared" si="0"/>
        <v>INCLUDED</v>
      </c>
    </row>
    <row r="59" spans="1:28" ht="46.8">
      <c r="A59" s="860">
        <v>42</v>
      </c>
      <c r="B59" s="794">
        <f>+'Sch-1'!B59</f>
        <v>7000027495</v>
      </c>
      <c r="C59" s="794">
        <f>+'Sch-1'!C59</f>
        <v>480</v>
      </c>
      <c r="D59" s="794" t="str">
        <f>+'Sch-1'!D59</f>
        <v xml:space="preserve">ACCESSORIES FOR EARTHWIRE               </v>
      </c>
      <c r="E59" s="794">
        <f>+'Sch-1'!E59</f>
        <v>1000020991</v>
      </c>
      <c r="F59" s="797" t="str">
        <f>+'Sch-1'!J59</f>
        <v>Tension clamp assembly-7/3.66mm EarthWire</v>
      </c>
      <c r="G59" s="794" t="str">
        <f>+'Sch-1'!K59</f>
        <v xml:space="preserve">EA </v>
      </c>
      <c r="H59" s="794">
        <f>+'Sch-1'!L59</f>
        <v>64</v>
      </c>
      <c r="I59" s="861"/>
      <c r="J59" s="799" t="str">
        <f t="shared" si="0"/>
        <v>INCLUDED</v>
      </c>
    </row>
    <row r="60" spans="1:28" ht="46.8">
      <c r="A60" s="860">
        <v>43</v>
      </c>
      <c r="B60" s="794">
        <f>+'Sch-1'!B60</f>
        <v>7000027495</v>
      </c>
      <c r="C60" s="794">
        <f>+'Sch-1'!C60</f>
        <v>500</v>
      </c>
      <c r="D60" s="794" t="str">
        <f>+'Sch-1'!D60</f>
        <v xml:space="preserve">FABRICATION &amp; SUPPLY (LADDER RC TOWER)  </v>
      </c>
      <c r="E60" s="794">
        <f>+'Sch-1'!E60</f>
        <v>1000024159</v>
      </c>
      <c r="F60" s="797" t="str">
        <f>+'Sch-1'!J60</f>
        <v>Assorted MS Angles</v>
      </c>
      <c r="G60" s="794" t="str">
        <f>+'Sch-1'!K60</f>
        <v xml:space="preserve">KG </v>
      </c>
      <c r="H60" s="794">
        <f>+'Sch-1'!L60</f>
        <v>2000</v>
      </c>
      <c r="I60" s="861"/>
      <c r="J60" s="799" t="str">
        <f t="shared" si="0"/>
        <v>INCLUDED</v>
      </c>
    </row>
    <row r="61" spans="1:28" ht="46.8">
      <c r="A61" s="860">
        <v>44</v>
      </c>
      <c r="B61" s="794">
        <f>+'Sch-1'!B61</f>
        <v>7000027495</v>
      </c>
      <c r="C61" s="794">
        <f>+'Sch-1'!C61</f>
        <v>520</v>
      </c>
      <c r="D61" s="794" t="str">
        <f>+'Sch-1'!D61</f>
        <v xml:space="preserve">SPECIAL TOOLS &amp; TACKLES FOR HTLS        </v>
      </c>
      <c r="E61" s="794">
        <f>+'Sch-1'!E61</f>
        <v>8000002295</v>
      </c>
      <c r="F61" s="797" t="str">
        <f>+'Sch-1'!J61</f>
        <v>SUPPLY OF ONE SET OF ALL THE SPECIAL TOOLS &amp; TACKLES REQUIRED FORSTRINGING OF THE OFFERED HTLS CONDUCTOR</v>
      </c>
      <c r="G61" s="794" t="str">
        <f>+'Sch-1'!K61</f>
        <v xml:space="preserve">LS </v>
      </c>
      <c r="H61" s="794">
        <f>+'Sch-1'!L61</f>
        <v>1</v>
      </c>
      <c r="I61" s="861"/>
      <c r="J61" s="799" t="str">
        <f t="shared" si="0"/>
        <v>INCLUDED</v>
      </c>
    </row>
    <row r="62" spans="1:28" s="859" customFormat="1" ht="34.5" customHeight="1">
      <c r="A62" s="853" t="str">
        <f>'Sch-1'!A62</f>
        <v>II</v>
      </c>
      <c r="B62" s="854" t="str">
        <f>'Sch-1'!B62:D62</f>
        <v xml:space="preserve">Re-conductoring Hisar-Hisar TL      </v>
      </c>
      <c r="C62" s="855"/>
      <c r="D62" s="856"/>
      <c r="E62" s="857"/>
      <c r="F62" s="857"/>
      <c r="G62" s="857"/>
      <c r="H62" s="857"/>
      <c r="I62" s="857"/>
      <c r="J62" s="857"/>
      <c r="K62" s="858"/>
      <c r="L62" s="858"/>
      <c r="M62" s="858"/>
      <c r="N62" s="858"/>
      <c r="O62" s="858"/>
      <c r="P62" s="858"/>
      <c r="Q62" s="858"/>
      <c r="R62" s="858"/>
      <c r="S62" s="858"/>
      <c r="T62" s="858"/>
      <c r="U62" s="858"/>
      <c r="V62" s="858"/>
      <c r="W62" s="858"/>
      <c r="X62" s="858"/>
      <c r="Y62" s="858"/>
      <c r="Z62" s="858"/>
      <c r="AA62" s="858"/>
      <c r="AB62" s="858"/>
    </row>
    <row r="63" spans="1:28" ht="31.2">
      <c r="A63" s="860">
        <v>1</v>
      </c>
      <c r="B63" s="794">
        <f>+'Sch-1'!B63</f>
        <v>7000027494</v>
      </c>
      <c r="C63" s="794">
        <f>+'Sch-1'!C63</f>
        <v>10</v>
      </c>
      <c r="D63" s="794" t="str">
        <f>+'Sch-1'!D63</f>
        <v xml:space="preserve">Conductor                               </v>
      </c>
      <c r="E63" s="794">
        <f>+'Sch-1'!E63</f>
        <v>1000060404</v>
      </c>
      <c r="F63" s="797" t="str">
        <f>+'Sch-1'!J63</f>
        <v>HTLS  CONDUCTOR FOR 220KV TL</v>
      </c>
      <c r="G63" s="794" t="str">
        <f>+'Sch-1'!K63</f>
        <v xml:space="preserve">KM </v>
      </c>
      <c r="H63" s="794">
        <f>+'Sch-1'!L63</f>
        <v>84</v>
      </c>
      <c r="I63" s="861"/>
      <c r="J63" s="799" t="str">
        <f t="shared" ref="J63:J87" si="2">IF(I63=0, "INCLUDED", IF(ISERROR(I63*H63), I63, I63*H63))</f>
        <v>INCLUDED</v>
      </c>
    </row>
    <row r="64" spans="1:28" ht="31.2">
      <c r="A64" s="860">
        <v>2</v>
      </c>
      <c r="B64" s="794">
        <f>+'Sch-1'!B64</f>
        <v>7000027494</v>
      </c>
      <c r="C64" s="794">
        <f>+'Sch-1'!C64</f>
        <v>20</v>
      </c>
      <c r="D64" s="794" t="str">
        <f>+'Sch-1'!D64</f>
        <v xml:space="preserve">HTLS CLAMPS &amp; FITTINGS                  </v>
      </c>
      <c r="E64" s="794">
        <f>+'Sch-1'!E64</f>
        <v>1000060407</v>
      </c>
      <c r="F64" s="797" t="str">
        <f>+'Sch-1'!J64</f>
        <v>SUSPENSION  CLAMP  (FREE CENTRE TYPE SUSPENSION CLAMP ALONG WITHPREFORMED ARMOUR RODS OR ARMOUR GRIP SUSPENSION CLAMP) SUITABLE FORSUSPENSION INSULATOR STRING FOR HTLS CONDUCTOR FOR 220KV TL</v>
      </c>
      <c r="G64" s="794" t="str">
        <f>+'Sch-1'!K64</f>
        <v xml:space="preserve">EA </v>
      </c>
      <c r="H64" s="794">
        <f>+'Sch-1'!L64</f>
        <v>186</v>
      </c>
      <c r="I64" s="861"/>
      <c r="J64" s="799" t="str">
        <f t="shared" si="2"/>
        <v>INCLUDED</v>
      </c>
    </row>
    <row r="65" spans="1:10" ht="31.2">
      <c r="A65" s="860">
        <v>3</v>
      </c>
      <c r="B65" s="794">
        <f>+'Sch-1'!B65</f>
        <v>7000027494</v>
      </c>
      <c r="C65" s="794">
        <f>+'Sch-1'!C65</f>
        <v>30</v>
      </c>
      <c r="D65" s="794" t="str">
        <f>+'Sch-1'!D65</f>
        <v xml:space="preserve">HTLS CLAMPS &amp; FITTINGS                  </v>
      </c>
      <c r="E65" s="794">
        <f>+'Sch-1'!E65</f>
        <v>1000060408</v>
      </c>
      <c r="F65" s="797" t="str">
        <f>+'Sch-1'!J65</f>
        <v>SUSPENSION  CLAMP SUITABLE FOR SUSPENSION PILOT INSULATOR STRING FORHTLS CONDUCTOR FOR 220KV TL</v>
      </c>
      <c r="G65" s="794" t="str">
        <f>+'Sch-1'!K65</f>
        <v xml:space="preserve">EA </v>
      </c>
      <c r="H65" s="794">
        <f>+'Sch-1'!L65</f>
        <v>30</v>
      </c>
      <c r="I65" s="861"/>
      <c r="J65" s="799" t="str">
        <f t="shared" si="2"/>
        <v>INCLUDED</v>
      </c>
    </row>
    <row r="66" spans="1:10" ht="31.2">
      <c r="A66" s="860">
        <v>4</v>
      </c>
      <c r="B66" s="794">
        <f>+'Sch-1'!B66</f>
        <v>7000027494</v>
      </c>
      <c r="C66" s="794">
        <f>+'Sch-1'!C66</f>
        <v>40</v>
      </c>
      <c r="D66" s="794" t="str">
        <f>+'Sch-1'!D66</f>
        <v xml:space="preserve">HTLS CLAMPS &amp; FITTINGS                  </v>
      </c>
      <c r="E66" s="794">
        <f>+'Sch-1'!E66</f>
        <v>1000060403</v>
      </c>
      <c r="F66" s="797" t="str">
        <f>+'Sch-1'!J66</f>
        <v>DEAD END CLAMP SUITABLE FOR TENSION INSULATOR STRING FOR  HTLSCONDUCTOR FOR  220KV TL</v>
      </c>
      <c r="G66" s="794" t="str">
        <f>+'Sch-1'!K66</f>
        <v xml:space="preserve">EA </v>
      </c>
      <c r="H66" s="794">
        <f>+'Sch-1'!L66</f>
        <v>192</v>
      </c>
      <c r="I66" s="861"/>
      <c r="J66" s="799" t="str">
        <f t="shared" si="2"/>
        <v>INCLUDED</v>
      </c>
    </row>
    <row r="67" spans="1:10" ht="31.2">
      <c r="A67" s="860">
        <v>5</v>
      </c>
      <c r="B67" s="794">
        <f>+'Sch-1'!B67</f>
        <v>7000027494</v>
      </c>
      <c r="C67" s="794">
        <f>+'Sch-1'!C67</f>
        <v>50</v>
      </c>
      <c r="D67" s="794" t="str">
        <f>+'Sch-1'!D67</f>
        <v xml:space="preserve">HTLS CLAMPS &amp; FITTINGS                  </v>
      </c>
      <c r="E67" s="794">
        <f>+'Sch-1'!E67</f>
        <v>1000030482</v>
      </c>
      <c r="F67" s="797" t="str">
        <f>+'Sch-1'!J67</f>
        <v>Single  'I' suspension hardware fittings (except clamps) Hardwarefittings suitable for HTLS conductor</v>
      </c>
      <c r="G67" s="794" t="str">
        <f>+'Sch-1'!K67</f>
        <v>SET</v>
      </c>
      <c r="H67" s="794">
        <f>+'Sch-1'!L67</f>
        <v>186</v>
      </c>
      <c r="I67" s="861"/>
      <c r="J67" s="799" t="str">
        <f t="shared" si="2"/>
        <v>INCLUDED</v>
      </c>
    </row>
    <row r="68" spans="1:10" ht="31.2">
      <c r="A68" s="860">
        <v>6</v>
      </c>
      <c r="B68" s="794">
        <f>+'Sch-1'!B68</f>
        <v>7000027494</v>
      </c>
      <c r="C68" s="794">
        <f>+'Sch-1'!C68</f>
        <v>60</v>
      </c>
      <c r="D68" s="794" t="str">
        <f>+'Sch-1'!D68</f>
        <v xml:space="preserve">HTLS CLAMPS &amp; FITTINGS                  </v>
      </c>
      <c r="E68" s="794">
        <f>+'Sch-1'!E68</f>
        <v>1000030481</v>
      </c>
      <c r="F68" s="797" t="str">
        <f>+'Sch-1'!J68</f>
        <v>Single  'I' suspension Pilot hardware fittings (except clamps)Hardwarefittings suitable for HTLS conductorHardware fittings suitable forHTLS conductor</v>
      </c>
      <c r="G68" s="794" t="str">
        <f>+'Sch-1'!K68</f>
        <v>SET</v>
      </c>
      <c r="H68" s="794">
        <f>+'Sch-1'!L68</f>
        <v>30</v>
      </c>
      <c r="I68" s="861"/>
      <c r="J68" s="799" t="str">
        <f t="shared" si="2"/>
        <v>INCLUDED</v>
      </c>
    </row>
    <row r="69" spans="1:10" ht="31.2">
      <c r="A69" s="860">
        <v>7</v>
      </c>
      <c r="B69" s="794">
        <f>+'Sch-1'!B69</f>
        <v>7000027494</v>
      </c>
      <c r="C69" s="794">
        <f>+'Sch-1'!C69</f>
        <v>70</v>
      </c>
      <c r="D69" s="794" t="str">
        <f>+'Sch-1'!D69</f>
        <v xml:space="preserve">HTLS CLAMPS &amp; FITTINGS                  </v>
      </c>
      <c r="E69" s="794">
        <f>+'Sch-1'!E69</f>
        <v>1000030483</v>
      </c>
      <c r="F69" s="797" t="str">
        <f>+'Sch-1'!J69</f>
        <v>Single tension hardware fitiings (except clamps)Hardware fittingssuitable for HTLS conductor</v>
      </c>
      <c r="G69" s="794" t="str">
        <f>+'Sch-1'!K69</f>
        <v>SET</v>
      </c>
      <c r="H69" s="794">
        <f>+'Sch-1'!L69</f>
        <v>192</v>
      </c>
      <c r="I69" s="861"/>
      <c r="J69" s="799" t="str">
        <f t="shared" si="2"/>
        <v>INCLUDED</v>
      </c>
    </row>
    <row r="70" spans="1:10" ht="31.2">
      <c r="A70" s="860">
        <v>8</v>
      </c>
      <c r="B70" s="794">
        <f>+'Sch-1'!B70</f>
        <v>7000027494</v>
      </c>
      <c r="C70" s="794">
        <f>+'Sch-1'!C70</f>
        <v>80</v>
      </c>
      <c r="D70" s="794" t="str">
        <f>+'Sch-1'!D70</f>
        <v xml:space="preserve">Conductor Accessories                   </v>
      </c>
      <c r="E70" s="794">
        <f>+'Sch-1'!E70</f>
        <v>1000060405</v>
      </c>
      <c r="F70" s="797" t="str">
        <f>+'Sch-1'!J70</f>
        <v>MID SPAN COMPRESSION JOINT FOR HTLS CONDUCTOR FOR  220KV TL</v>
      </c>
      <c r="G70" s="794" t="str">
        <f>+'Sch-1'!K70</f>
        <v xml:space="preserve">EA </v>
      </c>
      <c r="H70" s="794">
        <f>+'Sch-1'!L70</f>
        <v>37</v>
      </c>
      <c r="I70" s="861"/>
      <c r="J70" s="799" t="str">
        <f t="shared" si="2"/>
        <v>INCLUDED</v>
      </c>
    </row>
    <row r="71" spans="1:10" ht="31.2">
      <c r="A71" s="860">
        <v>9</v>
      </c>
      <c r="B71" s="794">
        <f>+'Sch-1'!B71</f>
        <v>7000027494</v>
      </c>
      <c r="C71" s="794">
        <f>+'Sch-1'!C71</f>
        <v>90</v>
      </c>
      <c r="D71" s="794" t="str">
        <f>+'Sch-1'!D71</f>
        <v xml:space="preserve">Conductor Accessories                   </v>
      </c>
      <c r="E71" s="794">
        <f>+'Sch-1'!E71</f>
        <v>1000060406</v>
      </c>
      <c r="F71" s="797" t="str">
        <f>+'Sch-1'!J71</f>
        <v>REPAIR SLEEVE FOR HTLS CONDUCTOR FOR  220KV TL</v>
      </c>
      <c r="G71" s="794" t="str">
        <f>+'Sch-1'!K71</f>
        <v xml:space="preserve">EA </v>
      </c>
      <c r="H71" s="794">
        <f>+'Sch-1'!L71</f>
        <v>11</v>
      </c>
      <c r="I71" s="861"/>
      <c r="J71" s="799" t="str">
        <f t="shared" si="2"/>
        <v>INCLUDED</v>
      </c>
    </row>
    <row r="72" spans="1:10" ht="31.2">
      <c r="A72" s="860">
        <v>10</v>
      </c>
      <c r="B72" s="794">
        <f>+'Sch-1'!B72</f>
        <v>7000027494</v>
      </c>
      <c r="C72" s="794">
        <f>+'Sch-1'!C72</f>
        <v>100</v>
      </c>
      <c r="D72" s="794" t="str">
        <f>+'Sch-1'!D72</f>
        <v xml:space="preserve">Conductor Accessories                   </v>
      </c>
      <c r="E72" s="794">
        <f>+'Sch-1'!E72</f>
        <v>1000060410</v>
      </c>
      <c r="F72" s="797" t="str">
        <f>+'Sch-1'!J72</f>
        <v>VIBRATION DAMPER FOR HTLS CONDUCTOR-FOR  220KV TL</v>
      </c>
      <c r="G72" s="794" t="str">
        <f>+'Sch-1'!K72</f>
        <v xml:space="preserve">EA </v>
      </c>
      <c r="H72" s="794">
        <f>+'Sch-1'!L72</f>
        <v>756</v>
      </c>
      <c r="I72" s="861"/>
      <c r="J72" s="799" t="str">
        <f t="shared" si="2"/>
        <v>INCLUDED</v>
      </c>
    </row>
    <row r="73" spans="1:10" ht="31.2">
      <c r="A73" s="860">
        <v>11</v>
      </c>
      <c r="B73" s="794">
        <f>+'Sch-1'!B73</f>
        <v>7000027494</v>
      </c>
      <c r="C73" s="794">
        <f>+'Sch-1'!C73</f>
        <v>140</v>
      </c>
      <c r="D73" s="794" t="str">
        <f>+'Sch-1'!D73</f>
        <v xml:space="preserve">SPARE- HTLS CONDUCTOR                   </v>
      </c>
      <c r="E73" s="794">
        <f>+'Sch-1'!E73</f>
        <v>1000060404</v>
      </c>
      <c r="F73" s="797" t="str">
        <f>+'Sch-1'!J73</f>
        <v>HTLS  CONDUCTOR FOR 220KV TL</v>
      </c>
      <c r="G73" s="794" t="str">
        <f>+'Sch-1'!K73</f>
        <v xml:space="preserve">KM </v>
      </c>
      <c r="H73" s="794">
        <f>+'Sch-1'!L73</f>
        <v>8</v>
      </c>
      <c r="I73" s="861"/>
      <c r="J73" s="799" t="str">
        <f t="shared" si="2"/>
        <v>INCLUDED</v>
      </c>
    </row>
    <row r="74" spans="1:10" ht="31.2">
      <c r="A74" s="860">
        <v>12</v>
      </c>
      <c r="B74" s="794">
        <f>+'Sch-1'!B74</f>
        <v>7000027494</v>
      </c>
      <c r="C74" s="794">
        <f>+'Sch-1'!C74</f>
        <v>150</v>
      </c>
      <c r="D74" s="794" t="str">
        <f>+'Sch-1'!D74</f>
        <v xml:space="preserve">SPARE- HTLS CLAMPS &amp; FITTINGS           </v>
      </c>
      <c r="E74" s="794">
        <f>+'Sch-1'!E74</f>
        <v>1000060407</v>
      </c>
      <c r="F74" s="797" t="str">
        <f>+'Sch-1'!J74</f>
        <v>SUSPENSION  CLAMP  (FREE CENTRE TYPE SUSPENSION CLAMP ALONG WITHPREFORMED ARMOUR RODS OR ARMOUR GRIP SUSPENSION CLAMP) SUITABLE FORSUSPENSION INSULATOR STRING FOR HTLS CONDUCTOR FOR 220KV TL</v>
      </c>
      <c r="G74" s="794" t="str">
        <f>+'Sch-1'!K74</f>
        <v xml:space="preserve">EA </v>
      </c>
      <c r="H74" s="794">
        <f>+'Sch-1'!L74</f>
        <v>12</v>
      </c>
      <c r="I74" s="861"/>
      <c r="J74" s="799" t="str">
        <f t="shared" si="2"/>
        <v>INCLUDED</v>
      </c>
    </row>
    <row r="75" spans="1:10" ht="31.2">
      <c r="A75" s="860">
        <v>13</v>
      </c>
      <c r="B75" s="794">
        <f>+'Sch-1'!B75</f>
        <v>7000027494</v>
      </c>
      <c r="C75" s="794">
        <f>+'Sch-1'!C75</f>
        <v>160</v>
      </c>
      <c r="D75" s="794" t="str">
        <f>+'Sch-1'!D75</f>
        <v xml:space="preserve">SPARE- HTLS CLAMPS &amp; FITTINGS           </v>
      </c>
      <c r="E75" s="794">
        <f>+'Sch-1'!E75</f>
        <v>1000060408</v>
      </c>
      <c r="F75" s="797" t="str">
        <f>+'Sch-1'!J75</f>
        <v>SUSPENSION  CLAMP SUITABLE FOR SUSPENSION PILOT INSULATOR STRING FORHTLS CONDUCTOR FOR 220KV TL</v>
      </c>
      <c r="G75" s="794" t="str">
        <f>+'Sch-1'!K75</f>
        <v xml:space="preserve">EA </v>
      </c>
      <c r="H75" s="794">
        <f>+'Sch-1'!L75</f>
        <v>3</v>
      </c>
      <c r="I75" s="861"/>
      <c r="J75" s="799" t="str">
        <f t="shared" si="2"/>
        <v>INCLUDED</v>
      </c>
    </row>
    <row r="76" spans="1:10" ht="31.2">
      <c r="A76" s="860">
        <v>14</v>
      </c>
      <c r="B76" s="794">
        <f>+'Sch-1'!B76</f>
        <v>7000027494</v>
      </c>
      <c r="C76" s="794">
        <f>+'Sch-1'!C76</f>
        <v>170</v>
      </c>
      <c r="D76" s="794" t="str">
        <f>+'Sch-1'!D76</f>
        <v xml:space="preserve">SPARE- HTLS CLAMPS &amp; FITTINGS           </v>
      </c>
      <c r="E76" s="794">
        <f>+'Sch-1'!E76</f>
        <v>1000060403</v>
      </c>
      <c r="F76" s="797" t="str">
        <f>+'Sch-1'!J76</f>
        <v>DEAD END CLAMP SUITABLE FOR TENSION INSULATOR STRING FOR  HTLSCONDUCTOR FOR  220KV TL</v>
      </c>
      <c r="G76" s="794" t="str">
        <f>+'Sch-1'!K76</f>
        <v xml:space="preserve">EA </v>
      </c>
      <c r="H76" s="794">
        <f>+'Sch-1'!L76</f>
        <v>12</v>
      </c>
      <c r="I76" s="861"/>
      <c r="J76" s="799" t="str">
        <f t="shared" si="2"/>
        <v>INCLUDED</v>
      </c>
    </row>
    <row r="77" spans="1:10" ht="31.2">
      <c r="A77" s="860">
        <v>15</v>
      </c>
      <c r="B77" s="794">
        <f>+'Sch-1'!B77</f>
        <v>7000027494</v>
      </c>
      <c r="C77" s="794">
        <f>+'Sch-1'!C77</f>
        <v>180</v>
      </c>
      <c r="D77" s="794" t="str">
        <f>+'Sch-1'!D77</f>
        <v xml:space="preserve">SPARE- HTLS CLAMPS &amp; FITTINGS           </v>
      </c>
      <c r="E77" s="794">
        <f>+'Sch-1'!E77</f>
        <v>1000030482</v>
      </c>
      <c r="F77" s="797" t="str">
        <f>+'Sch-1'!J77</f>
        <v>Single  'I' suspension hardware fittings (except clamps) Hardwarefittings suitable for HTLS conductor</v>
      </c>
      <c r="G77" s="794" t="str">
        <f>+'Sch-1'!K77</f>
        <v>SET</v>
      </c>
      <c r="H77" s="794">
        <f>+'Sch-1'!L77</f>
        <v>4</v>
      </c>
      <c r="I77" s="861"/>
      <c r="J77" s="799" t="str">
        <f t="shared" si="2"/>
        <v>INCLUDED</v>
      </c>
    </row>
    <row r="78" spans="1:10" ht="31.2">
      <c r="A78" s="860">
        <v>16</v>
      </c>
      <c r="B78" s="794">
        <f>+'Sch-1'!B78</f>
        <v>7000027494</v>
      </c>
      <c r="C78" s="794">
        <f>+'Sch-1'!C78</f>
        <v>190</v>
      </c>
      <c r="D78" s="794" t="str">
        <f>+'Sch-1'!D78</f>
        <v xml:space="preserve">SPARE- HTLS CLAMPS &amp; FITTINGS           </v>
      </c>
      <c r="E78" s="794">
        <f>+'Sch-1'!E78</f>
        <v>1000030481</v>
      </c>
      <c r="F78" s="797" t="str">
        <f>+'Sch-1'!J78</f>
        <v>Single  'I' suspension Pilot hardware fittings (except clamps)Hardwarefittings suitable for HTLS conductorHardware fittings suitable forHTLS conductor</v>
      </c>
      <c r="G78" s="794" t="str">
        <f>+'Sch-1'!K78</f>
        <v>SET</v>
      </c>
      <c r="H78" s="794">
        <f>+'Sch-1'!L78</f>
        <v>1</v>
      </c>
      <c r="I78" s="861"/>
      <c r="J78" s="799" t="str">
        <f t="shared" si="2"/>
        <v>INCLUDED</v>
      </c>
    </row>
    <row r="79" spans="1:10" ht="31.2">
      <c r="A79" s="860">
        <v>17</v>
      </c>
      <c r="B79" s="794">
        <f>+'Sch-1'!B79</f>
        <v>7000027494</v>
      </c>
      <c r="C79" s="794">
        <f>+'Sch-1'!C79</f>
        <v>200</v>
      </c>
      <c r="D79" s="794" t="str">
        <f>+'Sch-1'!D79</f>
        <v xml:space="preserve">SPARE- HTLS CLAMPS &amp; FITTINGS           </v>
      </c>
      <c r="E79" s="794">
        <f>+'Sch-1'!E79</f>
        <v>1000030483</v>
      </c>
      <c r="F79" s="797" t="str">
        <f>+'Sch-1'!J79</f>
        <v>Single tension hardware fitiings (except clamps)Hardware fittingssuitable for HTLS conductor</v>
      </c>
      <c r="G79" s="794" t="str">
        <f>+'Sch-1'!K79</f>
        <v>SET</v>
      </c>
      <c r="H79" s="794">
        <f>+'Sch-1'!L79</f>
        <v>4</v>
      </c>
      <c r="I79" s="861"/>
      <c r="J79" s="799" t="str">
        <f t="shared" si="2"/>
        <v>INCLUDED</v>
      </c>
    </row>
    <row r="80" spans="1:10" ht="31.2">
      <c r="A80" s="860">
        <v>18</v>
      </c>
      <c r="B80" s="794">
        <f>+'Sch-1'!B80</f>
        <v>7000027494</v>
      </c>
      <c r="C80" s="794">
        <f>+'Sch-1'!C80</f>
        <v>210</v>
      </c>
      <c r="D80" s="794" t="str">
        <f>+'Sch-1'!D80</f>
        <v xml:space="preserve">SPARE-CONDUCTOR ACCESSORIES             </v>
      </c>
      <c r="E80" s="794">
        <f>+'Sch-1'!E80</f>
        <v>1000060405</v>
      </c>
      <c r="F80" s="797" t="str">
        <f>+'Sch-1'!J80</f>
        <v>MID SPAN COMPRESSION JOINT FOR HTLS CONDUCTOR FOR  220KV TL</v>
      </c>
      <c r="G80" s="794" t="str">
        <f>+'Sch-1'!K80</f>
        <v xml:space="preserve">EA </v>
      </c>
      <c r="H80" s="794">
        <f>+'Sch-1'!L80</f>
        <v>25</v>
      </c>
      <c r="I80" s="861"/>
      <c r="J80" s="799" t="str">
        <f t="shared" si="2"/>
        <v>INCLUDED</v>
      </c>
    </row>
    <row r="81" spans="1:10" ht="31.2">
      <c r="A81" s="860">
        <v>19</v>
      </c>
      <c r="B81" s="794">
        <f>+'Sch-1'!B81</f>
        <v>7000027494</v>
      </c>
      <c r="C81" s="794">
        <f>+'Sch-1'!C81</f>
        <v>220</v>
      </c>
      <c r="D81" s="794" t="str">
        <f>+'Sch-1'!D81</f>
        <v xml:space="preserve">SPARE-CONDUCTOR ACCESSORIES             </v>
      </c>
      <c r="E81" s="794">
        <f>+'Sch-1'!E81</f>
        <v>1000060406</v>
      </c>
      <c r="F81" s="797" t="str">
        <f>+'Sch-1'!J81</f>
        <v>REPAIR SLEEVE FOR HTLS CONDUCTOR FOR  220KV TL</v>
      </c>
      <c r="G81" s="794" t="str">
        <f>+'Sch-1'!K81</f>
        <v xml:space="preserve">EA </v>
      </c>
      <c r="H81" s="794">
        <f>+'Sch-1'!L81</f>
        <v>25</v>
      </c>
      <c r="I81" s="861"/>
      <c r="J81" s="799" t="str">
        <f t="shared" si="2"/>
        <v>INCLUDED</v>
      </c>
    </row>
    <row r="82" spans="1:10" ht="31.2">
      <c r="A82" s="860">
        <v>20</v>
      </c>
      <c r="B82" s="794">
        <f>+'Sch-1'!B82</f>
        <v>7000027494</v>
      </c>
      <c r="C82" s="794">
        <f>+'Sch-1'!C82</f>
        <v>230</v>
      </c>
      <c r="D82" s="794" t="str">
        <f>+'Sch-1'!D82</f>
        <v xml:space="preserve">SPARE-CONDUCTOR ACCESSORIES             </v>
      </c>
      <c r="E82" s="794">
        <f>+'Sch-1'!E82</f>
        <v>1000060410</v>
      </c>
      <c r="F82" s="797" t="str">
        <f>+'Sch-1'!J82</f>
        <v>VIBRATION DAMPER FOR HTLS CONDUCTOR-FOR  220KV TL</v>
      </c>
      <c r="G82" s="794" t="str">
        <f>+'Sch-1'!K82</f>
        <v xml:space="preserve">EA </v>
      </c>
      <c r="H82" s="794">
        <f>+'Sch-1'!L82</f>
        <v>48</v>
      </c>
      <c r="I82" s="861"/>
      <c r="J82" s="799" t="str">
        <f t="shared" si="2"/>
        <v>INCLUDED</v>
      </c>
    </row>
    <row r="83" spans="1:10" ht="31.2">
      <c r="A83" s="860">
        <v>21</v>
      </c>
      <c r="B83" s="794">
        <f>+'Sch-1'!B83</f>
        <v>7000027494</v>
      </c>
      <c r="C83" s="794">
        <f>+'Sch-1'!C83</f>
        <v>240</v>
      </c>
      <c r="D83" s="794" t="str">
        <f>+'Sch-1'!D83</f>
        <v xml:space="preserve">FABRICATION &amp; SUPPLY                    </v>
      </c>
      <c r="E83" s="794">
        <f>+'Sch-1'!E83</f>
        <v>1000013391</v>
      </c>
      <c r="F83" s="797" t="str">
        <f>+'Sch-1'!J83</f>
        <v>Fabrication, galvanising &amp; supply ofvarious types of towers &amp; towerparts,tower/leg extensions (complete)excluding step bolt, stubs andbolts &amp;nuts but including hangers, D-Shackles,pack washers etc.-HTSteel for NormalTowers</v>
      </c>
      <c r="G83" s="794" t="str">
        <f>+'Sch-1'!K83</f>
        <v xml:space="preserve">MT </v>
      </c>
      <c r="H83" s="794">
        <f>+'Sch-1'!L83</f>
        <v>12</v>
      </c>
      <c r="I83" s="861"/>
      <c r="J83" s="799" t="str">
        <f t="shared" si="2"/>
        <v>INCLUDED</v>
      </c>
    </row>
    <row r="84" spans="1:10" ht="31.2">
      <c r="A84" s="860">
        <v>22</v>
      </c>
      <c r="B84" s="794">
        <f>+'Sch-1'!B84</f>
        <v>7000027494</v>
      </c>
      <c r="C84" s="794">
        <f>+'Sch-1'!C84</f>
        <v>250</v>
      </c>
      <c r="D84" s="794" t="str">
        <f>+'Sch-1'!D84</f>
        <v xml:space="preserve">FABRICATION &amp; SUPPLY                    </v>
      </c>
      <c r="E84" s="794">
        <f>+'Sch-1'!E84</f>
        <v>1000015274</v>
      </c>
      <c r="F84" s="797" t="str">
        <f>+'Sch-1'!J84</f>
        <v>Fabrication, galvanising &amp; supply ofvarious types of towers &amp; towerparts,tower/leg extensions (complete)excluding step bolt, stubs andbolts &amp;nuts but including hangers, D-Shackles,pack washers etc.-MSSteel for NormalTowers</v>
      </c>
      <c r="G84" s="794" t="str">
        <f>+'Sch-1'!K84</f>
        <v xml:space="preserve">MT </v>
      </c>
      <c r="H84" s="794">
        <f>+'Sch-1'!L84</f>
        <v>16</v>
      </c>
      <c r="I84" s="861"/>
      <c r="J84" s="799" t="str">
        <f t="shared" si="2"/>
        <v>INCLUDED</v>
      </c>
    </row>
    <row r="85" spans="1:10" ht="31.2">
      <c r="A85" s="860">
        <v>23</v>
      </c>
      <c r="B85" s="794">
        <f>+'Sch-1'!B85</f>
        <v>7000027494</v>
      </c>
      <c r="C85" s="794">
        <f>+'Sch-1'!C85</f>
        <v>260</v>
      </c>
      <c r="D85" s="794" t="str">
        <f>+'Sch-1'!D85</f>
        <v xml:space="preserve">FABRICATION &amp; SUPPLY                    </v>
      </c>
      <c r="E85" s="794">
        <f>+'Sch-1'!E85</f>
        <v>1000013472</v>
      </c>
      <c r="F85" s="797" t="str">
        <f>+'Sch-1'!J85</f>
        <v>Supply of Hexagonal Bolts &amp; Nuts fortowers including Step Bolts,SpringWashers etc.</v>
      </c>
      <c r="G85" s="794" t="str">
        <f>+'Sch-1'!K85</f>
        <v xml:space="preserve">MT </v>
      </c>
      <c r="H85" s="794">
        <f>+'Sch-1'!L85</f>
        <v>2.5</v>
      </c>
      <c r="I85" s="861"/>
      <c r="J85" s="799" t="str">
        <f t="shared" si="2"/>
        <v>INCLUDED</v>
      </c>
    </row>
    <row r="86" spans="1:10" ht="31.2">
      <c r="A86" s="860">
        <v>24</v>
      </c>
      <c r="B86" s="794">
        <f>+'Sch-1'!B86</f>
        <v>7000027494</v>
      </c>
      <c r="C86" s="794">
        <f>+'Sch-1'!C86</f>
        <v>270</v>
      </c>
      <c r="D86" s="794" t="str">
        <f>+'Sch-1'!D86</f>
        <v xml:space="preserve">FABRICATION &amp; SUPPLY                    </v>
      </c>
      <c r="E86" s="794">
        <f>+'Sch-1'!E86</f>
        <v>1000013393</v>
      </c>
      <c r="F86" s="797" t="str">
        <f>+'Sch-1'!J86</f>
        <v>Fabrication, galvanising &amp; supply ofstubs with cleats for varioustypes oftowers and tower extensions(complete)with packwashers excluding supply ofbolts &amp; nuts-HT Steel for Normal Towers</v>
      </c>
      <c r="G86" s="794" t="str">
        <f>+'Sch-1'!K86</f>
        <v xml:space="preserve">MT </v>
      </c>
      <c r="H86" s="794">
        <f>+'Sch-1'!L86</f>
        <v>1.1000000000000001</v>
      </c>
      <c r="I86" s="861"/>
      <c r="J86" s="799" t="str">
        <f t="shared" si="2"/>
        <v>INCLUDED</v>
      </c>
    </row>
    <row r="87" spans="1:10" ht="31.2">
      <c r="A87" s="860">
        <v>25</v>
      </c>
      <c r="B87" s="794">
        <f>+'Sch-1'!B87</f>
        <v>7000027494</v>
      </c>
      <c r="C87" s="794">
        <f>+'Sch-1'!C87</f>
        <v>280</v>
      </c>
      <c r="D87" s="794" t="str">
        <f>+'Sch-1'!D87</f>
        <v xml:space="preserve">FABRICATION &amp; SUPPLY                    </v>
      </c>
      <c r="E87" s="794">
        <f>+'Sch-1'!E87</f>
        <v>1000015276</v>
      </c>
      <c r="F87" s="797" t="str">
        <f>+'Sch-1'!J87</f>
        <v>Fabrication, galvanising &amp; supply ofstubs with cleats for varioustypes oftowers and tower extensions(complete)with packwashers excluding supply ofbolts &amp; nuts-MS Steel for Normal Towers</v>
      </c>
      <c r="G87" s="794" t="str">
        <f>+'Sch-1'!K87</f>
        <v xml:space="preserve">MT </v>
      </c>
      <c r="H87" s="794">
        <f>+'Sch-1'!L87</f>
        <v>0.1</v>
      </c>
      <c r="I87" s="861"/>
      <c r="J87" s="799" t="str">
        <f t="shared" si="2"/>
        <v>INCLUDED</v>
      </c>
    </row>
    <row r="88" spans="1:10" ht="31.2">
      <c r="A88" s="860">
        <v>26</v>
      </c>
      <c r="B88" s="794">
        <f>+'Sch-1'!B88</f>
        <v>7000027494</v>
      </c>
      <c r="C88" s="794">
        <f>+'Sch-1'!C88</f>
        <v>290</v>
      </c>
      <c r="D88" s="794" t="str">
        <f>+'Sch-1'!D88</f>
        <v xml:space="preserve">FABRICATION &amp; SUPPLY                    </v>
      </c>
      <c r="E88" s="794">
        <f>+'Sch-1'!E88</f>
        <v>1000007847</v>
      </c>
      <c r="F88" s="797" t="str">
        <f>+'Sch-1'!J88</f>
        <v>Supply of Bolts &amp; Nuts for Stubsincluding Spring Washers etc.</v>
      </c>
      <c r="G88" s="794" t="str">
        <f>+'Sch-1'!K88</f>
        <v xml:space="preserve">MT </v>
      </c>
      <c r="H88" s="794">
        <f>+'Sch-1'!L88</f>
        <v>0.1</v>
      </c>
      <c r="I88" s="861"/>
      <c r="J88" s="799" t="str">
        <f t="shared" si="0"/>
        <v>INCLUDED</v>
      </c>
    </row>
    <row r="89" spans="1:10" ht="31.2">
      <c r="A89" s="860">
        <v>27</v>
      </c>
      <c r="B89" s="794">
        <f>+'Sch-1'!B89</f>
        <v>7000027494</v>
      </c>
      <c r="C89" s="794">
        <f>+'Sch-1'!C89</f>
        <v>300</v>
      </c>
      <c r="D89" s="794" t="str">
        <f>+'Sch-1'!D89</f>
        <v xml:space="preserve">FABRICATION &amp; SUPPLY                    </v>
      </c>
      <c r="E89" s="794">
        <f>+'Sch-1'!E89</f>
        <v>1000064591</v>
      </c>
      <c r="F89" s="797" t="str">
        <f>+'Sch-1'!J89</f>
        <v>SUPPLY OF ASSORTED TOWER MEMBERS HT</v>
      </c>
      <c r="G89" s="794" t="str">
        <f>+'Sch-1'!K89</f>
        <v xml:space="preserve">MT </v>
      </c>
      <c r="H89" s="794">
        <f>+'Sch-1'!L89</f>
        <v>6</v>
      </c>
      <c r="I89" s="861"/>
      <c r="J89" s="799" t="str">
        <f t="shared" si="0"/>
        <v>INCLUDED</v>
      </c>
    </row>
    <row r="90" spans="1:10" ht="31.2">
      <c r="A90" s="860">
        <v>28</v>
      </c>
      <c r="B90" s="794">
        <f>+'Sch-1'!B90</f>
        <v>7000027494</v>
      </c>
      <c r="C90" s="794">
        <f>+'Sch-1'!C90</f>
        <v>310</v>
      </c>
      <c r="D90" s="794" t="str">
        <f>+'Sch-1'!D90</f>
        <v xml:space="preserve">FABRICATION &amp; SUPPLY                    </v>
      </c>
      <c r="E90" s="794">
        <f>+'Sch-1'!E90</f>
        <v>1000064591</v>
      </c>
      <c r="F90" s="797" t="str">
        <f>+'Sch-1'!J90</f>
        <v>SUPPLY OF ASSORTED TOWER MEMBERS HT</v>
      </c>
      <c r="G90" s="794" t="str">
        <f>+'Sch-1'!K90</f>
        <v xml:space="preserve">MT </v>
      </c>
      <c r="H90" s="794">
        <f>+'Sch-1'!L90</f>
        <v>9</v>
      </c>
      <c r="I90" s="861"/>
      <c r="J90" s="799" t="str">
        <f t="shared" si="0"/>
        <v>INCLUDED</v>
      </c>
    </row>
    <row r="91" spans="1:10" ht="31.2">
      <c r="A91" s="860">
        <v>29</v>
      </c>
      <c r="B91" s="794">
        <f>+'Sch-1'!B91</f>
        <v>7000027494</v>
      </c>
      <c r="C91" s="794">
        <f>+'Sch-1'!C91</f>
        <v>330</v>
      </c>
      <c r="D91" s="794" t="str">
        <f>+'Sch-1'!D91</f>
        <v xml:space="preserve">SHIELDWIRE EARTHING                     </v>
      </c>
      <c r="E91" s="794">
        <f>+'Sch-1'!E91</f>
        <v>1000019718</v>
      </c>
      <c r="F91" s="797" t="str">
        <f>+'Sch-1'!J91</f>
        <v>Supply of Shieldwire EarthingincludingPG clamps, downlead clampsbutexcluding Earthwire bits for Pipetypeearthing</v>
      </c>
      <c r="G91" s="794" t="str">
        <f>+'Sch-1'!K91</f>
        <v xml:space="preserve">EA </v>
      </c>
      <c r="H91" s="794">
        <f>+'Sch-1'!L91</f>
        <v>2</v>
      </c>
      <c r="I91" s="861"/>
      <c r="J91" s="799" t="str">
        <f t="shared" si="0"/>
        <v>INCLUDED</v>
      </c>
    </row>
    <row r="92" spans="1:10" ht="31.2">
      <c r="A92" s="860">
        <v>30</v>
      </c>
      <c r="B92" s="794">
        <f>+'Sch-1'!B92</f>
        <v>7000027494</v>
      </c>
      <c r="C92" s="794">
        <f>+'Sch-1'!C92</f>
        <v>350</v>
      </c>
      <c r="D92" s="794" t="str">
        <f>+'Sch-1'!D92</f>
        <v xml:space="preserve">COMPOSITE LONG ROD INSULATOR            </v>
      </c>
      <c r="E92" s="794">
        <f>+'Sch-1'!E92</f>
        <v>1000009322</v>
      </c>
      <c r="F92" s="797" t="str">
        <f>+'Sch-1'!J92</f>
        <v>Composite long rod Insulators for 220kV Transmission Line-120 KN (Length-2175 mm, Creepage-7595 mm)</v>
      </c>
      <c r="G92" s="794" t="str">
        <f>+'Sch-1'!K92</f>
        <v xml:space="preserve">EA </v>
      </c>
      <c r="H92" s="794">
        <f>+'Sch-1'!L92</f>
        <v>408</v>
      </c>
      <c r="I92" s="861"/>
      <c r="J92" s="799" t="str">
        <f t="shared" si="0"/>
        <v>INCLUDED</v>
      </c>
    </row>
    <row r="93" spans="1:10" ht="31.2">
      <c r="A93" s="860">
        <v>31</v>
      </c>
      <c r="B93" s="794">
        <f>+'Sch-1'!B93</f>
        <v>7000027494</v>
      </c>
      <c r="C93" s="794">
        <f>+'Sch-1'!C93</f>
        <v>360</v>
      </c>
      <c r="D93" s="794" t="str">
        <f>+'Sch-1'!D93</f>
        <v xml:space="preserve">SPARE- CLR INSULATOR                    </v>
      </c>
      <c r="E93" s="794">
        <f>+'Sch-1'!E93</f>
        <v>1000009322</v>
      </c>
      <c r="F93" s="797" t="str">
        <f>+'Sch-1'!J93</f>
        <v>Composite long rod Insulators for 220kV Transmission Line-120 KN (Length-2175 mm, Creepage-7595 mm)</v>
      </c>
      <c r="G93" s="794" t="str">
        <f>+'Sch-1'!K93</f>
        <v xml:space="preserve">EA </v>
      </c>
      <c r="H93" s="794">
        <f>+'Sch-1'!L93</f>
        <v>41</v>
      </c>
      <c r="I93" s="861"/>
      <c r="J93" s="799" t="str">
        <f t="shared" si="0"/>
        <v>INCLUDED</v>
      </c>
    </row>
    <row r="94" spans="1:10" ht="31.2">
      <c r="A94" s="860">
        <v>32</v>
      </c>
      <c r="B94" s="794">
        <f>+'Sch-1'!B94</f>
        <v>7000027494</v>
      </c>
      <c r="C94" s="794">
        <f>+'Sch-1'!C94</f>
        <v>370</v>
      </c>
      <c r="D94" s="794" t="str">
        <f>+'Sch-1'!D94</f>
        <v xml:space="preserve">HTLS CONDUCTOR (for Sub-Station)        </v>
      </c>
      <c r="E94" s="794">
        <f>+'Sch-1'!E94</f>
        <v>1000060404</v>
      </c>
      <c r="F94" s="797" t="str">
        <f>+'Sch-1'!J94</f>
        <v>HTLS  CONDUCTOR FOR 220KV TL</v>
      </c>
      <c r="G94" s="794" t="str">
        <f>+'Sch-1'!K94</f>
        <v xml:space="preserve">KM </v>
      </c>
      <c r="H94" s="794">
        <f>+'Sch-1'!L94</f>
        <v>0.75</v>
      </c>
      <c r="I94" s="861"/>
      <c r="J94" s="799" t="str">
        <f t="shared" ref="J94:J95" si="3">IF(I94=0, "INCLUDED", IF(ISERROR(I94*H94), I94, I94*H94))</f>
        <v>INCLUDED</v>
      </c>
    </row>
    <row r="95" spans="1:10" ht="31.2">
      <c r="A95" s="860">
        <v>33</v>
      </c>
      <c r="B95" s="794">
        <f>+'Sch-1'!B95</f>
        <v>7000027494</v>
      </c>
      <c r="C95" s="794">
        <f>+'Sch-1'!C95</f>
        <v>420</v>
      </c>
      <c r="D95" s="794" t="str">
        <f>+'Sch-1'!D95</f>
        <v xml:space="preserve">SPECIAL TOOLS &amp; TACKLES FOR HTLS        </v>
      </c>
      <c r="E95" s="794">
        <f>+'Sch-1'!E95</f>
        <v>8000002295</v>
      </c>
      <c r="F95" s="797" t="str">
        <f>+'Sch-1'!J95</f>
        <v>SUPPLY OF ONE SET OF ALL THE SPECIAL TOOLS &amp; TACKLES REQUIRED FORSTRINGING OF THE OFFERED HTLS CONDUCTOR</v>
      </c>
      <c r="G95" s="794" t="str">
        <f>+'Sch-1'!K95</f>
        <v xml:space="preserve">LS </v>
      </c>
      <c r="H95" s="794">
        <f>+'Sch-1'!L95</f>
        <v>1</v>
      </c>
      <c r="I95" s="861"/>
      <c r="J95" s="799" t="str">
        <f t="shared" si="3"/>
        <v>INCLUDED</v>
      </c>
    </row>
    <row r="96" spans="1:10" ht="22.5" customHeight="1">
      <c r="A96" s="862"/>
      <c r="B96" s="863"/>
      <c r="C96" s="863"/>
      <c r="D96" s="863"/>
      <c r="E96" s="863"/>
      <c r="F96" s="863"/>
      <c r="G96" s="863"/>
      <c r="H96" s="863"/>
      <c r="I96" s="863"/>
      <c r="J96" s="864"/>
    </row>
    <row r="97" spans="1:11" ht="33" customHeight="1">
      <c r="A97" s="865"/>
      <c r="B97" s="866" t="s">
        <v>475</v>
      </c>
      <c r="C97" s="867"/>
      <c r="D97" s="867"/>
      <c r="E97" s="867"/>
      <c r="F97" s="867"/>
      <c r="G97" s="867"/>
      <c r="H97" s="868"/>
      <c r="I97" s="869"/>
      <c r="J97" s="870">
        <f>SUM(J18:J95)</f>
        <v>0</v>
      </c>
      <c r="K97" s="871"/>
    </row>
    <row r="98" spans="1:11" ht="57.75" customHeight="1">
      <c r="A98" s="872"/>
      <c r="B98" s="873" t="s">
        <v>337</v>
      </c>
      <c r="C98" s="873"/>
      <c r="D98" s="873"/>
      <c r="E98" s="873"/>
      <c r="F98" s="873"/>
      <c r="G98" s="873"/>
      <c r="H98" s="873"/>
      <c r="I98" s="873"/>
      <c r="J98" s="873"/>
      <c r="K98" s="871"/>
    </row>
    <row r="99" spans="1:11" ht="24.75" customHeight="1">
      <c r="B99" s="831"/>
      <c r="C99" s="831"/>
      <c r="D99" s="831"/>
      <c r="E99" s="831"/>
      <c r="F99" s="831"/>
      <c r="G99" s="831"/>
      <c r="H99" s="763"/>
      <c r="I99" s="831"/>
      <c r="J99" s="763"/>
      <c r="K99" s="871"/>
    </row>
    <row r="100" spans="1:11" s="764" customFormat="1">
      <c r="B100" s="874" t="s">
        <v>306</v>
      </c>
      <c r="C100" s="819" t="str">
        <f>'Sch-1'!C102:D102</f>
        <v xml:space="preserve">  </v>
      </c>
      <c r="D100" s="820"/>
      <c r="G100" s="875" t="s">
        <v>308</v>
      </c>
      <c r="H100" s="875"/>
      <c r="I100" s="823" t="str">
        <f>'Sch-1'!K102</f>
        <v/>
      </c>
      <c r="J100" s="823"/>
    </row>
    <row r="101" spans="1:11" s="764" customFormat="1">
      <c r="B101" s="874" t="s">
        <v>307</v>
      </c>
      <c r="C101" s="820" t="str">
        <f>'Sch-1'!C103:D103</f>
        <v/>
      </c>
      <c r="D101" s="820"/>
      <c r="G101" s="875" t="s">
        <v>124</v>
      </c>
      <c r="H101" s="875"/>
      <c r="I101" s="823" t="str">
        <f>'Sch-1'!K103</f>
        <v/>
      </c>
      <c r="J101" s="823"/>
    </row>
    <row r="102" spans="1:11">
      <c r="B102" s="876"/>
      <c r="C102" s="877"/>
      <c r="D102" s="763"/>
      <c r="E102" s="878"/>
      <c r="F102" s="879"/>
      <c r="G102" s="763"/>
      <c r="H102" s="818"/>
      <c r="I102" s="871"/>
      <c r="J102" s="818"/>
      <c r="K102" s="871"/>
    </row>
    <row r="103" spans="1:11">
      <c r="B103" s="880"/>
      <c r="C103" s="881"/>
      <c r="D103" s="880"/>
      <c r="E103" s="878"/>
      <c r="F103" s="879"/>
      <c r="G103" s="880"/>
      <c r="H103" s="818"/>
      <c r="I103" s="871"/>
      <c r="J103" s="818"/>
      <c r="K103" s="871"/>
    </row>
  </sheetData>
  <sheetProtection algorithmName="SHA-512" hashValue="q4GLvCALUhqmBgC4vuGlGGY8iVUvlt/k5rkeU7KY+IvcesijSxkmiHZfhZVb37XhAWHkxMOBVprx0wTuFLFuEw==" saltValue="y8uRHRm2xihtQ/cVmatQHg==" spinCount="100000" sheet="1" formatColumns="0" formatRows="0" selectLockedCells="1"/>
  <customSheetViews>
    <customSheetView guid="{8BA4A88A-5522-45F5-A82B-CD7725CE50B1}" showPageBreaks="1" fitToPage="1" printArea="1" view="pageBreakPreview">
      <selection activeCell="I18" sqref="I18"/>
      <pageMargins left="0.45" right="0.45" top="0.75" bottom="0.5" header="0.3" footer="0.3"/>
      <printOptions horizontalCentered="1"/>
      <pageSetup paperSize="9" scale="55" fitToHeight="0" orientation="landscape" r:id="rId1"/>
      <headerFooter>
        <oddHeader>&amp;RSchedule-2Page &amp;P of &amp;N</oddHeader>
      </headerFooter>
    </customSheetView>
    <customSheetView guid="{889C3D82-0A24-4765-A688-A80A782F5056}" showPageBreaks="1" fitToPage="1" printArea="1" view="pageBreakPreview">
      <selection activeCell="I18" sqref="I18"/>
      <pageMargins left="0.45" right="0.45" top="0.75" bottom="0.5" header="0.3" footer="0.3"/>
      <printOptions horizontalCentered="1"/>
      <pageSetup paperSize="9" scale="55" fitToHeight="0" orientation="landscape" r:id="rId2"/>
      <headerFooter>
        <oddHeader>&amp;RSchedule-2Page &amp;P of &amp;N</oddHeader>
      </headerFooter>
    </customSheetView>
    <customSheetView guid="{89CB4E6A-722E-4E39-885D-E2A6D0D08321}" scale="70" showPageBreaks="1" fitToPage="1" printArea="1" view="pageBreakPreview">
      <selection activeCell="I119" sqref="I119"/>
      <pageMargins left="0.45" right="0.45" top="0.75" bottom="0.5" header="0.3" footer="0.3"/>
      <printOptions horizontalCentered="1"/>
      <pageSetup paperSize="9" scale="55" fitToHeight="0" orientation="landscape" r:id="rId3"/>
      <headerFooter>
        <oddHeader>&amp;RSchedule-2Page &amp;P of &amp;N</oddHeader>
      </headerFooter>
    </customSheetView>
    <customSheetView guid="{915C64AD-BD67-44F0-9117-5B9D998BA799}" scale="80" showPageBreaks="1" printArea="1" view="pageBreakPreview">
      <selection activeCell="I17" sqref="I17"/>
      <pageMargins left="0.45" right="0.45" top="0.75" bottom="0.5" header="0.3" footer="0.3"/>
      <printOptions horizontalCentered="1"/>
      <pageSetup paperSize="9" scale="62" orientation="landscape" r:id="rId4"/>
      <headerFooter>
        <oddHeader>&amp;RSchedule-2Page &amp;P of &amp;N</oddHeader>
      </headerFooter>
    </customSheetView>
    <customSheetView guid="{18EA11B4-BD82-47BF-99FA-7AB19BF74D0B}" scale="80" showPageBreaks="1" printArea="1" view="pageBreakPreview" topLeftCell="A4">
      <selection activeCell="I18" sqref="I18"/>
      <pageMargins left="0.45" right="0.45" top="0.75" bottom="0.5" header="0.3" footer="0.3"/>
      <printOptions horizontalCentered="1"/>
      <pageSetup paperSize="9" scale="62" orientation="landscape" r:id="rId5"/>
      <headerFooter>
        <oddHeader>&amp;RSchedule-2Page &amp;P of &amp;N</oddHeader>
      </headerFooter>
    </customSheetView>
    <customSheetView guid="{CCA37BAE-906F-43D5-9FD9-B13563E4B9D7}" showPageBreaks="1" printArea="1" view="pageBreakPreview" topLeftCell="A191">
      <selection activeCell="I201" sqref="I201:I202"/>
      <pageMargins left="0.45" right="0.45" top="0.75" bottom="0.5" header="0.3" footer="0.3"/>
      <printOptions horizontalCentered="1"/>
      <pageSetup paperSize="9" scale="62" orientation="landscape" r:id="rId6"/>
      <headerFooter>
        <oddHeader>&amp;RSchedule-2Page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7"/>
      <headerFooter>
        <oddHeader>&amp;RSchedule-2Page &amp;P of &amp;N</oddHeader>
      </headerFooter>
    </customSheetView>
    <customSheetView guid="{63D51328-7CBC-4A1E-B96D-BAE91416501B}" scale="80" showPageBreaks="1" printArea="1" view="pageBreakPreview" topLeftCell="A105">
      <selection activeCell="D126" sqref="D126"/>
      <pageMargins left="0.45" right="0.45" top="0.75" bottom="0.5" header="0.3" footer="0.3"/>
      <printOptions horizontalCentered="1"/>
      <pageSetup paperSize="9" scale="62" orientation="landscape" r:id="rId8"/>
      <headerFooter>
        <oddHeader>&amp;RSchedule-2Page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9"/>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10"/>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11"/>
      <headerFooter>
        <oddHeader>&amp;RSchedule-2Page &amp;P of &amp;N</oddHeader>
      </headerFooter>
    </customSheetView>
    <customSheetView guid="{A58DB4DF-40C7-4BEB-B85E-6BD6F54941CF}" scale="80" showPageBreaks="1" printArea="1" view="pageBreakPreview">
      <selection activeCell="I17" sqref="I17"/>
      <pageMargins left="0.45" right="0.45" top="0.75" bottom="0.5" header="0.3" footer="0.3"/>
      <printOptions horizontalCentered="1"/>
      <pageSetup paperSize="9" scale="62" orientation="landscape" r:id="rId12"/>
      <headerFooter>
        <oddHeader>&amp;RSchedule-2Page &amp;P of &amp;N</oddHeader>
      </headerFooter>
    </customSheetView>
  </customSheetViews>
  <mergeCells count="21">
    <mergeCell ref="N3:O3"/>
    <mergeCell ref="A4:J4"/>
    <mergeCell ref="A3:J3"/>
    <mergeCell ref="C101:D101"/>
    <mergeCell ref="B98:J98"/>
    <mergeCell ref="C100:D100"/>
    <mergeCell ref="I100:J100"/>
    <mergeCell ref="A6:B6"/>
    <mergeCell ref="I14:J14"/>
    <mergeCell ref="A7:F7"/>
    <mergeCell ref="A8:G8"/>
    <mergeCell ref="C10:E10"/>
    <mergeCell ref="C9:E9"/>
    <mergeCell ref="A96:J96"/>
    <mergeCell ref="C12:E12"/>
    <mergeCell ref="C11:E11"/>
    <mergeCell ref="A13:J13"/>
    <mergeCell ref="B97:H97"/>
    <mergeCell ref="G101:H101"/>
    <mergeCell ref="G100:H100"/>
    <mergeCell ref="I101:J101"/>
  </mergeCells>
  <dataValidations count="2">
    <dataValidation type="decimal" operator="greaterThan" allowBlank="1" showInputMessage="1" showErrorMessage="1" error="Enter only Numeric value greater than zero or leave the cell blank !" sqref="I64680:I64681" xr:uid="{00000000-0002-0000-0500-000000000000}">
      <formula1>0</formula1>
    </dataValidation>
    <dataValidation type="decimal" operator="greaterThanOrEqual" allowBlank="1" showInputMessage="1" showErrorMessage="1" sqref="I18:I61 I63:I95" xr:uid="{00000000-0002-0000-0500-000001000000}">
      <formula1>0</formula1>
    </dataValidation>
  </dataValidations>
  <printOptions horizontalCentered="1"/>
  <pageMargins left="0.45" right="0.45" top="0.75" bottom="0.5" header="0.3" footer="0.3"/>
  <pageSetup paperSize="9" scale="55" fitToHeight="0" orientation="landscape" r:id="rId13"/>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59"/>
  <sheetViews>
    <sheetView view="pageBreakPreview" topLeftCell="A20" zoomScale="55" zoomScaleNormal="80" zoomScaleSheetLayoutView="55" workbookViewId="0">
      <selection activeCell="O38" sqref="O38"/>
    </sheetView>
  </sheetViews>
  <sheetFormatPr defaultColWidth="38.5546875" defaultRowHeight="15.6"/>
  <cols>
    <col min="1" max="1" width="5.5546875" style="944" customWidth="1"/>
    <col min="2" max="2" width="13.33203125" style="944" bestFit="1" customWidth="1"/>
    <col min="3" max="3" width="9.6640625" style="944" customWidth="1"/>
    <col min="4" max="4" width="9.109375" style="944" customWidth="1"/>
    <col min="5" max="5" width="9.33203125" style="944" customWidth="1"/>
    <col min="6" max="6" width="26.44140625" style="893" customWidth="1"/>
    <col min="7" max="7" width="18.5546875" style="893" customWidth="1"/>
    <col min="8" max="8" width="13.88671875" style="893" customWidth="1"/>
    <col min="9" max="9" width="15.6640625" style="893" customWidth="1"/>
    <col min="10" max="10" width="13.88671875" style="893" customWidth="1"/>
    <col min="11" max="11" width="17" style="893" customWidth="1"/>
    <col min="12" max="12" width="108.44140625" style="838" customWidth="1"/>
    <col min="13" max="13" width="8.6640625" style="894" customWidth="1"/>
    <col min="14" max="14" width="10.5546875" style="895" customWidth="1"/>
    <col min="15" max="15" width="16.109375" style="894" customWidth="1"/>
    <col min="16" max="16" width="24" style="894" customWidth="1"/>
    <col min="17" max="17" width="9.109375" style="887" hidden="1" customWidth="1"/>
    <col min="18" max="18" width="16.44140625" style="888" hidden="1" customWidth="1"/>
    <col min="19" max="19" width="15.88671875" style="888" hidden="1" customWidth="1"/>
    <col min="20" max="20" width="16.44140625" style="765" hidden="1" customWidth="1"/>
    <col min="21" max="21" width="16.88671875" style="888" hidden="1" customWidth="1"/>
    <col min="22" max="22" width="14.5546875" style="887" hidden="1" customWidth="1"/>
    <col min="23" max="28" width="9.109375" style="887" hidden="1" customWidth="1"/>
    <col min="29" max="31" width="9.109375" style="887" customWidth="1"/>
    <col min="32" max="243" width="9.109375" style="888" customWidth="1"/>
    <col min="244" max="244" width="12.5546875" style="888" customWidth="1"/>
    <col min="245" max="245" width="73.44140625" style="888" customWidth="1"/>
    <col min="246" max="246" width="8.6640625" style="888" customWidth="1"/>
    <col min="247" max="247" width="10.5546875" style="888" customWidth="1"/>
    <col min="248" max="248" width="14.5546875" style="888" customWidth="1"/>
    <col min="249" max="16384" width="38.5546875" style="888"/>
  </cols>
  <sheetData>
    <row r="1" spans="1:31" ht="24.75" customHeight="1">
      <c r="A1" s="882" t="str">
        <f>Cover!B3</f>
        <v>CC/NT/W-COND/DOM/A04/24/05656</v>
      </c>
      <c r="B1" s="882"/>
      <c r="C1" s="882"/>
      <c r="D1" s="882"/>
      <c r="E1" s="882"/>
      <c r="F1" s="883"/>
      <c r="G1" s="883"/>
      <c r="H1" s="883"/>
      <c r="I1" s="883"/>
      <c r="J1" s="883"/>
      <c r="K1" s="883"/>
      <c r="L1" s="884"/>
      <c r="M1" s="885"/>
      <c r="N1" s="885"/>
      <c r="O1" s="824"/>
      <c r="P1" s="886" t="s">
        <v>17</v>
      </c>
    </row>
    <row r="2" spans="1:31">
      <c r="A2" s="889"/>
      <c r="B2" s="889"/>
      <c r="C2" s="889"/>
      <c r="D2" s="889"/>
      <c r="E2" s="889"/>
      <c r="F2" s="890"/>
      <c r="G2" s="890"/>
      <c r="H2" s="890"/>
      <c r="I2" s="890"/>
      <c r="J2" s="890"/>
      <c r="K2" s="890"/>
      <c r="L2" s="891"/>
      <c r="M2" s="765"/>
      <c r="N2" s="765"/>
      <c r="O2" s="888"/>
      <c r="P2" s="888"/>
    </row>
    <row r="3" spans="1:31" ht="80.25" customHeight="1">
      <c r="A3" s="832" t="str">
        <f>Cover!$B$2</f>
        <v>Reconductoring Package - OH01 for (i) Reconductoring of 220kV Hisar (PG)-Hisar (IA) D/c line associated with ‘Reconductoring of 220kV Hisar (PG) – Hisar (IA) S/c line’; and (ii) Reconductoring of 400 kV S/c (TWIN ACSR MOOSE) Raichur – Veltoor (Mahabubnagar) line with TWIN HTLS conductor associated with ‘Reconductoring of Raichur – Veltoor (Mahabubnagar) 400kV S/c line with HTLS conductor’.</v>
      </c>
      <c r="B3" s="832"/>
      <c r="C3" s="832"/>
      <c r="D3" s="832"/>
      <c r="E3" s="832"/>
      <c r="F3" s="832"/>
      <c r="G3" s="832"/>
      <c r="H3" s="832"/>
      <c r="I3" s="832"/>
      <c r="J3" s="832"/>
      <c r="K3" s="832"/>
      <c r="L3" s="832"/>
      <c r="M3" s="832"/>
      <c r="N3" s="832"/>
      <c r="O3" s="832"/>
      <c r="P3" s="832"/>
    </row>
    <row r="4" spans="1:31">
      <c r="A4" s="892" t="s">
        <v>19</v>
      </c>
      <c r="B4" s="892"/>
      <c r="C4" s="892"/>
      <c r="D4" s="892"/>
      <c r="E4" s="892"/>
      <c r="F4" s="892"/>
      <c r="G4" s="892"/>
      <c r="H4" s="892"/>
      <c r="I4" s="892"/>
      <c r="J4" s="892"/>
      <c r="K4" s="892"/>
      <c r="L4" s="892"/>
      <c r="M4" s="892"/>
      <c r="N4" s="892"/>
      <c r="O4" s="892"/>
      <c r="P4" s="892"/>
    </row>
    <row r="6" spans="1:31" ht="21.75" customHeight="1">
      <c r="A6" s="769" t="s">
        <v>338</v>
      </c>
      <c r="B6" s="769"/>
      <c r="C6" s="765"/>
      <c r="D6" s="763"/>
      <c r="E6" s="765"/>
      <c r="F6" s="765"/>
      <c r="G6" s="765"/>
      <c r="H6" s="765"/>
      <c r="I6" s="765"/>
    </row>
    <row r="7" spans="1:31" ht="21" customHeight="1">
      <c r="A7" s="770">
        <f>'Sch-1'!A7</f>
        <v>0</v>
      </c>
      <c r="B7" s="770"/>
      <c r="C7" s="770"/>
      <c r="D7" s="770"/>
      <c r="E7" s="770"/>
      <c r="F7" s="770"/>
      <c r="G7" s="770"/>
      <c r="H7" s="770"/>
      <c r="I7" s="770"/>
      <c r="J7" s="896"/>
      <c r="K7" s="896"/>
      <c r="L7" s="843"/>
      <c r="M7" s="897" t="s">
        <v>1</v>
      </c>
      <c r="N7" s="898"/>
      <c r="O7" s="888"/>
      <c r="P7" s="888"/>
    </row>
    <row r="8" spans="1:31" ht="22.5" customHeight="1">
      <c r="A8" s="774" t="str">
        <f>"Bidder’s Name and Address  (" &amp; MID('Names of Bidder'!A9,9, 20) &amp; ") :"</f>
        <v>Bidder’s Name and Address  (Sole Bidder) :</v>
      </c>
      <c r="B8" s="774"/>
      <c r="C8" s="774"/>
      <c r="D8" s="774"/>
      <c r="E8" s="774"/>
      <c r="F8" s="774"/>
      <c r="G8" s="774"/>
      <c r="H8" s="775"/>
      <c r="I8" s="775"/>
      <c r="J8" s="899"/>
      <c r="K8" s="899"/>
      <c r="L8" s="899"/>
      <c r="M8" s="900" t="str">
        <f>'Sch-1'!K8</f>
        <v>Contract Services</v>
      </c>
      <c r="N8" s="899"/>
      <c r="O8" s="888"/>
      <c r="P8" s="888"/>
    </row>
    <row r="9" spans="1:31" ht="24.75" customHeight="1">
      <c r="A9" s="779" t="s">
        <v>12</v>
      </c>
      <c r="B9" s="773"/>
      <c r="C9" s="770" t="str">
        <f>IF('Names of Bidder'!C9=0, "", 'Names of Bidder'!C9)</f>
        <v/>
      </c>
      <c r="D9" s="770"/>
      <c r="E9" s="770"/>
      <c r="F9" s="770"/>
      <c r="G9" s="770"/>
      <c r="H9" s="780"/>
      <c r="I9" s="780"/>
      <c r="J9" s="901"/>
      <c r="K9" s="901"/>
      <c r="L9" s="901"/>
      <c r="M9" s="900" t="str">
        <f>'Sch-1'!K9</f>
        <v>Power Grid Corporation of India Ltd.,</v>
      </c>
      <c r="N9" s="765"/>
      <c r="O9" s="888"/>
      <c r="P9" s="888"/>
    </row>
    <row r="10" spans="1:31" ht="21" customHeight="1">
      <c r="A10" s="779" t="s">
        <v>11</v>
      </c>
      <c r="B10" s="773"/>
      <c r="C10" s="781" t="str">
        <f>IF('Names of Bidder'!C10=0, "", 'Names of Bidder'!C10)</f>
        <v/>
      </c>
      <c r="D10" s="781"/>
      <c r="E10" s="781"/>
      <c r="F10" s="781"/>
      <c r="G10" s="781"/>
      <c r="H10" s="780"/>
      <c r="I10" s="780"/>
      <c r="J10" s="901"/>
      <c r="K10" s="901"/>
      <c r="L10" s="901"/>
      <c r="M10" s="900" t="str">
        <f>'Sch-1'!K10</f>
        <v>"Saudamini", Plot No.-2</v>
      </c>
      <c r="N10" s="765"/>
      <c r="O10" s="888"/>
      <c r="P10" s="888"/>
    </row>
    <row r="11" spans="1:31" ht="20.25" customHeight="1">
      <c r="A11" s="780"/>
      <c r="B11" s="780"/>
      <c r="C11" s="781" t="str">
        <f>IF('Names of Bidder'!C11=0, "", 'Names of Bidder'!C11)</f>
        <v/>
      </c>
      <c r="D11" s="781"/>
      <c r="E11" s="781"/>
      <c r="F11" s="781"/>
      <c r="G11" s="781"/>
      <c r="H11" s="780"/>
      <c r="I11" s="780"/>
      <c r="J11" s="901"/>
      <c r="K11" s="901"/>
      <c r="L11" s="901"/>
      <c r="M11" s="900" t="str">
        <f>'Sch-1'!K11</f>
        <v xml:space="preserve">Sector-29, </v>
      </c>
      <c r="N11" s="765"/>
      <c r="O11" s="888"/>
      <c r="P11" s="888"/>
    </row>
    <row r="12" spans="1:31" ht="21" customHeight="1">
      <c r="A12" s="780"/>
      <c r="B12" s="780"/>
      <c r="C12" s="781" t="str">
        <f>IF('Names of Bidder'!C12=0, "", 'Names of Bidder'!C12)</f>
        <v/>
      </c>
      <c r="D12" s="781"/>
      <c r="E12" s="781"/>
      <c r="F12" s="781"/>
      <c r="G12" s="781"/>
      <c r="H12" s="780"/>
      <c r="I12" s="780"/>
      <c r="J12" s="901"/>
      <c r="K12" s="901"/>
      <c r="L12" s="901"/>
      <c r="M12" s="900" t="str">
        <f>'Sch-1'!K12</f>
        <v>Gurgaon (Haryana) - 122001</v>
      </c>
      <c r="N12" s="765"/>
      <c r="O12" s="888"/>
      <c r="P12" s="888"/>
    </row>
    <row r="13" spans="1:31">
      <c r="A13" s="902"/>
      <c r="B13" s="902"/>
      <c r="C13" s="902"/>
      <c r="D13" s="902"/>
      <c r="E13" s="902"/>
      <c r="F13" s="903"/>
      <c r="G13" s="903"/>
      <c r="H13" s="903"/>
      <c r="I13" s="903"/>
      <c r="J13" s="903"/>
      <c r="K13" s="903"/>
      <c r="L13" s="901"/>
      <c r="M13" s="776"/>
      <c r="N13" s="780"/>
      <c r="O13" s="900"/>
      <c r="P13" s="888"/>
    </row>
    <row r="14" spans="1:31" ht="24.75" customHeight="1" thickBot="1">
      <c r="A14" s="904" t="s">
        <v>21</v>
      </c>
      <c r="B14" s="904"/>
      <c r="C14" s="904"/>
      <c r="D14" s="904"/>
      <c r="E14" s="904"/>
      <c r="F14" s="904"/>
      <c r="G14" s="904"/>
      <c r="H14" s="904"/>
      <c r="I14" s="904"/>
      <c r="J14" s="904"/>
      <c r="K14" s="904"/>
      <c r="L14" s="904"/>
      <c r="M14" s="904"/>
      <c r="N14" s="904"/>
      <c r="O14" s="846" t="s">
        <v>343</v>
      </c>
      <c r="P14" s="846"/>
    </row>
    <row r="15" spans="1:31" s="914" customFormat="1" ht="125.25" customHeight="1">
      <c r="A15" s="905" t="s">
        <v>7</v>
      </c>
      <c r="B15" s="906" t="s">
        <v>259</v>
      </c>
      <c r="C15" s="906" t="s">
        <v>271</v>
      </c>
      <c r="D15" s="906" t="s">
        <v>270</v>
      </c>
      <c r="E15" s="906" t="s">
        <v>272</v>
      </c>
      <c r="F15" s="906" t="s">
        <v>273</v>
      </c>
      <c r="G15" s="905" t="s">
        <v>25</v>
      </c>
      <c r="H15" s="907" t="s">
        <v>310</v>
      </c>
      <c r="I15" s="908" t="s">
        <v>465</v>
      </c>
      <c r="J15" s="908" t="s">
        <v>300</v>
      </c>
      <c r="K15" s="908" t="s">
        <v>464</v>
      </c>
      <c r="L15" s="909" t="s">
        <v>15</v>
      </c>
      <c r="M15" s="910" t="s">
        <v>9</v>
      </c>
      <c r="N15" s="910" t="s">
        <v>16</v>
      </c>
      <c r="O15" s="909" t="s">
        <v>23</v>
      </c>
      <c r="P15" s="909" t="s">
        <v>24</v>
      </c>
      <c r="Q15" s="911"/>
      <c r="R15" s="912" t="s">
        <v>333</v>
      </c>
      <c r="S15" s="913" t="s">
        <v>334</v>
      </c>
      <c r="T15" s="912" t="s">
        <v>331</v>
      </c>
      <c r="U15" s="912" t="s">
        <v>332</v>
      </c>
      <c r="V15" s="911"/>
      <c r="W15" s="911"/>
      <c r="X15" s="911"/>
      <c r="Y15" s="911"/>
      <c r="Z15" s="911"/>
      <c r="AA15" s="911"/>
      <c r="AB15" s="911"/>
      <c r="AC15" s="911"/>
      <c r="AD15" s="911"/>
      <c r="AE15" s="911"/>
    </row>
    <row r="16" spans="1:31" s="914" customFormat="1">
      <c r="A16" s="786">
        <v>1</v>
      </c>
      <c r="B16" s="786">
        <v>2</v>
      </c>
      <c r="C16" s="786">
        <v>3</v>
      </c>
      <c r="D16" s="786">
        <v>4</v>
      </c>
      <c r="E16" s="786">
        <v>5</v>
      </c>
      <c r="F16" s="785">
        <v>6</v>
      </c>
      <c r="G16" s="785">
        <v>7</v>
      </c>
      <c r="H16" s="907">
        <v>8</v>
      </c>
      <c r="I16" s="907">
        <v>9</v>
      </c>
      <c r="J16" s="907">
        <v>10</v>
      </c>
      <c r="K16" s="907">
        <v>11</v>
      </c>
      <c r="L16" s="785">
        <v>12</v>
      </c>
      <c r="M16" s="786">
        <v>13</v>
      </c>
      <c r="N16" s="786">
        <v>14</v>
      </c>
      <c r="O16" s="786">
        <v>15</v>
      </c>
      <c r="P16" s="786" t="s">
        <v>311</v>
      </c>
      <c r="Q16" s="911"/>
      <c r="V16" s="911"/>
      <c r="W16" s="911"/>
      <c r="X16" s="911"/>
      <c r="Y16" s="911"/>
      <c r="Z16" s="911"/>
      <c r="AA16" s="911"/>
      <c r="AB16" s="911"/>
      <c r="AC16" s="911"/>
      <c r="AD16" s="911"/>
      <c r="AE16" s="911"/>
    </row>
    <row r="17" spans="1:31" s="921" customFormat="1" ht="34.5" customHeight="1">
      <c r="A17" s="915" t="str">
        <f>'Sch-1'!A17</f>
        <v>I</v>
      </c>
      <c r="B17" s="916" t="str">
        <f>+'Sch-2'!B17</f>
        <v xml:space="preserve">Re-conductoring Raichur-Veltoor TL      </v>
      </c>
      <c r="C17" s="917"/>
      <c r="D17" s="917"/>
      <c r="E17" s="917"/>
      <c r="F17" s="918"/>
      <c r="G17" s="919"/>
      <c r="H17" s="919"/>
      <c r="I17" s="919"/>
      <c r="J17" s="919"/>
      <c r="K17" s="919"/>
      <c r="L17" s="919"/>
      <c r="M17" s="919"/>
      <c r="N17" s="919"/>
      <c r="O17" s="919"/>
      <c r="P17" s="919"/>
      <c r="Q17" s="920"/>
      <c r="V17" s="920"/>
      <c r="W17" s="920"/>
      <c r="X17" s="920"/>
      <c r="Y17" s="920"/>
      <c r="Z17" s="920"/>
      <c r="AA17" s="920"/>
      <c r="AB17" s="920"/>
      <c r="AC17" s="920"/>
      <c r="AD17" s="920"/>
      <c r="AE17" s="920"/>
    </row>
    <row r="18" spans="1:31" ht="46.8">
      <c r="A18" s="922">
        <v>1</v>
      </c>
      <c r="B18" s="923">
        <v>7000027495</v>
      </c>
      <c r="C18" s="923">
        <v>130</v>
      </c>
      <c r="D18" s="923">
        <v>80</v>
      </c>
      <c r="E18" s="923">
        <v>10</v>
      </c>
      <c r="F18" s="923" t="s">
        <v>572</v>
      </c>
      <c r="G18" s="923">
        <v>100002803</v>
      </c>
      <c r="H18" s="923">
        <v>998344</v>
      </c>
      <c r="I18" s="924"/>
      <c r="J18" s="794">
        <v>18</v>
      </c>
      <c r="K18" s="796"/>
      <c r="L18" s="797" t="s">
        <v>489</v>
      </c>
      <c r="M18" s="794" t="s">
        <v>477</v>
      </c>
      <c r="N18" s="794">
        <v>73.680000000000007</v>
      </c>
      <c r="O18" s="861"/>
      <c r="P18" s="925" t="str">
        <f t="shared" ref="P18:P26" si="0">IF(O18=0, "INCLUDED", IF(ISERROR(N18*O18), O18, N18*O18))</f>
        <v>INCLUDED</v>
      </c>
      <c r="Q18" s="812">
        <f t="shared" ref="Q18:Q26" si="1">IF(P18="Included",0,P18)</f>
        <v>0</v>
      </c>
      <c r="R18" s="926">
        <f>IF( K18="",J18*(IF(P18="Included",0,P18))/100,K18*(IF(P18="Included",0,P18)))</f>
        <v>0</v>
      </c>
      <c r="S18" s="927">
        <f>Discount!$J$36</f>
        <v>0</v>
      </c>
      <c r="T18" s="926">
        <f>S18*Q18</f>
        <v>0</v>
      </c>
      <c r="U18" s="928">
        <f>IF(K18="",J18*T18/100,K18*T18)</f>
        <v>0</v>
      </c>
      <c r="V18" s="929">
        <f>O18*N18</f>
        <v>0</v>
      </c>
      <c r="W18" s="930"/>
      <c r="X18" s="930"/>
      <c r="Y18" s="930"/>
      <c r="Z18" s="930"/>
      <c r="AA18" s="930"/>
    </row>
    <row r="19" spans="1:31">
      <c r="A19" s="922">
        <v>2</v>
      </c>
      <c r="B19" s="923">
        <v>7000027495</v>
      </c>
      <c r="C19" s="923">
        <v>140</v>
      </c>
      <c r="D19" s="923">
        <v>90</v>
      </c>
      <c r="E19" s="923">
        <v>10</v>
      </c>
      <c r="F19" s="923" t="s">
        <v>573</v>
      </c>
      <c r="G19" s="923">
        <v>100001307</v>
      </c>
      <c r="H19" s="923">
        <v>995468</v>
      </c>
      <c r="I19" s="924"/>
      <c r="J19" s="794">
        <v>18</v>
      </c>
      <c r="K19" s="796"/>
      <c r="L19" s="797" t="s">
        <v>578</v>
      </c>
      <c r="M19" s="794" t="s">
        <v>477</v>
      </c>
      <c r="N19" s="794">
        <v>69</v>
      </c>
      <c r="O19" s="861"/>
      <c r="P19" s="925" t="str">
        <f t="shared" si="0"/>
        <v>INCLUDED</v>
      </c>
      <c r="Q19" s="812">
        <f t="shared" si="1"/>
        <v>0</v>
      </c>
      <c r="R19" s="926">
        <f t="shared" ref="R19:R26" si="2">IF( K19="",J19*(IF(P19="Included",0,P19))/100,K19*(IF(P19="Included",0,P19)))</f>
        <v>0</v>
      </c>
      <c r="S19" s="927">
        <f>Discount!$J$36</f>
        <v>0</v>
      </c>
      <c r="T19" s="926">
        <f t="shared" ref="T19:T26" si="3">S19*Q19</f>
        <v>0</v>
      </c>
      <c r="U19" s="928">
        <f t="shared" ref="U19:U26" si="4">IF(K19="",J19*T19/100,K19*T19)</f>
        <v>0</v>
      </c>
      <c r="V19" s="929">
        <f t="shared" ref="V19:V26" si="5">O19*N19</f>
        <v>0</v>
      </c>
      <c r="W19" s="930"/>
      <c r="X19" s="930"/>
      <c r="Y19" s="930"/>
      <c r="Z19" s="930"/>
      <c r="AA19" s="930"/>
    </row>
    <row r="20" spans="1:31" ht="46.8">
      <c r="A20" s="922">
        <v>3</v>
      </c>
      <c r="B20" s="923">
        <v>7000027495</v>
      </c>
      <c r="C20" s="923">
        <v>140</v>
      </c>
      <c r="D20" s="923">
        <v>90</v>
      </c>
      <c r="E20" s="923">
        <v>20</v>
      </c>
      <c r="F20" s="923" t="s">
        <v>573</v>
      </c>
      <c r="G20" s="923">
        <v>100002200</v>
      </c>
      <c r="H20" s="923">
        <v>995468</v>
      </c>
      <c r="I20" s="924"/>
      <c r="J20" s="794">
        <v>18</v>
      </c>
      <c r="K20" s="796"/>
      <c r="L20" s="797" t="s">
        <v>579</v>
      </c>
      <c r="M20" s="794" t="s">
        <v>477</v>
      </c>
      <c r="N20" s="794">
        <v>4.68</v>
      </c>
      <c r="O20" s="861"/>
      <c r="P20" s="925" t="str">
        <f t="shared" si="0"/>
        <v>INCLUDED</v>
      </c>
      <c r="Q20" s="812">
        <f t="shared" si="1"/>
        <v>0</v>
      </c>
      <c r="R20" s="926">
        <f t="shared" si="2"/>
        <v>0</v>
      </c>
      <c r="S20" s="927">
        <f>Discount!$J$36</f>
        <v>0</v>
      </c>
      <c r="T20" s="926">
        <f t="shared" si="3"/>
        <v>0</v>
      </c>
      <c r="U20" s="928">
        <f t="shared" si="4"/>
        <v>0</v>
      </c>
      <c r="V20" s="929">
        <f t="shared" si="5"/>
        <v>0</v>
      </c>
      <c r="W20" s="930"/>
      <c r="X20" s="930"/>
      <c r="Y20" s="930"/>
      <c r="Z20" s="930"/>
      <c r="AA20" s="930"/>
    </row>
    <row r="21" spans="1:31" ht="46.8">
      <c r="A21" s="922">
        <v>4</v>
      </c>
      <c r="B21" s="923">
        <v>7000027495</v>
      </c>
      <c r="C21" s="923">
        <v>150</v>
      </c>
      <c r="D21" s="923">
        <v>110</v>
      </c>
      <c r="E21" s="923">
        <v>10</v>
      </c>
      <c r="F21" s="923" t="s">
        <v>574</v>
      </c>
      <c r="G21" s="923">
        <v>100018010</v>
      </c>
      <c r="H21" s="923">
        <v>995468</v>
      </c>
      <c r="I21" s="924"/>
      <c r="J21" s="794">
        <v>18</v>
      </c>
      <c r="K21" s="796"/>
      <c r="L21" s="797" t="s">
        <v>580</v>
      </c>
      <c r="M21" s="794" t="s">
        <v>477</v>
      </c>
      <c r="N21" s="794">
        <v>69</v>
      </c>
      <c r="O21" s="861"/>
      <c r="P21" s="925" t="str">
        <f t="shared" si="0"/>
        <v>INCLUDED</v>
      </c>
      <c r="Q21" s="812">
        <f t="shared" si="1"/>
        <v>0</v>
      </c>
      <c r="R21" s="926">
        <f t="shared" si="2"/>
        <v>0</v>
      </c>
      <c r="S21" s="927">
        <f>Discount!$J$36</f>
        <v>0</v>
      </c>
      <c r="T21" s="926">
        <f t="shared" si="3"/>
        <v>0</v>
      </c>
      <c r="U21" s="928">
        <f t="shared" si="4"/>
        <v>0</v>
      </c>
      <c r="V21" s="929">
        <f t="shared" si="5"/>
        <v>0</v>
      </c>
      <c r="W21" s="930"/>
      <c r="X21" s="930"/>
      <c r="Y21" s="930"/>
      <c r="Z21" s="930"/>
      <c r="AA21" s="930"/>
    </row>
    <row r="22" spans="1:31" ht="46.8">
      <c r="A22" s="922">
        <v>5</v>
      </c>
      <c r="B22" s="923">
        <v>7000027495</v>
      </c>
      <c r="C22" s="923">
        <v>150</v>
      </c>
      <c r="D22" s="923">
        <v>110</v>
      </c>
      <c r="E22" s="923">
        <v>20</v>
      </c>
      <c r="F22" s="923" t="s">
        <v>574</v>
      </c>
      <c r="G22" s="923">
        <v>100017979</v>
      </c>
      <c r="H22" s="923">
        <v>995468</v>
      </c>
      <c r="I22" s="924"/>
      <c r="J22" s="794">
        <v>18</v>
      </c>
      <c r="K22" s="796"/>
      <c r="L22" s="797" t="s">
        <v>581</v>
      </c>
      <c r="M22" s="794" t="s">
        <v>477</v>
      </c>
      <c r="N22" s="794">
        <v>4.68</v>
      </c>
      <c r="O22" s="861"/>
      <c r="P22" s="925" t="str">
        <f t="shared" si="0"/>
        <v>INCLUDED</v>
      </c>
      <c r="Q22" s="812">
        <f t="shared" si="1"/>
        <v>0</v>
      </c>
      <c r="R22" s="926">
        <f t="shared" si="2"/>
        <v>0</v>
      </c>
      <c r="S22" s="927">
        <f>Discount!$J$36</f>
        <v>0</v>
      </c>
      <c r="T22" s="926">
        <f t="shared" si="3"/>
        <v>0</v>
      </c>
      <c r="U22" s="928">
        <f t="shared" si="4"/>
        <v>0</v>
      </c>
      <c r="V22" s="929">
        <f t="shared" si="5"/>
        <v>0</v>
      </c>
      <c r="W22" s="930"/>
      <c r="X22" s="930"/>
      <c r="Y22" s="930"/>
      <c r="Z22" s="930"/>
      <c r="AA22" s="930"/>
    </row>
    <row r="23" spans="1:31">
      <c r="A23" s="922">
        <v>6</v>
      </c>
      <c r="B23" s="923">
        <v>7000027495</v>
      </c>
      <c r="C23" s="923">
        <v>300</v>
      </c>
      <c r="D23" s="923">
        <v>180</v>
      </c>
      <c r="E23" s="923">
        <v>10</v>
      </c>
      <c r="F23" s="923" t="s">
        <v>492</v>
      </c>
      <c r="G23" s="923">
        <v>100038034</v>
      </c>
      <c r="H23" s="923">
        <v>995455</v>
      </c>
      <c r="I23" s="924"/>
      <c r="J23" s="794">
        <v>18</v>
      </c>
      <c r="K23" s="796"/>
      <c r="L23" s="797" t="s">
        <v>490</v>
      </c>
      <c r="M23" s="794" t="s">
        <v>480</v>
      </c>
      <c r="N23" s="794">
        <v>22</v>
      </c>
      <c r="O23" s="861"/>
      <c r="P23" s="925" t="str">
        <f t="shared" si="0"/>
        <v>INCLUDED</v>
      </c>
      <c r="Q23" s="812">
        <f t="shared" si="1"/>
        <v>0</v>
      </c>
      <c r="R23" s="926">
        <f t="shared" si="2"/>
        <v>0</v>
      </c>
      <c r="S23" s="927">
        <f>Discount!$J$36</f>
        <v>0</v>
      </c>
      <c r="T23" s="926">
        <f t="shared" si="3"/>
        <v>0</v>
      </c>
      <c r="U23" s="928">
        <f t="shared" si="4"/>
        <v>0</v>
      </c>
      <c r="V23" s="929">
        <f t="shared" si="5"/>
        <v>0</v>
      </c>
      <c r="W23" s="930"/>
      <c r="X23" s="930"/>
      <c r="Y23" s="930"/>
      <c r="Z23" s="930"/>
      <c r="AA23" s="930"/>
    </row>
    <row r="24" spans="1:31" ht="46.8">
      <c r="A24" s="922">
        <v>7</v>
      </c>
      <c r="B24" s="923">
        <v>7000027495</v>
      </c>
      <c r="C24" s="923">
        <v>320</v>
      </c>
      <c r="D24" s="923">
        <v>200</v>
      </c>
      <c r="E24" s="923">
        <v>10</v>
      </c>
      <c r="F24" s="923" t="s">
        <v>575</v>
      </c>
      <c r="G24" s="923">
        <v>100002202</v>
      </c>
      <c r="H24" s="923">
        <v>995468</v>
      </c>
      <c r="I24" s="924"/>
      <c r="J24" s="794">
        <v>18</v>
      </c>
      <c r="K24" s="796"/>
      <c r="L24" s="797" t="s">
        <v>582</v>
      </c>
      <c r="M24" s="794" t="s">
        <v>476</v>
      </c>
      <c r="N24" s="794">
        <v>11</v>
      </c>
      <c r="O24" s="861"/>
      <c r="P24" s="925" t="str">
        <f t="shared" si="0"/>
        <v>INCLUDED</v>
      </c>
      <c r="Q24" s="812">
        <f t="shared" si="1"/>
        <v>0</v>
      </c>
      <c r="R24" s="926">
        <f t="shared" si="2"/>
        <v>0</v>
      </c>
      <c r="S24" s="927">
        <f>Discount!$J$36</f>
        <v>0</v>
      </c>
      <c r="T24" s="926">
        <f t="shared" si="3"/>
        <v>0</v>
      </c>
      <c r="U24" s="928">
        <f t="shared" si="4"/>
        <v>0</v>
      </c>
      <c r="V24" s="929">
        <f t="shared" si="5"/>
        <v>0</v>
      </c>
      <c r="W24" s="930"/>
      <c r="X24" s="930"/>
      <c r="Y24" s="930"/>
      <c r="Z24" s="930"/>
      <c r="AA24" s="930"/>
    </row>
    <row r="25" spans="1:31" ht="62.4">
      <c r="A25" s="922">
        <v>8</v>
      </c>
      <c r="B25" s="923">
        <v>7000027495</v>
      </c>
      <c r="C25" s="923">
        <v>330</v>
      </c>
      <c r="D25" s="923">
        <v>210</v>
      </c>
      <c r="E25" s="923">
        <v>10</v>
      </c>
      <c r="F25" s="923" t="s">
        <v>576</v>
      </c>
      <c r="G25" s="923">
        <v>100004829</v>
      </c>
      <c r="H25" s="923">
        <v>995468</v>
      </c>
      <c r="I25" s="924"/>
      <c r="J25" s="794">
        <v>18</v>
      </c>
      <c r="K25" s="796"/>
      <c r="L25" s="797" t="s">
        <v>583</v>
      </c>
      <c r="M25" s="794" t="s">
        <v>476</v>
      </c>
      <c r="N25" s="794">
        <v>2</v>
      </c>
      <c r="O25" s="861"/>
      <c r="P25" s="925" t="str">
        <f t="shared" ref="P25" si="6">IF(O25=0, "INCLUDED", IF(ISERROR(N25*O25), O25, N25*O25))</f>
        <v>INCLUDED</v>
      </c>
      <c r="Q25" s="812">
        <f t="shared" ref="Q25" si="7">IF(P25="Included",0,P25)</f>
        <v>0</v>
      </c>
      <c r="R25" s="926">
        <f t="shared" ref="R25" si="8">IF( K25="",J25*(IF(P25="Included",0,P25))/100,K25*(IF(P25="Included",0,P25)))</f>
        <v>0</v>
      </c>
      <c r="S25" s="927">
        <f>Discount!$J$36</f>
        <v>0</v>
      </c>
      <c r="T25" s="926">
        <f t="shared" ref="T25" si="9">S25*Q25</f>
        <v>0</v>
      </c>
      <c r="U25" s="928">
        <f t="shared" ref="U25" si="10">IF(K25="",J25*T25/100,K25*T25)</f>
        <v>0</v>
      </c>
      <c r="V25" s="929">
        <f t="shared" ref="V25" si="11">O25*N25</f>
        <v>0</v>
      </c>
      <c r="W25" s="930"/>
      <c r="X25" s="930"/>
      <c r="Y25" s="930"/>
      <c r="Z25" s="930"/>
      <c r="AA25" s="930"/>
    </row>
    <row r="26" spans="1:31" ht="31.2">
      <c r="A26" s="922">
        <v>9</v>
      </c>
      <c r="B26" s="923">
        <v>7000027495</v>
      </c>
      <c r="C26" s="923">
        <v>490</v>
      </c>
      <c r="D26" s="923">
        <v>270</v>
      </c>
      <c r="E26" s="923">
        <v>10</v>
      </c>
      <c r="F26" s="923" t="s">
        <v>493</v>
      </c>
      <c r="G26" s="923">
        <v>100001274</v>
      </c>
      <c r="H26" s="923">
        <v>995444</v>
      </c>
      <c r="I26" s="924"/>
      <c r="J26" s="794">
        <v>18</v>
      </c>
      <c r="K26" s="796"/>
      <c r="L26" s="797" t="s">
        <v>498</v>
      </c>
      <c r="M26" s="794" t="s">
        <v>476</v>
      </c>
      <c r="N26" s="794">
        <v>193</v>
      </c>
      <c r="O26" s="861"/>
      <c r="P26" s="925" t="str">
        <f t="shared" si="0"/>
        <v>INCLUDED</v>
      </c>
      <c r="Q26" s="812">
        <f t="shared" si="1"/>
        <v>0</v>
      </c>
      <c r="R26" s="926">
        <f t="shared" si="2"/>
        <v>0</v>
      </c>
      <c r="S26" s="927">
        <f>Discount!$J$36</f>
        <v>0</v>
      </c>
      <c r="T26" s="926">
        <f t="shared" si="3"/>
        <v>0</v>
      </c>
      <c r="U26" s="928">
        <f t="shared" si="4"/>
        <v>0</v>
      </c>
      <c r="V26" s="929">
        <f t="shared" si="5"/>
        <v>0</v>
      </c>
      <c r="W26" s="930"/>
      <c r="X26" s="930"/>
      <c r="Y26" s="930"/>
      <c r="Z26" s="930"/>
      <c r="AA26" s="930"/>
    </row>
    <row r="27" spans="1:31" ht="31.2">
      <c r="A27" s="922">
        <v>10</v>
      </c>
      <c r="B27" s="923">
        <v>7000027495</v>
      </c>
      <c r="C27" s="923">
        <v>490</v>
      </c>
      <c r="D27" s="923">
        <v>270</v>
      </c>
      <c r="E27" s="923">
        <v>20</v>
      </c>
      <c r="F27" s="923" t="s">
        <v>493</v>
      </c>
      <c r="G27" s="923">
        <v>100001275</v>
      </c>
      <c r="H27" s="923">
        <v>995444</v>
      </c>
      <c r="I27" s="924"/>
      <c r="J27" s="794">
        <v>18</v>
      </c>
      <c r="K27" s="796"/>
      <c r="L27" s="797" t="s">
        <v>499</v>
      </c>
      <c r="M27" s="794" t="s">
        <v>476</v>
      </c>
      <c r="N27" s="794">
        <v>193</v>
      </c>
      <c r="O27" s="861"/>
      <c r="P27" s="925" t="str">
        <f t="shared" ref="P27:P30" si="12">IF(O27=0, "INCLUDED", IF(ISERROR(N27*O27), O27, N27*O27))</f>
        <v>INCLUDED</v>
      </c>
      <c r="Q27" s="812">
        <f t="shared" ref="Q27:Q30" si="13">IF(P27="Included",0,P27)</f>
        <v>0</v>
      </c>
      <c r="R27" s="926">
        <f t="shared" ref="R27:R30" si="14">IF( K27="",J27*(IF(P27="Included",0,P27))/100,K27*(IF(P27="Included",0,P27)))</f>
        <v>0</v>
      </c>
      <c r="S27" s="927">
        <f>Discount!$J$36</f>
        <v>0</v>
      </c>
      <c r="T27" s="926">
        <f t="shared" ref="T27:T30" si="15">S27*Q27</f>
        <v>0</v>
      </c>
      <c r="U27" s="928">
        <f t="shared" ref="U27:U30" si="16">IF(K27="",J27*T27/100,K27*T27)</f>
        <v>0</v>
      </c>
      <c r="V27" s="929">
        <f t="shared" ref="V27:V30" si="17">O27*N27</f>
        <v>0</v>
      </c>
      <c r="W27" s="930"/>
      <c r="X27" s="930"/>
      <c r="Y27" s="930"/>
      <c r="Z27" s="930"/>
      <c r="AA27" s="930"/>
    </row>
    <row r="28" spans="1:31" ht="31.2">
      <c r="A28" s="922">
        <v>11</v>
      </c>
      <c r="B28" s="923">
        <v>7000027495</v>
      </c>
      <c r="C28" s="923">
        <v>490</v>
      </c>
      <c r="D28" s="923">
        <v>270</v>
      </c>
      <c r="E28" s="923">
        <v>30</v>
      </c>
      <c r="F28" s="923" t="s">
        <v>493</v>
      </c>
      <c r="G28" s="923">
        <v>100001276</v>
      </c>
      <c r="H28" s="923">
        <v>995444</v>
      </c>
      <c r="I28" s="924"/>
      <c r="J28" s="794">
        <v>18</v>
      </c>
      <c r="K28" s="796"/>
      <c r="L28" s="797" t="s">
        <v>500</v>
      </c>
      <c r="M28" s="794" t="s">
        <v>479</v>
      </c>
      <c r="N28" s="794">
        <v>193</v>
      </c>
      <c r="O28" s="861"/>
      <c r="P28" s="925" t="str">
        <f t="shared" si="12"/>
        <v>INCLUDED</v>
      </c>
      <c r="Q28" s="812">
        <f t="shared" si="13"/>
        <v>0</v>
      </c>
      <c r="R28" s="926">
        <f t="shared" si="14"/>
        <v>0</v>
      </c>
      <c r="S28" s="927">
        <f>Discount!$J$36</f>
        <v>0</v>
      </c>
      <c r="T28" s="926">
        <f t="shared" si="15"/>
        <v>0</v>
      </c>
      <c r="U28" s="928">
        <f t="shared" si="16"/>
        <v>0</v>
      </c>
      <c r="V28" s="929">
        <f t="shared" si="17"/>
        <v>0</v>
      </c>
      <c r="W28" s="930"/>
      <c r="X28" s="930"/>
      <c r="Y28" s="930"/>
      <c r="Z28" s="930"/>
      <c r="AA28" s="930"/>
    </row>
    <row r="29" spans="1:31" ht="31.2">
      <c r="A29" s="922">
        <v>12</v>
      </c>
      <c r="B29" s="923">
        <v>7000027495</v>
      </c>
      <c r="C29" s="923">
        <v>490</v>
      </c>
      <c r="D29" s="923">
        <v>270</v>
      </c>
      <c r="E29" s="923">
        <v>40</v>
      </c>
      <c r="F29" s="923" t="s">
        <v>493</v>
      </c>
      <c r="G29" s="923">
        <v>100001277</v>
      </c>
      <c r="H29" s="923">
        <v>995444</v>
      </c>
      <c r="I29" s="924"/>
      <c r="J29" s="794">
        <v>18</v>
      </c>
      <c r="K29" s="796"/>
      <c r="L29" s="797" t="s">
        <v>501</v>
      </c>
      <c r="M29" s="794" t="s">
        <v>476</v>
      </c>
      <c r="N29" s="794">
        <v>193</v>
      </c>
      <c r="O29" s="861"/>
      <c r="P29" s="925" t="str">
        <f t="shared" si="12"/>
        <v>INCLUDED</v>
      </c>
      <c r="Q29" s="812">
        <f t="shared" si="13"/>
        <v>0</v>
      </c>
      <c r="R29" s="926">
        <f t="shared" si="14"/>
        <v>0</v>
      </c>
      <c r="S29" s="927">
        <f>Discount!$J$36</f>
        <v>0</v>
      </c>
      <c r="T29" s="926">
        <f t="shared" si="15"/>
        <v>0</v>
      </c>
      <c r="U29" s="928">
        <f t="shared" si="16"/>
        <v>0</v>
      </c>
      <c r="V29" s="929">
        <f t="shared" si="17"/>
        <v>0</v>
      </c>
      <c r="W29" s="930"/>
      <c r="X29" s="930"/>
      <c r="Y29" s="930"/>
      <c r="Z29" s="930"/>
      <c r="AA29" s="930"/>
    </row>
    <row r="30" spans="1:31" ht="31.2">
      <c r="A30" s="922">
        <v>13</v>
      </c>
      <c r="B30" s="923">
        <v>7000027495</v>
      </c>
      <c r="C30" s="923">
        <v>490</v>
      </c>
      <c r="D30" s="923">
        <v>270</v>
      </c>
      <c r="E30" s="923">
        <v>50</v>
      </c>
      <c r="F30" s="923" t="s">
        <v>493</v>
      </c>
      <c r="G30" s="923">
        <v>100001279</v>
      </c>
      <c r="H30" s="923">
        <v>995444</v>
      </c>
      <c r="I30" s="924"/>
      <c r="J30" s="794">
        <v>18</v>
      </c>
      <c r="K30" s="796"/>
      <c r="L30" s="797" t="s">
        <v>502</v>
      </c>
      <c r="M30" s="794" t="s">
        <v>479</v>
      </c>
      <c r="N30" s="794">
        <v>149</v>
      </c>
      <c r="O30" s="861"/>
      <c r="P30" s="925" t="str">
        <f t="shared" si="12"/>
        <v>INCLUDED</v>
      </c>
      <c r="Q30" s="812">
        <f t="shared" si="13"/>
        <v>0</v>
      </c>
      <c r="R30" s="926">
        <f t="shared" si="14"/>
        <v>0</v>
      </c>
      <c r="S30" s="927">
        <f>Discount!$J$36</f>
        <v>0</v>
      </c>
      <c r="T30" s="926">
        <f t="shared" si="15"/>
        <v>0</v>
      </c>
      <c r="U30" s="928">
        <f t="shared" si="16"/>
        <v>0</v>
      </c>
      <c r="V30" s="929">
        <f t="shared" si="17"/>
        <v>0</v>
      </c>
      <c r="W30" s="930"/>
      <c r="X30" s="930"/>
      <c r="Y30" s="930"/>
      <c r="Z30" s="930"/>
      <c r="AA30" s="930"/>
    </row>
    <row r="31" spans="1:31">
      <c r="A31" s="922">
        <v>14</v>
      </c>
      <c r="B31" s="923">
        <v>7000027495</v>
      </c>
      <c r="C31" s="923">
        <v>510</v>
      </c>
      <c r="D31" s="923">
        <v>290</v>
      </c>
      <c r="E31" s="923">
        <v>10</v>
      </c>
      <c r="F31" s="923" t="s">
        <v>577</v>
      </c>
      <c r="G31" s="923">
        <v>170002651</v>
      </c>
      <c r="H31" s="923">
        <v>995419</v>
      </c>
      <c r="I31" s="924"/>
      <c r="J31" s="794">
        <v>18</v>
      </c>
      <c r="K31" s="796"/>
      <c r="L31" s="797" t="s">
        <v>584</v>
      </c>
      <c r="M31" s="794" t="s">
        <v>476</v>
      </c>
      <c r="N31" s="794">
        <v>193</v>
      </c>
      <c r="O31" s="861"/>
      <c r="P31" s="925" t="str">
        <f t="shared" ref="P31" si="18">IF(O31=0, "INCLUDED", IF(ISERROR(N31*O31), O31, N31*O31))</f>
        <v>INCLUDED</v>
      </c>
      <c r="Q31" s="812">
        <f t="shared" ref="Q31" si="19">IF(P31="Included",0,P31)</f>
        <v>0</v>
      </c>
      <c r="R31" s="926">
        <f>IF( K31="",J31*(IF(P31="Included",0,P31))/100,K31*(IF(P31="Included",0,P31)))</f>
        <v>0</v>
      </c>
      <c r="S31" s="927">
        <f>Discount!$J$36</f>
        <v>0</v>
      </c>
      <c r="T31" s="926">
        <f>S31*Q31</f>
        <v>0</v>
      </c>
      <c r="U31" s="928">
        <f>IF(K31="",J31*T31/100,K31*T31)</f>
        <v>0</v>
      </c>
      <c r="V31" s="929">
        <f>O31*N31</f>
        <v>0</v>
      </c>
      <c r="W31" s="930"/>
      <c r="X31" s="930"/>
      <c r="Y31" s="930"/>
      <c r="Z31" s="930"/>
      <c r="AA31" s="930"/>
    </row>
    <row r="32" spans="1:31" s="921" customFormat="1" ht="34.5" customHeight="1">
      <c r="A32" s="915" t="s">
        <v>67</v>
      </c>
      <c r="B32" s="916" t="str">
        <f>+'Sch-2'!B62</f>
        <v xml:space="preserve">Re-conductoring Hisar-Hisar TL      </v>
      </c>
      <c r="C32" s="917"/>
      <c r="D32" s="917"/>
      <c r="E32" s="917"/>
      <c r="F32" s="918"/>
      <c r="G32" s="919"/>
      <c r="H32" s="919"/>
      <c r="I32" s="919"/>
      <c r="J32" s="919"/>
      <c r="K32" s="919"/>
      <c r="L32" s="919"/>
      <c r="M32" s="919"/>
      <c r="N32" s="919"/>
      <c r="O32" s="919"/>
      <c r="P32" s="919"/>
      <c r="Q32" s="920"/>
      <c r="V32" s="920"/>
      <c r="W32" s="920"/>
      <c r="X32" s="920"/>
      <c r="Y32" s="920"/>
      <c r="Z32" s="920"/>
      <c r="AA32" s="920"/>
      <c r="AB32" s="920"/>
      <c r="AC32" s="920"/>
      <c r="AD32" s="920"/>
      <c r="AE32" s="920"/>
    </row>
    <row r="33" spans="1:27" ht="46.8">
      <c r="A33" s="922">
        <v>1</v>
      </c>
      <c r="B33" s="923">
        <v>7000027494</v>
      </c>
      <c r="C33" s="923">
        <v>110</v>
      </c>
      <c r="D33" s="923">
        <v>80</v>
      </c>
      <c r="E33" s="923">
        <v>10</v>
      </c>
      <c r="F33" s="923" t="s">
        <v>572</v>
      </c>
      <c r="G33" s="923">
        <v>100002803</v>
      </c>
      <c r="H33" s="923">
        <v>998344</v>
      </c>
      <c r="I33" s="924"/>
      <c r="J33" s="794">
        <v>18</v>
      </c>
      <c r="K33" s="796"/>
      <c r="L33" s="797" t="s">
        <v>489</v>
      </c>
      <c r="M33" s="794" t="s">
        <v>477</v>
      </c>
      <c r="N33" s="794">
        <v>13.814</v>
      </c>
      <c r="O33" s="861"/>
      <c r="P33" s="925" t="str">
        <f t="shared" ref="P33:P37" si="20">IF(O33=0, "INCLUDED", IF(ISERROR(N33*O33), O33, N33*O33))</f>
        <v>INCLUDED</v>
      </c>
      <c r="Q33" s="812">
        <f t="shared" ref="Q33:Q37" si="21">IF(P33="Included",0,P33)</f>
        <v>0</v>
      </c>
      <c r="R33" s="926">
        <f>IF( K33="",J33*(IF(P33="Included",0,P33))/100,K33*(IF(P33="Included",0,P33)))</f>
        <v>0</v>
      </c>
      <c r="S33" s="927">
        <f>Discount!$J$36</f>
        <v>0</v>
      </c>
      <c r="T33" s="926">
        <f>S33*Q33</f>
        <v>0</v>
      </c>
      <c r="U33" s="928">
        <f>IF(K33="",J33*T33/100,K33*T33)</f>
        <v>0</v>
      </c>
      <c r="V33" s="929">
        <f>O33*N33</f>
        <v>0</v>
      </c>
      <c r="W33" s="930"/>
      <c r="X33" s="930"/>
      <c r="Y33" s="930"/>
      <c r="Z33" s="930"/>
      <c r="AA33" s="930"/>
    </row>
    <row r="34" spans="1:27">
      <c r="A34" s="922">
        <v>2</v>
      </c>
      <c r="B34" s="923">
        <v>7000027494</v>
      </c>
      <c r="C34" s="923">
        <v>120</v>
      </c>
      <c r="D34" s="923">
        <v>90</v>
      </c>
      <c r="E34" s="923">
        <v>10</v>
      </c>
      <c r="F34" s="923" t="s">
        <v>573</v>
      </c>
      <c r="G34" s="923">
        <v>100013755</v>
      </c>
      <c r="H34" s="923">
        <v>995468</v>
      </c>
      <c r="I34" s="924"/>
      <c r="J34" s="794">
        <v>18</v>
      </c>
      <c r="K34" s="796"/>
      <c r="L34" s="797" t="s">
        <v>585</v>
      </c>
      <c r="M34" s="794" t="s">
        <v>477</v>
      </c>
      <c r="N34" s="794">
        <v>13.814</v>
      </c>
      <c r="O34" s="861"/>
      <c r="P34" s="925" t="str">
        <f t="shared" ref="P34" si="22">IF(O34=0, "INCLUDED", IF(ISERROR(N34*O34), O34, N34*O34))</f>
        <v>INCLUDED</v>
      </c>
      <c r="Q34" s="812">
        <f t="shared" ref="Q34" si="23">IF(P34="Included",0,P34)</f>
        <v>0</v>
      </c>
      <c r="R34" s="926">
        <f t="shared" ref="R34" si="24">IF( K34="",J34*(IF(P34="Included",0,P34))/100,K34*(IF(P34="Included",0,P34)))</f>
        <v>0</v>
      </c>
      <c r="S34" s="927">
        <f>Discount!$J$36</f>
        <v>0</v>
      </c>
      <c r="T34" s="926">
        <f t="shared" ref="T34" si="25">S34*Q34</f>
        <v>0</v>
      </c>
      <c r="U34" s="928">
        <f t="shared" ref="U34" si="26">IF(K34="",J34*T34/100,K34*T34)</f>
        <v>0</v>
      </c>
      <c r="V34" s="929">
        <f t="shared" ref="V34" si="27">O34*N34</f>
        <v>0</v>
      </c>
      <c r="W34" s="930"/>
      <c r="X34" s="930"/>
      <c r="Y34" s="930"/>
      <c r="Z34" s="930"/>
      <c r="AA34" s="930"/>
    </row>
    <row r="35" spans="1:27" ht="31.2">
      <c r="A35" s="922">
        <v>3</v>
      </c>
      <c r="B35" s="923">
        <v>7000027494</v>
      </c>
      <c r="C35" s="923">
        <v>130</v>
      </c>
      <c r="D35" s="923">
        <v>110</v>
      </c>
      <c r="E35" s="923">
        <v>10</v>
      </c>
      <c r="F35" s="923" t="s">
        <v>574</v>
      </c>
      <c r="G35" s="923">
        <v>100002477</v>
      </c>
      <c r="H35" s="923">
        <v>995468</v>
      </c>
      <c r="I35" s="924"/>
      <c r="J35" s="794">
        <v>18</v>
      </c>
      <c r="K35" s="796"/>
      <c r="L35" s="797" t="s">
        <v>586</v>
      </c>
      <c r="M35" s="794" t="s">
        <v>477</v>
      </c>
      <c r="N35" s="794">
        <v>13.814</v>
      </c>
      <c r="O35" s="861"/>
      <c r="P35" s="925" t="str">
        <f t="shared" si="20"/>
        <v>INCLUDED</v>
      </c>
      <c r="Q35" s="812">
        <f t="shared" si="21"/>
        <v>0</v>
      </c>
      <c r="R35" s="926">
        <f t="shared" ref="R35:R37" si="28">IF( K35="",J35*(IF(P35="Included",0,P35))/100,K35*(IF(P35="Included",0,P35)))</f>
        <v>0</v>
      </c>
      <c r="S35" s="927">
        <f>Discount!$J$36</f>
        <v>0</v>
      </c>
      <c r="T35" s="926">
        <f t="shared" ref="T35:T37" si="29">S35*Q35</f>
        <v>0</v>
      </c>
      <c r="U35" s="928">
        <f t="shared" ref="U35:U37" si="30">IF(K35="",J35*T35/100,K35*T35)</f>
        <v>0</v>
      </c>
      <c r="V35" s="929">
        <f t="shared" ref="V35:V37" si="31">O35*N35</f>
        <v>0</v>
      </c>
      <c r="W35" s="930"/>
      <c r="X35" s="930"/>
      <c r="Y35" s="930"/>
      <c r="Z35" s="930"/>
      <c r="AA35" s="930"/>
    </row>
    <row r="36" spans="1:27" ht="31.2">
      <c r="A36" s="922">
        <v>4</v>
      </c>
      <c r="B36" s="923">
        <v>7000027494</v>
      </c>
      <c r="C36" s="923">
        <v>320</v>
      </c>
      <c r="D36" s="923">
        <v>180</v>
      </c>
      <c r="E36" s="923">
        <v>10</v>
      </c>
      <c r="F36" s="923" t="s">
        <v>492</v>
      </c>
      <c r="G36" s="923">
        <v>100001248</v>
      </c>
      <c r="H36" s="923">
        <v>995455</v>
      </c>
      <c r="I36" s="924"/>
      <c r="J36" s="794">
        <v>18</v>
      </c>
      <c r="K36" s="796"/>
      <c r="L36" s="797" t="s">
        <v>497</v>
      </c>
      <c r="M36" s="794" t="s">
        <v>480</v>
      </c>
      <c r="N36" s="794">
        <v>30</v>
      </c>
      <c r="O36" s="861"/>
      <c r="P36" s="925" t="str">
        <f t="shared" si="20"/>
        <v>INCLUDED</v>
      </c>
      <c r="Q36" s="812">
        <f t="shared" si="21"/>
        <v>0</v>
      </c>
      <c r="R36" s="926">
        <f t="shared" si="28"/>
        <v>0</v>
      </c>
      <c r="S36" s="927">
        <f>Discount!$J$36</f>
        <v>0</v>
      </c>
      <c r="T36" s="926">
        <f t="shared" si="29"/>
        <v>0</v>
      </c>
      <c r="U36" s="928">
        <f t="shared" si="30"/>
        <v>0</v>
      </c>
      <c r="V36" s="929">
        <f t="shared" si="31"/>
        <v>0</v>
      </c>
      <c r="W36" s="930"/>
      <c r="X36" s="930"/>
      <c r="Y36" s="930"/>
      <c r="Z36" s="930"/>
      <c r="AA36" s="930"/>
    </row>
    <row r="37" spans="1:27">
      <c r="A37" s="922">
        <v>5</v>
      </c>
      <c r="B37" s="923">
        <v>7000027494</v>
      </c>
      <c r="C37" s="923">
        <v>320</v>
      </c>
      <c r="D37" s="923">
        <v>180</v>
      </c>
      <c r="E37" s="923">
        <v>20</v>
      </c>
      <c r="F37" s="923" t="s">
        <v>492</v>
      </c>
      <c r="G37" s="923">
        <v>100038034</v>
      </c>
      <c r="H37" s="923">
        <v>995455</v>
      </c>
      <c r="I37" s="924"/>
      <c r="J37" s="794">
        <v>18</v>
      </c>
      <c r="K37" s="796"/>
      <c r="L37" s="797" t="s">
        <v>490</v>
      </c>
      <c r="M37" s="794" t="s">
        <v>480</v>
      </c>
      <c r="N37" s="794">
        <v>15</v>
      </c>
      <c r="O37" s="861"/>
      <c r="P37" s="925" t="str">
        <f t="shared" si="20"/>
        <v>INCLUDED</v>
      </c>
      <c r="Q37" s="812">
        <f t="shared" si="21"/>
        <v>0</v>
      </c>
      <c r="R37" s="926">
        <f t="shared" si="28"/>
        <v>0</v>
      </c>
      <c r="S37" s="927">
        <f>Discount!$J$36</f>
        <v>0</v>
      </c>
      <c r="T37" s="926">
        <f t="shared" si="29"/>
        <v>0</v>
      </c>
      <c r="U37" s="928">
        <f t="shared" si="30"/>
        <v>0</v>
      </c>
      <c r="V37" s="929">
        <f t="shared" si="31"/>
        <v>0</v>
      </c>
      <c r="W37" s="930"/>
      <c r="X37" s="930"/>
      <c r="Y37" s="930"/>
      <c r="Z37" s="930"/>
      <c r="AA37" s="930"/>
    </row>
    <row r="38" spans="1:27" ht="46.8">
      <c r="A38" s="922">
        <v>6</v>
      </c>
      <c r="B38" s="923">
        <v>7000027494</v>
      </c>
      <c r="C38" s="923">
        <v>340</v>
      </c>
      <c r="D38" s="923">
        <v>200</v>
      </c>
      <c r="E38" s="923">
        <v>10</v>
      </c>
      <c r="F38" s="923" t="s">
        <v>575</v>
      </c>
      <c r="G38" s="923">
        <v>100002202</v>
      </c>
      <c r="H38" s="923">
        <v>995468</v>
      </c>
      <c r="I38" s="924"/>
      <c r="J38" s="794">
        <v>18</v>
      </c>
      <c r="K38" s="796"/>
      <c r="L38" s="797" t="s">
        <v>582</v>
      </c>
      <c r="M38" s="794" t="s">
        <v>476</v>
      </c>
      <c r="N38" s="794">
        <v>2</v>
      </c>
      <c r="O38" s="861"/>
      <c r="P38" s="925" t="str">
        <f t="shared" ref="P38:P41" si="32">IF(O38=0, "INCLUDED", IF(ISERROR(N38*O38), O38, N38*O38))</f>
        <v>INCLUDED</v>
      </c>
      <c r="Q38" s="812">
        <f t="shared" ref="Q38:Q41" si="33">IF(P38="Included",0,P38)</f>
        <v>0</v>
      </c>
      <c r="R38" s="926">
        <f>IF( K38="",J38*(IF(P38="Included",0,P38))/100,K38*(IF(P38="Included",0,P38)))</f>
        <v>0</v>
      </c>
      <c r="S38" s="927">
        <f>Discount!$J$36</f>
        <v>0</v>
      </c>
      <c r="T38" s="926">
        <f>S38*Q38</f>
        <v>0</v>
      </c>
      <c r="U38" s="928">
        <f>IF(K38="",J38*T38/100,K38*T38)</f>
        <v>0</v>
      </c>
      <c r="V38" s="929">
        <f>O38*N38</f>
        <v>0</v>
      </c>
      <c r="W38" s="930"/>
      <c r="X38" s="930"/>
      <c r="Y38" s="930"/>
      <c r="Z38" s="930"/>
      <c r="AA38" s="930"/>
    </row>
    <row r="39" spans="1:27" ht="31.2">
      <c r="A39" s="922">
        <v>7</v>
      </c>
      <c r="B39" s="923">
        <v>7000027494</v>
      </c>
      <c r="C39" s="923">
        <v>380</v>
      </c>
      <c r="D39" s="923">
        <v>250</v>
      </c>
      <c r="E39" s="923">
        <v>10</v>
      </c>
      <c r="F39" s="923" t="s">
        <v>590</v>
      </c>
      <c r="G39" s="923">
        <v>100001309</v>
      </c>
      <c r="H39" s="923">
        <v>995431</v>
      </c>
      <c r="I39" s="924"/>
      <c r="J39" s="794">
        <v>18</v>
      </c>
      <c r="K39" s="796"/>
      <c r="L39" s="797" t="s">
        <v>587</v>
      </c>
      <c r="M39" s="794" t="s">
        <v>480</v>
      </c>
      <c r="N39" s="794">
        <v>30</v>
      </c>
      <c r="O39" s="861"/>
      <c r="P39" s="925" t="str">
        <f t="shared" si="32"/>
        <v>INCLUDED</v>
      </c>
      <c r="Q39" s="812">
        <f t="shared" si="33"/>
        <v>0</v>
      </c>
      <c r="R39" s="926">
        <f t="shared" ref="R39:R41" si="34">IF( K39="",J39*(IF(P39="Included",0,P39))/100,K39*(IF(P39="Included",0,P39)))</f>
        <v>0</v>
      </c>
      <c r="S39" s="927">
        <f>Discount!$J$36</f>
        <v>0</v>
      </c>
      <c r="T39" s="926">
        <f t="shared" ref="T39:T41" si="35">S39*Q39</f>
        <v>0</v>
      </c>
      <c r="U39" s="928">
        <f t="shared" ref="U39:U41" si="36">IF(K39="",J39*T39/100,K39*T39)</f>
        <v>0</v>
      </c>
      <c r="V39" s="929">
        <f t="shared" ref="V39:V41" si="37">O39*N39</f>
        <v>0</v>
      </c>
      <c r="W39" s="930"/>
      <c r="X39" s="930"/>
      <c r="Y39" s="930"/>
      <c r="Z39" s="930"/>
      <c r="AA39" s="930"/>
    </row>
    <row r="40" spans="1:27">
      <c r="A40" s="922">
        <v>8</v>
      </c>
      <c r="B40" s="923">
        <v>7000027494</v>
      </c>
      <c r="C40" s="923">
        <v>390</v>
      </c>
      <c r="D40" s="923">
        <v>260</v>
      </c>
      <c r="E40" s="923">
        <v>10</v>
      </c>
      <c r="F40" s="923" t="s">
        <v>591</v>
      </c>
      <c r="G40" s="923">
        <v>100007787</v>
      </c>
      <c r="H40" s="923">
        <v>995455</v>
      </c>
      <c r="I40" s="924"/>
      <c r="J40" s="794">
        <v>18</v>
      </c>
      <c r="K40" s="796"/>
      <c r="L40" s="797" t="s">
        <v>588</v>
      </c>
      <c r="M40" s="794" t="s">
        <v>476</v>
      </c>
      <c r="N40" s="794">
        <v>16</v>
      </c>
      <c r="O40" s="861"/>
      <c r="P40" s="925" t="str">
        <f t="shared" ref="P40" si="38">IF(O40=0, "INCLUDED", IF(ISERROR(N40*O40), O40, N40*O40))</f>
        <v>INCLUDED</v>
      </c>
      <c r="Q40" s="812">
        <f t="shared" ref="Q40" si="39">IF(P40="Included",0,P40)</f>
        <v>0</v>
      </c>
      <c r="R40" s="926">
        <f t="shared" ref="R40" si="40">IF( K40="",J40*(IF(P40="Included",0,P40))/100,K40*(IF(P40="Included",0,P40)))</f>
        <v>0</v>
      </c>
      <c r="S40" s="927">
        <f>Discount!$J$36</f>
        <v>0</v>
      </c>
      <c r="T40" s="926">
        <f t="shared" ref="T40" si="41">S40*Q40</f>
        <v>0</v>
      </c>
      <c r="U40" s="928">
        <f t="shared" ref="U40" si="42">IF(K40="",J40*T40/100,K40*T40)</f>
        <v>0</v>
      </c>
      <c r="V40" s="929">
        <f t="shared" ref="V40" si="43">O40*N40</f>
        <v>0</v>
      </c>
      <c r="W40" s="930"/>
      <c r="X40" s="930"/>
      <c r="Y40" s="930"/>
      <c r="Z40" s="930"/>
      <c r="AA40" s="930"/>
    </row>
    <row r="41" spans="1:27" ht="46.8">
      <c r="A41" s="922">
        <v>9</v>
      </c>
      <c r="B41" s="923">
        <v>7000027494</v>
      </c>
      <c r="C41" s="923">
        <v>400</v>
      </c>
      <c r="D41" s="923">
        <v>280</v>
      </c>
      <c r="E41" s="923">
        <v>10</v>
      </c>
      <c r="F41" s="923" t="s">
        <v>491</v>
      </c>
      <c r="G41" s="923">
        <v>100001255</v>
      </c>
      <c r="H41" s="923">
        <v>995433</v>
      </c>
      <c r="I41" s="924"/>
      <c r="J41" s="794">
        <v>18</v>
      </c>
      <c r="K41" s="796"/>
      <c r="L41" s="797" t="s">
        <v>494</v>
      </c>
      <c r="M41" s="794" t="s">
        <v>481</v>
      </c>
      <c r="N41" s="794">
        <v>263</v>
      </c>
      <c r="O41" s="861"/>
      <c r="P41" s="925" t="str">
        <f t="shared" si="32"/>
        <v>INCLUDED</v>
      </c>
      <c r="Q41" s="812">
        <f t="shared" si="33"/>
        <v>0</v>
      </c>
      <c r="R41" s="926">
        <f t="shared" si="34"/>
        <v>0</v>
      </c>
      <c r="S41" s="927">
        <f>Discount!$J$36</f>
        <v>0</v>
      </c>
      <c r="T41" s="926">
        <f t="shared" si="35"/>
        <v>0</v>
      </c>
      <c r="U41" s="928">
        <f t="shared" si="36"/>
        <v>0</v>
      </c>
      <c r="V41" s="929">
        <f t="shared" si="37"/>
        <v>0</v>
      </c>
      <c r="W41" s="930"/>
      <c r="X41" s="930"/>
      <c r="Y41" s="930"/>
      <c r="Z41" s="930"/>
      <c r="AA41" s="930"/>
    </row>
    <row r="42" spans="1:27" ht="46.8">
      <c r="A42" s="922">
        <v>10</v>
      </c>
      <c r="B42" s="923">
        <v>7000027494</v>
      </c>
      <c r="C42" s="923">
        <v>400</v>
      </c>
      <c r="D42" s="923">
        <v>280</v>
      </c>
      <c r="E42" s="923">
        <v>20</v>
      </c>
      <c r="F42" s="923" t="s">
        <v>491</v>
      </c>
      <c r="G42" s="923">
        <v>100001256</v>
      </c>
      <c r="H42" s="923">
        <v>995433</v>
      </c>
      <c r="I42" s="924"/>
      <c r="J42" s="794">
        <v>18</v>
      </c>
      <c r="K42" s="796"/>
      <c r="L42" s="797" t="s">
        <v>589</v>
      </c>
      <c r="M42" s="794" t="s">
        <v>481</v>
      </c>
      <c r="N42" s="794">
        <v>263</v>
      </c>
      <c r="O42" s="861"/>
      <c r="P42" s="925" t="str">
        <f t="shared" ref="P42:P45" si="44">IF(O42=0, "INCLUDED", IF(ISERROR(N42*O42), O42, N42*O42))</f>
        <v>INCLUDED</v>
      </c>
      <c r="Q42" s="812">
        <f t="shared" ref="Q42:Q45" si="45">IF(P42="Included",0,P42)</f>
        <v>0</v>
      </c>
      <c r="R42" s="926">
        <f>IF( K42="",J42*(IF(P42="Included",0,P42))/100,K42*(IF(P42="Included",0,P42)))</f>
        <v>0</v>
      </c>
      <c r="S42" s="927">
        <f>Discount!$J$36</f>
        <v>0</v>
      </c>
      <c r="T42" s="926">
        <f>S42*Q42</f>
        <v>0</v>
      </c>
      <c r="U42" s="928">
        <f>IF(K42="",J42*T42/100,K42*T42)</f>
        <v>0</v>
      </c>
      <c r="V42" s="929">
        <f>O42*N42</f>
        <v>0</v>
      </c>
      <c r="W42" s="930"/>
      <c r="X42" s="930"/>
      <c r="Y42" s="930"/>
      <c r="Z42" s="930"/>
      <c r="AA42" s="930"/>
    </row>
    <row r="43" spans="1:27" ht="46.8">
      <c r="A43" s="922">
        <v>11</v>
      </c>
      <c r="B43" s="923">
        <v>7000027494</v>
      </c>
      <c r="C43" s="923">
        <v>400</v>
      </c>
      <c r="D43" s="923">
        <v>280</v>
      </c>
      <c r="E43" s="923">
        <v>30</v>
      </c>
      <c r="F43" s="923" t="s">
        <v>491</v>
      </c>
      <c r="G43" s="923">
        <v>100001260</v>
      </c>
      <c r="H43" s="923">
        <v>995454</v>
      </c>
      <c r="I43" s="924"/>
      <c r="J43" s="794">
        <v>18</v>
      </c>
      <c r="K43" s="796"/>
      <c r="L43" s="797" t="s">
        <v>482</v>
      </c>
      <c r="M43" s="794" t="s">
        <v>481</v>
      </c>
      <c r="N43" s="794">
        <v>56</v>
      </c>
      <c r="O43" s="861"/>
      <c r="P43" s="925" t="str">
        <f t="shared" si="44"/>
        <v>INCLUDED</v>
      </c>
      <c r="Q43" s="812">
        <f t="shared" si="45"/>
        <v>0</v>
      </c>
      <c r="R43" s="926">
        <f t="shared" ref="R43:R45" si="46">IF( K43="",J43*(IF(P43="Included",0,P43))/100,K43*(IF(P43="Included",0,P43)))</f>
        <v>0</v>
      </c>
      <c r="S43" s="927">
        <f>Discount!$J$36</f>
        <v>0</v>
      </c>
      <c r="T43" s="926">
        <f t="shared" ref="T43:T45" si="47">S43*Q43</f>
        <v>0</v>
      </c>
      <c r="U43" s="928">
        <f t="shared" ref="U43:U45" si="48">IF(K43="",J43*T43/100,K43*T43)</f>
        <v>0</v>
      </c>
      <c r="V43" s="929">
        <f t="shared" ref="V43:V45" si="49">O43*N43</f>
        <v>0</v>
      </c>
      <c r="W43" s="930"/>
      <c r="X43" s="930"/>
      <c r="Y43" s="930"/>
      <c r="Z43" s="930"/>
      <c r="AA43" s="930"/>
    </row>
    <row r="44" spans="1:27" ht="46.8">
      <c r="A44" s="922">
        <v>12</v>
      </c>
      <c r="B44" s="923">
        <v>7000027494</v>
      </c>
      <c r="C44" s="923">
        <v>400</v>
      </c>
      <c r="D44" s="923">
        <v>280</v>
      </c>
      <c r="E44" s="923">
        <v>40</v>
      </c>
      <c r="F44" s="923" t="s">
        <v>491</v>
      </c>
      <c r="G44" s="923">
        <v>100001261</v>
      </c>
      <c r="H44" s="923">
        <v>995454</v>
      </c>
      <c r="I44" s="924"/>
      <c r="J44" s="794">
        <v>18</v>
      </c>
      <c r="K44" s="796"/>
      <c r="L44" s="797" t="s">
        <v>483</v>
      </c>
      <c r="M44" s="794" t="s">
        <v>481</v>
      </c>
      <c r="N44" s="794">
        <v>8</v>
      </c>
      <c r="O44" s="861"/>
      <c r="P44" s="925" t="str">
        <f t="shared" ref="P44" si="50">IF(O44=0, "INCLUDED", IF(ISERROR(N44*O44), O44, N44*O44))</f>
        <v>INCLUDED</v>
      </c>
      <c r="Q44" s="812">
        <f t="shared" ref="Q44" si="51">IF(P44="Included",0,P44)</f>
        <v>0</v>
      </c>
      <c r="R44" s="926">
        <f t="shared" ref="R44" si="52">IF( K44="",J44*(IF(P44="Included",0,P44))/100,K44*(IF(P44="Included",0,P44)))</f>
        <v>0</v>
      </c>
      <c r="S44" s="927">
        <f>Discount!$J$36</f>
        <v>0</v>
      </c>
      <c r="T44" s="926">
        <f t="shared" ref="T44" si="53">S44*Q44</f>
        <v>0</v>
      </c>
      <c r="U44" s="928">
        <f t="shared" ref="U44" si="54">IF(K44="",J44*T44/100,K44*T44)</f>
        <v>0</v>
      </c>
      <c r="V44" s="929">
        <f t="shared" ref="V44" si="55">O44*N44</f>
        <v>0</v>
      </c>
      <c r="W44" s="930"/>
      <c r="X44" s="930"/>
      <c r="Y44" s="930"/>
      <c r="Z44" s="930"/>
      <c r="AA44" s="930"/>
    </row>
    <row r="45" spans="1:27" ht="46.8">
      <c r="A45" s="922">
        <v>13</v>
      </c>
      <c r="B45" s="923">
        <v>7000027494</v>
      </c>
      <c r="C45" s="923">
        <v>400</v>
      </c>
      <c r="D45" s="923">
        <v>280</v>
      </c>
      <c r="E45" s="923">
        <v>50</v>
      </c>
      <c r="F45" s="923" t="s">
        <v>491</v>
      </c>
      <c r="G45" s="923">
        <v>100001262</v>
      </c>
      <c r="H45" s="923">
        <v>995454</v>
      </c>
      <c r="I45" s="924"/>
      <c r="J45" s="794">
        <v>18</v>
      </c>
      <c r="K45" s="796"/>
      <c r="L45" s="797" t="s">
        <v>495</v>
      </c>
      <c r="M45" s="794" t="s">
        <v>480</v>
      </c>
      <c r="N45" s="794">
        <v>5</v>
      </c>
      <c r="O45" s="861"/>
      <c r="P45" s="925" t="str">
        <f t="shared" si="44"/>
        <v>INCLUDED</v>
      </c>
      <c r="Q45" s="812">
        <f t="shared" si="45"/>
        <v>0</v>
      </c>
      <c r="R45" s="926">
        <f t="shared" si="46"/>
        <v>0</v>
      </c>
      <c r="S45" s="927">
        <f>Discount!$J$36</f>
        <v>0</v>
      </c>
      <c r="T45" s="926">
        <f t="shared" si="47"/>
        <v>0</v>
      </c>
      <c r="U45" s="928">
        <f t="shared" si="48"/>
        <v>0</v>
      </c>
      <c r="V45" s="929">
        <f t="shared" si="49"/>
        <v>0</v>
      </c>
      <c r="W45" s="930"/>
      <c r="X45" s="930"/>
      <c r="Y45" s="930"/>
      <c r="Z45" s="930"/>
      <c r="AA45" s="930"/>
    </row>
    <row r="46" spans="1:27" ht="46.8">
      <c r="A46" s="922">
        <v>14</v>
      </c>
      <c r="B46" s="923">
        <v>7000027494</v>
      </c>
      <c r="C46" s="923">
        <v>400</v>
      </c>
      <c r="D46" s="923">
        <v>280</v>
      </c>
      <c r="E46" s="923">
        <v>60</v>
      </c>
      <c r="F46" s="923" t="s">
        <v>491</v>
      </c>
      <c r="G46" s="923">
        <v>100001263</v>
      </c>
      <c r="H46" s="923">
        <v>995455</v>
      </c>
      <c r="I46" s="924"/>
      <c r="J46" s="794">
        <v>18</v>
      </c>
      <c r="K46" s="796"/>
      <c r="L46" s="797" t="s">
        <v>496</v>
      </c>
      <c r="M46" s="794" t="s">
        <v>480</v>
      </c>
      <c r="N46" s="794">
        <v>1.2</v>
      </c>
      <c r="O46" s="861"/>
      <c r="P46" s="925" t="str">
        <f t="shared" ref="P46:P47" si="56">IF(O46=0, "INCLUDED", IF(ISERROR(N46*O46), O46, N46*O46))</f>
        <v>INCLUDED</v>
      </c>
      <c r="Q46" s="812">
        <f t="shared" ref="Q46:Q47" si="57">IF(P46="Included",0,P46)</f>
        <v>0</v>
      </c>
      <c r="R46" s="926">
        <f t="shared" ref="R46:R47" si="58">IF( K46="",J46*(IF(P46="Included",0,P46))/100,K46*(IF(P46="Included",0,P46)))</f>
        <v>0</v>
      </c>
      <c r="S46" s="927">
        <f>Discount!$J$36</f>
        <v>0</v>
      </c>
      <c r="T46" s="926">
        <f t="shared" ref="T46:T47" si="59">S46*Q46</f>
        <v>0</v>
      </c>
      <c r="U46" s="928">
        <f t="shared" ref="U46:U47" si="60">IF(K46="",J46*T46/100,K46*T46)</f>
        <v>0</v>
      </c>
      <c r="V46" s="929">
        <f t="shared" ref="V46:V47" si="61">O46*N46</f>
        <v>0</v>
      </c>
      <c r="W46" s="930"/>
      <c r="X46" s="930"/>
      <c r="Y46" s="930"/>
      <c r="Z46" s="930"/>
      <c r="AA46" s="930"/>
    </row>
    <row r="47" spans="1:27" ht="62.4">
      <c r="A47" s="922">
        <v>15</v>
      </c>
      <c r="B47" s="923">
        <v>7000027494</v>
      </c>
      <c r="C47" s="923">
        <v>410</v>
      </c>
      <c r="D47" s="923">
        <v>290</v>
      </c>
      <c r="E47" s="923">
        <v>10</v>
      </c>
      <c r="F47" s="923" t="s">
        <v>592</v>
      </c>
      <c r="G47" s="923">
        <v>100004829</v>
      </c>
      <c r="H47" s="923">
        <v>995468</v>
      </c>
      <c r="I47" s="924"/>
      <c r="J47" s="794">
        <v>18</v>
      </c>
      <c r="K47" s="796"/>
      <c r="L47" s="797" t="s">
        <v>583</v>
      </c>
      <c r="M47" s="794" t="s">
        <v>476</v>
      </c>
      <c r="N47" s="794">
        <v>2</v>
      </c>
      <c r="O47" s="861"/>
      <c r="P47" s="925" t="str">
        <f t="shared" si="56"/>
        <v>INCLUDED</v>
      </c>
      <c r="Q47" s="812">
        <f t="shared" si="57"/>
        <v>0</v>
      </c>
      <c r="R47" s="926">
        <f t="shared" si="58"/>
        <v>0</v>
      </c>
      <c r="S47" s="927">
        <f>Discount!$J$36</f>
        <v>0</v>
      </c>
      <c r="T47" s="926">
        <f t="shared" si="59"/>
        <v>0</v>
      </c>
      <c r="U47" s="928">
        <f t="shared" si="60"/>
        <v>0</v>
      </c>
      <c r="V47" s="929">
        <f t="shared" si="61"/>
        <v>0</v>
      </c>
      <c r="W47" s="930"/>
      <c r="X47" s="930"/>
      <c r="Y47" s="930"/>
      <c r="Z47" s="930"/>
      <c r="AA47" s="930"/>
    </row>
    <row r="48" spans="1:27" ht="39" customHeight="1">
      <c r="A48" s="931"/>
      <c r="B48" s="932"/>
      <c r="C48" s="932"/>
      <c r="D48" s="932"/>
      <c r="E48" s="932"/>
      <c r="F48" s="932"/>
      <c r="G48" s="932"/>
      <c r="H48" s="932"/>
      <c r="I48" s="932"/>
      <c r="J48" s="932"/>
      <c r="K48" s="932"/>
      <c r="L48" s="932"/>
      <c r="M48" s="932"/>
      <c r="N48" s="932"/>
      <c r="O48" s="932"/>
      <c r="P48" s="933"/>
      <c r="Q48" s="812">
        <f t="shared" ref="Q48" si="62">IF(P48="Included",0,P48)</f>
        <v>0</v>
      </c>
      <c r="R48" s="926">
        <f t="shared" ref="R48" si="63">IF( K48="",J48*(IF(P48="Included",0,P48))/100,K48*(IF(P48="Included",0,P48)))</f>
        <v>0</v>
      </c>
      <c r="S48" s="927">
        <f>Discount!$J$36</f>
        <v>0</v>
      </c>
      <c r="T48" s="926">
        <f t="shared" ref="T48" si="64">S48*Q48</f>
        <v>0</v>
      </c>
      <c r="U48" s="928">
        <f t="shared" ref="U48" si="65">IF(K48="",J48*T48/100,K48*T48)</f>
        <v>0</v>
      </c>
      <c r="V48" s="929">
        <f t="shared" ref="V48" si="66">O48*N48</f>
        <v>0</v>
      </c>
      <c r="W48" s="930"/>
      <c r="X48" s="930"/>
      <c r="Y48" s="930"/>
      <c r="Z48" s="930"/>
      <c r="AA48" s="930"/>
    </row>
    <row r="49" spans="1:27" ht="28.5" customHeight="1">
      <c r="A49" s="934"/>
      <c r="B49" s="935" t="s">
        <v>466</v>
      </c>
      <c r="C49" s="936"/>
      <c r="D49" s="936"/>
      <c r="E49" s="936"/>
      <c r="F49" s="936"/>
      <c r="G49" s="936"/>
      <c r="H49" s="936"/>
      <c r="I49" s="936"/>
      <c r="J49" s="936"/>
      <c r="K49" s="936"/>
      <c r="L49" s="937"/>
      <c r="M49" s="938"/>
      <c r="N49" s="939"/>
      <c r="O49" s="938"/>
      <c r="P49" s="940">
        <f>SUM(P18:P48)</f>
        <v>0</v>
      </c>
      <c r="Q49" s="821"/>
      <c r="R49" s="941">
        <f>SUM(R18:R48)</f>
        <v>0</v>
      </c>
      <c r="S49" s="942"/>
      <c r="T49" s="943"/>
      <c r="U49" s="941">
        <f>SUM(U18:U48)</f>
        <v>0</v>
      </c>
      <c r="V49" s="929">
        <f>SUM(V18:V48)</f>
        <v>0</v>
      </c>
      <c r="W49" s="930"/>
      <c r="X49" s="930"/>
      <c r="Y49" s="930"/>
      <c r="Z49" s="930"/>
      <c r="AA49" s="930"/>
    </row>
    <row r="50" spans="1:27" ht="21.75" customHeight="1">
      <c r="B50" s="945"/>
      <c r="C50" s="946"/>
      <c r="D50" s="946"/>
      <c r="E50" s="946"/>
      <c r="F50" s="946"/>
      <c r="G50" s="946"/>
      <c r="H50" s="946"/>
      <c r="I50" s="946"/>
      <c r="J50" s="946"/>
      <c r="K50" s="946"/>
      <c r="L50" s="946"/>
      <c r="M50" s="947"/>
      <c r="N50" s="948"/>
      <c r="O50" s="947"/>
      <c r="P50" s="947"/>
      <c r="Q50" s="947"/>
      <c r="R50" s="942"/>
      <c r="S50" s="942"/>
      <c r="T50" s="943"/>
      <c r="U50" s="942"/>
      <c r="V50" s="930"/>
      <c r="W50" s="930"/>
      <c r="X50" s="930"/>
      <c r="Y50" s="930"/>
      <c r="Z50" s="930"/>
      <c r="AA50" s="930"/>
    </row>
    <row r="51" spans="1:27" ht="30" customHeight="1">
      <c r="A51" s="949" t="s">
        <v>345</v>
      </c>
      <c r="B51" s="950" t="s">
        <v>346</v>
      </c>
      <c r="C51" s="950"/>
      <c r="D51" s="950"/>
      <c r="E51" s="950"/>
      <c r="F51" s="950"/>
      <c r="G51" s="950"/>
      <c r="H51" s="950"/>
      <c r="I51" s="950"/>
      <c r="J51" s="950"/>
      <c r="K51" s="950"/>
      <c r="L51" s="950"/>
      <c r="M51" s="950"/>
      <c r="N51" s="950"/>
      <c r="O51" s="950"/>
      <c r="P51" s="950"/>
      <c r="Q51" s="947"/>
      <c r="R51" s="942"/>
      <c r="S51" s="942"/>
      <c r="T51" s="943"/>
      <c r="U51" s="942"/>
      <c r="V51" s="930"/>
      <c r="W51" s="930"/>
      <c r="X51" s="930"/>
      <c r="Y51" s="930"/>
      <c r="Z51" s="930"/>
      <c r="AA51" s="930"/>
    </row>
    <row r="52" spans="1:27" ht="21.75" customHeight="1">
      <c r="A52" s="951"/>
      <c r="B52" s="952"/>
      <c r="C52" s="953"/>
      <c r="D52" s="954"/>
      <c r="E52" s="955"/>
      <c r="F52" s="830"/>
      <c r="G52" s="830"/>
      <c r="H52" s="830"/>
      <c r="I52" s="830"/>
      <c r="J52" s="830"/>
      <c r="K52" s="830"/>
      <c r="L52" s="829"/>
      <c r="M52" s="947"/>
      <c r="N52" s="948"/>
      <c r="O52" s="947"/>
      <c r="P52" s="947"/>
      <c r="Q52" s="947"/>
      <c r="R52" s="942"/>
      <c r="S52" s="942"/>
      <c r="T52" s="943"/>
      <c r="U52" s="942"/>
      <c r="V52" s="930"/>
      <c r="W52" s="930"/>
      <c r="X52" s="930"/>
      <c r="Y52" s="930"/>
      <c r="Z52" s="930"/>
      <c r="AA52" s="930"/>
    </row>
    <row r="53" spans="1:27" ht="21.75" customHeight="1">
      <c r="A53" s="951"/>
      <c r="B53" s="952"/>
      <c r="C53" s="953"/>
      <c r="D53" s="954"/>
      <c r="E53" s="955"/>
      <c r="F53" s="830"/>
      <c r="G53" s="830"/>
      <c r="H53" s="830"/>
      <c r="I53" s="830"/>
      <c r="J53" s="830"/>
      <c r="K53" s="830"/>
      <c r="L53" s="829"/>
      <c r="M53" s="947"/>
      <c r="N53" s="948"/>
      <c r="O53" s="947"/>
      <c r="P53" s="947"/>
      <c r="Q53" s="947"/>
      <c r="R53" s="942"/>
      <c r="S53" s="942"/>
      <c r="T53" s="943"/>
      <c r="U53" s="942"/>
      <c r="V53" s="930"/>
      <c r="W53" s="930"/>
      <c r="X53" s="930"/>
      <c r="Y53" s="930"/>
      <c r="Z53" s="930"/>
      <c r="AA53" s="930"/>
    </row>
    <row r="54" spans="1:27" s="948" customFormat="1" ht="14.4">
      <c r="A54" s="949"/>
      <c r="B54" s="956" t="s">
        <v>306</v>
      </c>
      <c r="C54" s="957" t="str">
        <f>'Sch-1'!C102:D102</f>
        <v xml:space="preserve">  </v>
      </c>
      <c r="D54" s="957"/>
      <c r="E54" s="957"/>
      <c r="F54" s="949"/>
      <c r="G54" s="949"/>
      <c r="H54" s="949"/>
      <c r="I54" s="949"/>
      <c r="J54" s="949"/>
      <c r="K54" s="949"/>
      <c r="L54" s="949"/>
      <c r="M54" s="958" t="s">
        <v>308</v>
      </c>
      <c r="N54" s="958"/>
      <c r="O54" s="959" t="str">
        <f>'Sch-1'!K102</f>
        <v/>
      </c>
      <c r="P54" s="959"/>
      <c r="R54" s="960"/>
      <c r="S54" s="960"/>
      <c r="T54" s="960"/>
      <c r="U54" s="960"/>
    </row>
    <row r="55" spans="1:27" s="948" customFormat="1" ht="14.4">
      <c r="A55" s="949"/>
      <c r="B55" s="956" t="s">
        <v>307</v>
      </c>
      <c r="C55" s="961" t="str">
        <f>'Sch-1'!C103:D103</f>
        <v/>
      </c>
      <c r="D55" s="961"/>
      <c r="E55" s="961"/>
      <c r="F55" s="949"/>
      <c r="G55" s="949"/>
      <c r="H55" s="949"/>
      <c r="I55" s="949"/>
      <c r="J55" s="949"/>
      <c r="K55" s="949"/>
      <c r="L55" s="949"/>
      <c r="M55" s="958" t="s">
        <v>124</v>
      </c>
      <c r="N55" s="958"/>
      <c r="O55" s="959" t="str">
        <f>'Sch-1'!K103</f>
        <v/>
      </c>
      <c r="P55" s="959"/>
      <c r="R55" s="960"/>
      <c r="S55" s="960"/>
      <c r="T55" s="960"/>
      <c r="U55" s="960"/>
    </row>
    <row r="56" spans="1:27">
      <c r="B56" s="952"/>
      <c r="C56" s="953"/>
      <c r="D56" s="888"/>
      <c r="E56" s="955"/>
      <c r="F56" s="775"/>
      <c r="G56" s="830"/>
      <c r="H56" s="830"/>
      <c r="I56" s="830"/>
      <c r="J56" s="830"/>
      <c r="K56" s="830"/>
      <c r="L56" s="829"/>
      <c r="M56" s="947"/>
      <c r="N56" s="948"/>
      <c r="O56" s="947"/>
      <c r="P56" s="947"/>
      <c r="Q56" s="947"/>
    </row>
    <row r="57" spans="1:27">
      <c r="B57" s="962"/>
      <c r="C57" s="963"/>
      <c r="D57" s="887"/>
      <c r="E57" s="955"/>
      <c r="F57" s="775"/>
      <c r="G57" s="829"/>
      <c r="H57" s="829"/>
      <c r="I57" s="829"/>
      <c r="J57" s="829"/>
      <c r="K57" s="829"/>
      <c r="L57" s="829"/>
      <c r="M57" s="947"/>
      <c r="N57" s="948"/>
      <c r="O57" s="947"/>
      <c r="P57" s="947"/>
      <c r="Q57" s="947"/>
    </row>
    <row r="59" spans="1:27">
      <c r="P59" s="964">
        <f>P49*0.18</f>
        <v>0</v>
      </c>
    </row>
  </sheetData>
  <sheetProtection algorithmName="SHA-512" hashValue="rA2XSEiAg3T7wrAqutPj+xbGu8YuoUAG1l5x2Y8g97qfiVvc/M5U8kDNB372Qtsjb8UafZdwqD4mXxRK14VxKQ==" saltValue="BVOPMuORrYIzfokcZQB3lQ==" spinCount="100000" sheet="1" formatColumns="0" formatRows="0" selectLockedCells="1"/>
  <customSheetViews>
    <customSheetView guid="{8BA4A88A-5522-45F5-A82B-CD7725CE50B1}" scale="85" showPageBreaks="1" fitToPage="1" printArea="1" hiddenColumns="1" view="pageBreakPreview" topLeftCell="A40">
      <selection activeCell="I18" sqref="I18"/>
      <pageMargins left="0.2" right="0.2" top="0.75" bottom="0.5" header="0.3" footer="0.3"/>
      <printOptions horizontalCentered="1"/>
      <pageSetup paperSize="9" scale="45" fitToHeight="0" orientation="landscape" r:id="rId1"/>
      <headerFooter>
        <oddHeader>&amp;RSchedule-3Page &amp;P of &amp;N</oddHeader>
      </headerFooter>
    </customSheetView>
    <customSheetView guid="{889C3D82-0A24-4765-A688-A80A782F5056}" scale="85" showPageBreaks="1" fitToPage="1" printArea="1" hiddenColumns="1" view="pageBreakPreview">
      <selection activeCell="I18" sqref="I18"/>
      <pageMargins left="0.2" right="0.2" top="0.75" bottom="0.5" header="0.3" footer="0.3"/>
      <printOptions horizontalCentered="1"/>
      <pageSetup paperSize="9" scale="44" fitToHeight="0" orientation="landscape" r:id="rId2"/>
      <headerFooter>
        <oddHeader>&amp;RSchedule-3Page &amp;P of &amp;N</oddHeader>
      </headerFooter>
    </customSheetView>
    <customSheetView guid="{89CB4E6A-722E-4E39-885D-E2A6D0D08321}" scale="60" showPageBreaks="1" fitToPage="1" printArea="1" hiddenColumns="1" view="pageBreakPreview">
      <selection activeCell="O128" sqref="O128"/>
      <pageMargins left="0.2" right="0.2" top="0.75" bottom="0.5" header="0.3" footer="0.3"/>
      <printOptions horizontalCentered="1"/>
      <pageSetup paperSize="9" scale="45" fitToHeight="0" orientation="landscape" r:id="rId3"/>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2" right="0.2" top="0.75" bottom="0.5" header="0.3" footer="0.3"/>
      <printOptions horizontalCentered="1"/>
      <pageSetup paperSize="9" scale="53" orientation="landscape" r:id="rId4"/>
      <headerFooter>
        <oddHeader>&amp;RSchedule-3Page &amp;P of &amp;N</oddHeader>
      </headerFooter>
    </customSheetView>
    <customSheetView guid="{18EA11B4-BD82-47BF-99FA-7AB19BF74D0B}" scale="70" showPageBreaks="1" printArea="1" hiddenColumns="1" view="pageBreakPreview">
      <selection activeCell="K17" sqref="K17"/>
      <pageMargins left="0.2" right="0.2" top="0.75" bottom="0.5" header="0.3" footer="0.3"/>
      <printOptions horizontalCentered="1"/>
      <pageSetup paperSize="9" scale="53" orientation="landscape" r:id="rId5"/>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2" right="0.2" top="0.75" bottom="0.5" header="0.3" footer="0.3"/>
      <printOptions horizontalCentered="1"/>
      <pageSetup paperSize="9" scale="53" orientation="landscape" r:id="rId6"/>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7"/>
      <headerFooter>
        <oddHeader>&amp;RSchedule-3Page &amp;P of &amp;N</oddHeader>
      </headerFooter>
    </customSheetView>
    <customSheetView guid="{63D51328-7CBC-4A1E-B96D-BAE91416501B}" scale="90" showPageBreaks="1" printArea="1" hiddenColumns="1" view="pageBreakPreview" topLeftCell="A69">
      <selection activeCell="O81" sqref="O81"/>
      <pageMargins left="0.2" right="0.2" top="0.75" bottom="0.5" header="0.3" footer="0.3"/>
      <printOptions horizontalCentered="1"/>
      <pageSetup paperSize="9" scale="53" orientation="landscape" r:id="rId8"/>
      <headerFooter>
        <oddHeader>&amp;RSchedule-3Page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9"/>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10"/>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11"/>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2" right="0.2" top="0.75" bottom="0.5" header="0.3" footer="0.3"/>
      <printOptions horizontalCentered="1"/>
      <pageSetup paperSize="9" scale="53" orientation="landscape" r:id="rId12"/>
      <headerFooter>
        <oddHeader>&amp;RSchedule-3Page &amp;P of &amp;N</oddHeader>
      </headerFooter>
    </customSheetView>
  </customSheetViews>
  <mergeCells count="21">
    <mergeCell ref="B51:P51"/>
    <mergeCell ref="M55:N55"/>
    <mergeCell ref="M54:N54"/>
    <mergeCell ref="C55:E55"/>
    <mergeCell ref="C54:E54"/>
    <mergeCell ref="O55:P55"/>
    <mergeCell ref="O54:P54"/>
    <mergeCell ref="A3:P3"/>
    <mergeCell ref="A4:P4"/>
    <mergeCell ref="A6:B6"/>
    <mergeCell ref="A7:I7"/>
    <mergeCell ref="A8:G8"/>
    <mergeCell ref="B49:L49"/>
    <mergeCell ref="C12:G12"/>
    <mergeCell ref="C11:G11"/>
    <mergeCell ref="C10:G10"/>
    <mergeCell ref="C9:G9"/>
    <mergeCell ref="A48:P48"/>
    <mergeCell ref="O14:P14"/>
    <mergeCell ref="B17:F17"/>
    <mergeCell ref="B32:F32"/>
  </mergeCells>
  <conditionalFormatting sqref="K18:K22 K31 K46:K47">
    <cfRule type="expression" dxfId="8" priority="87" stopIfTrue="1">
      <formula>J18&gt;0</formula>
    </cfRule>
  </conditionalFormatting>
  <conditionalFormatting sqref="K23:K26">
    <cfRule type="expression" dxfId="7" priority="9" stopIfTrue="1">
      <formula>J23&gt;0</formula>
    </cfRule>
  </conditionalFormatting>
  <conditionalFormatting sqref="K27:K30">
    <cfRule type="expression" dxfId="6" priority="8" stopIfTrue="1">
      <formula>J27&gt;0</formula>
    </cfRule>
  </conditionalFormatting>
  <conditionalFormatting sqref="K33:K37">
    <cfRule type="expression" dxfId="5" priority="6" stopIfTrue="1">
      <formula>J33&gt;0</formula>
    </cfRule>
  </conditionalFormatting>
  <conditionalFormatting sqref="K38:K41">
    <cfRule type="expression" dxfId="4" priority="5" stopIfTrue="1">
      <formula>J38&gt;0</formula>
    </cfRule>
  </conditionalFormatting>
  <conditionalFormatting sqref="K42:K45">
    <cfRule type="expression" dxfId="3" priority="4" stopIfTrue="1">
      <formula>J42&gt;0</formula>
    </cfRule>
  </conditionalFormatting>
  <dataValidations count="5">
    <dataValidation type="list" allowBlank="1" showInputMessage="1" showErrorMessage="1" sqref="IJ64484 A64484:K64484" xr:uid="{00000000-0002-0000-0600-000000000000}">
      <formula1>#REF!</formula1>
    </dataValidation>
    <dataValidation type="decimal" operator="greaterThan" allowBlank="1" showInputMessage="1" showErrorMessage="1" error="Enter only Numeric Value greater than zero or leave the cell blank !" sqref="O64454:O64500" xr:uid="{00000000-0002-0000-0600-000001000000}">
      <formula1>0</formula1>
    </dataValidation>
    <dataValidation type="list" operator="greaterThan" allowBlank="1" showInputMessage="1" showErrorMessage="1" sqref="K18:K31 K33:K47" xr:uid="{00000000-0002-0000-0600-000002000000}">
      <formula1>"0%,5%,12%,18%,28%"</formula1>
    </dataValidation>
    <dataValidation type="whole" operator="greaterThan" allowBlank="1" showInputMessage="1" showErrorMessage="1" sqref="I18:I31 I33:I47" xr:uid="{00000000-0002-0000-0600-000003000000}">
      <formula1>0</formula1>
    </dataValidation>
    <dataValidation type="decimal" operator="greaterThanOrEqual" allowBlank="1" showInputMessage="1" showErrorMessage="1" sqref="O18:O31 O33:O47" xr:uid="{00000000-0002-0000-0600-000004000000}">
      <formula1>0</formula1>
    </dataValidation>
  </dataValidations>
  <printOptions horizontalCentered="1"/>
  <pageMargins left="0.2" right="0.2" top="0.75" bottom="0.5" header="0.3" footer="0.3"/>
  <pageSetup paperSize="9" scale="44" fitToHeight="0" orientation="landscape" r:id="rId13"/>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85" zoomScaleSheetLayoutView="85" workbookViewId="0">
      <selection activeCell="L24" sqref="L24"/>
    </sheetView>
  </sheetViews>
  <sheetFormatPr defaultColWidth="9.109375" defaultRowHeight="15.6"/>
  <cols>
    <col min="1" max="1" width="7.5546875" style="395" customWidth="1"/>
    <col min="2" max="2" width="9" style="395" customWidth="1"/>
    <col min="3" max="3" width="10.33203125" style="395" customWidth="1"/>
    <col min="4" max="4" width="10.88671875" style="395" customWidth="1"/>
    <col min="5" max="5" width="11.109375" style="395" customWidth="1"/>
    <col min="6" max="6" width="13.6640625" style="395" customWidth="1"/>
    <col min="7" max="7" width="15.44140625" style="395" customWidth="1"/>
    <col min="8" max="11" width="16.88671875" style="395" customWidth="1"/>
    <col min="12" max="12" width="14.44140625" style="396" customWidth="1"/>
    <col min="13" max="13" width="9" style="395" customWidth="1"/>
    <col min="14" max="14" width="11.44140625" style="395" customWidth="1"/>
    <col min="15" max="15" width="13.33203125" style="395" customWidth="1"/>
    <col min="16" max="16" width="19.109375" style="400" customWidth="1"/>
    <col min="17" max="16384" width="9.109375" style="400"/>
  </cols>
  <sheetData>
    <row r="1" spans="1:16" s="397" customFormat="1" ht="24.75" customHeight="1">
      <c r="A1" s="380" t="str">
        <f>Cover!B3</f>
        <v>CC/NT/W-COND/DOM/A04/24/05656</v>
      </c>
      <c r="B1" s="380"/>
      <c r="C1" s="380"/>
      <c r="D1" s="380"/>
      <c r="E1" s="380"/>
      <c r="F1" s="380"/>
      <c r="G1" s="381"/>
      <c r="H1" s="381"/>
      <c r="I1" s="381"/>
      <c r="J1" s="381"/>
      <c r="K1" s="381"/>
      <c r="L1" s="382"/>
      <c r="M1" s="383"/>
      <c r="N1" s="384"/>
      <c r="O1" s="384"/>
      <c r="P1" s="385" t="s">
        <v>26</v>
      </c>
    </row>
    <row r="2" spans="1:16" s="397" customFormat="1">
      <c r="A2" s="5"/>
      <c r="B2" s="5"/>
      <c r="C2" s="5"/>
      <c r="D2" s="5"/>
      <c r="E2" s="5"/>
      <c r="F2" s="5"/>
      <c r="G2" s="386"/>
      <c r="H2" s="386"/>
      <c r="I2" s="386"/>
      <c r="J2" s="386"/>
      <c r="K2" s="386"/>
      <c r="L2" s="387"/>
      <c r="M2" s="388"/>
      <c r="N2" s="389"/>
      <c r="O2" s="389"/>
    </row>
    <row r="3" spans="1:16" s="397" customFormat="1" ht="87" customHeight="1">
      <c r="A3" s="612" t="str">
        <f>Cover!$B$2</f>
        <v>Reconductoring Package - OH01 for (i) Reconductoring of 220kV Hisar (PG)-Hisar (IA) D/c line associated with ‘Reconductoring of 220kV Hisar (PG) – Hisar (IA) S/c line’; and (ii) Reconductoring of 400 kV S/c (TWIN ACSR MOOSE) Raichur – Veltoor (Mahabubnagar) line with TWIN HTLS conductor associated with ‘Reconductoring of Raichur – Veltoor (Mahabubnagar) 400kV S/c line with HTLS conductor’.</v>
      </c>
      <c r="B3" s="612"/>
      <c r="C3" s="612"/>
      <c r="D3" s="612"/>
      <c r="E3" s="612"/>
      <c r="F3" s="612"/>
      <c r="G3" s="612"/>
      <c r="H3" s="612"/>
      <c r="I3" s="612"/>
      <c r="J3" s="612"/>
      <c r="K3" s="612"/>
      <c r="L3" s="612"/>
      <c r="M3" s="612"/>
      <c r="N3" s="612"/>
      <c r="O3" s="612"/>
      <c r="P3" s="612"/>
    </row>
    <row r="4" spans="1:16" s="397" customFormat="1">
      <c r="A4" s="613" t="s">
        <v>19</v>
      </c>
      <c r="B4" s="613"/>
      <c r="C4" s="613"/>
      <c r="D4" s="613"/>
      <c r="E4" s="613"/>
      <c r="F4" s="613"/>
      <c r="G4" s="613"/>
      <c r="H4" s="613"/>
      <c r="I4" s="613"/>
      <c r="J4" s="613"/>
      <c r="K4" s="613"/>
      <c r="L4" s="613"/>
      <c r="M4" s="613"/>
      <c r="N4" s="613"/>
      <c r="O4" s="613"/>
      <c r="P4" s="613"/>
    </row>
    <row r="5" spans="1:16" s="397" customFormat="1">
      <c r="A5" s="390"/>
      <c r="B5" s="390"/>
      <c r="C5" s="390"/>
      <c r="D5" s="390"/>
      <c r="E5" s="390"/>
      <c r="F5" s="390"/>
      <c r="G5" s="391"/>
      <c r="H5" s="391"/>
      <c r="I5" s="391"/>
      <c r="J5" s="391"/>
      <c r="K5" s="391"/>
      <c r="L5" s="391"/>
      <c r="M5" s="390"/>
      <c r="N5" s="390"/>
      <c r="O5" s="390"/>
    </row>
    <row r="6" spans="1:16" s="397" customFormat="1" ht="20.25" customHeight="1">
      <c r="A6" s="607" t="s">
        <v>338</v>
      </c>
      <c r="B6" s="607"/>
      <c r="C6" s="2"/>
      <c r="D6" s="304"/>
      <c r="E6" s="2"/>
      <c r="F6" s="2"/>
      <c r="G6" s="2"/>
      <c r="H6" s="2"/>
      <c r="I6" s="2"/>
      <c r="J6" s="391"/>
      <c r="K6" s="391"/>
      <c r="L6" s="391"/>
      <c r="M6" s="390"/>
      <c r="N6" s="390"/>
      <c r="O6" s="390"/>
    </row>
    <row r="7" spans="1:16" s="397" customFormat="1" ht="21" customHeight="1">
      <c r="A7" s="610">
        <f>'Sch-1'!A7</f>
        <v>0</v>
      </c>
      <c r="B7" s="610"/>
      <c r="C7" s="610"/>
      <c r="D7" s="610"/>
      <c r="E7" s="610"/>
      <c r="F7" s="610"/>
      <c r="G7" s="610"/>
      <c r="H7" s="610"/>
      <c r="I7" s="610"/>
      <c r="J7" s="3"/>
      <c r="K7" s="3"/>
      <c r="L7" s="342"/>
      <c r="M7" s="3"/>
      <c r="N7" s="392" t="s">
        <v>1</v>
      </c>
      <c r="O7" s="389"/>
    </row>
    <row r="8" spans="1:16" s="397" customFormat="1" ht="21" customHeight="1">
      <c r="A8" s="608" t="str">
        <f>"Bidder’s Name and Address  (" &amp; MID('Names of Bidder'!A9,9, 20) &amp; ") :"</f>
        <v>Bidder’s Name and Address  (Sole Bidder) :</v>
      </c>
      <c r="B8" s="608"/>
      <c r="C8" s="608"/>
      <c r="D8" s="608"/>
      <c r="E8" s="608"/>
      <c r="F8" s="608"/>
      <c r="G8" s="608"/>
      <c r="H8" s="356"/>
      <c r="I8" s="356"/>
      <c r="J8" s="406"/>
      <c r="K8" s="406"/>
      <c r="L8" s="406"/>
      <c r="M8" s="406"/>
      <c r="N8" s="6" t="str">
        <f>'Sch-1'!K8</f>
        <v>Contract Services</v>
      </c>
      <c r="O8" s="389"/>
    </row>
    <row r="9" spans="1:16" s="397" customFormat="1" ht="24" customHeight="1">
      <c r="A9" s="368" t="s">
        <v>12</v>
      </c>
      <c r="B9" s="353"/>
      <c r="C9" s="610" t="str">
        <f>IF('Names of Bidder'!C9=0, "", 'Names of Bidder'!C9)</f>
        <v/>
      </c>
      <c r="D9" s="610"/>
      <c r="E9" s="610"/>
      <c r="F9" s="610"/>
      <c r="G9" s="610"/>
      <c r="H9" s="354"/>
      <c r="I9" s="354"/>
      <c r="J9" s="220"/>
      <c r="K9" s="220"/>
      <c r="L9" s="398"/>
      <c r="N9" s="6" t="str">
        <f>'Sch-1'!K9</f>
        <v>Power Grid Corporation of India Ltd.,</v>
      </c>
      <c r="O9" s="389"/>
    </row>
    <row r="10" spans="1:16" s="397" customFormat="1">
      <c r="A10" s="368" t="s">
        <v>11</v>
      </c>
      <c r="B10" s="353"/>
      <c r="C10" s="609" t="str">
        <f>IF('Names of Bidder'!C10=0, "", 'Names of Bidder'!C10)</f>
        <v/>
      </c>
      <c r="D10" s="609"/>
      <c r="E10" s="609"/>
      <c r="F10" s="609"/>
      <c r="G10" s="609"/>
      <c r="H10" s="354"/>
      <c r="I10" s="354"/>
      <c r="J10" s="220"/>
      <c r="K10" s="220"/>
      <c r="L10" s="398"/>
      <c r="N10" s="6" t="str">
        <f>'Sch-1'!K10</f>
        <v>"Saudamini", Plot No.-2</v>
      </c>
      <c r="O10" s="389"/>
    </row>
    <row r="11" spans="1:16" s="397" customFormat="1">
      <c r="A11" s="354"/>
      <c r="B11" s="354"/>
      <c r="C11" s="609" t="str">
        <f>IF('Names of Bidder'!C11=0, "", 'Names of Bidder'!C11)</f>
        <v/>
      </c>
      <c r="D11" s="609"/>
      <c r="E11" s="609"/>
      <c r="F11" s="609"/>
      <c r="G11" s="609"/>
      <c r="H11" s="354"/>
      <c r="I11" s="354"/>
      <c r="J11" s="220"/>
      <c r="K11" s="220"/>
      <c r="L11" s="398"/>
      <c r="N11" s="6" t="str">
        <f>'Sch-1'!K11</f>
        <v xml:space="preserve">Sector-29, </v>
      </c>
      <c r="O11" s="389"/>
    </row>
    <row r="12" spans="1:16" s="397" customFormat="1">
      <c r="A12" s="354"/>
      <c r="B12" s="354"/>
      <c r="C12" s="609" t="str">
        <f>IF('Names of Bidder'!C12=0, "", 'Names of Bidder'!C12)</f>
        <v/>
      </c>
      <c r="D12" s="609"/>
      <c r="E12" s="609"/>
      <c r="F12" s="609"/>
      <c r="G12" s="609"/>
      <c r="H12" s="354"/>
      <c r="I12" s="354"/>
      <c r="J12" s="220"/>
      <c r="K12" s="220"/>
      <c r="L12" s="398"/>
      <c r="N12" s="6" t="str">
        <f>'Sch-1'!K12</f>
        <v>Gurgaon (Haryana) - 122001</v>
      </c>
      <c r="O12" s="389"/>
    </row>
    <row r="13" spans="1:16" s="397" customFormat="1">
      <c r="A13" s="354"/>
      <c r="B13" s="354"/>
      <c r="C13" s="220"/>
      <c r="D13" s="220"/>
      <c r="E13" s="220"/>
      <c r="F13" s="220"/>
      <c r="G13" s="220"/>
      <c r="H13" s="354"/>
      <c r="I13" s="354"/>
      <c r="J13" s="220"/>
      <c r="K13" s="220"/>
      <c r="L13" s="398"/>
      <c r="N13" s="6"/>
      <c r="O13" s="389"/>
    </row>
    <row r="14" spans="1:16" s="397" customFormat="1" ht="21" customHeight="1">
      <c r="A14" s="614" t="s">
        <v>27</v>
      </c>
      <c r="B14" s="614"/>
      <c r="C14" s="614"/>
      <c r="D14" s="614"/>
      <c r="E14" s="614"/>
      <c r="F14" s="614"/>
      <c r="G14" s="614"/>
      <c r="H14" s="614"/>
      <c r="I14" s="614"/>
      <c r="J14" s="614"/>
      <c r="K14" s="614"/>
      <c r="L14" s="614"/>
      <c r="M14" s="614"/>
      <c r="N14" s="614"/>
      <c r="O14" s="614"/>
      <c r="P14" s="614"/>
    </row>
    <row r="15" spans="1:16" s="397" customFormat="1" ht="63.75" customHeight="1">
      <c r="A15" s="376" t="s">
        <v>7</v>
      </c>
      <c r="B15" s="377" t="s">
        <v>259</v>
      </c>
      <c r="C15" s="377" t="s">
        <v>260</v>
      </c>
      <c r="D15" s="377" t="s">
        <v>270</v>
      </c>
      <c r="E15" s="377" t="s">
        <v>272</v>
      </c>
      <c r="F15" s="377" t="s">
        <v>273</v>
      </c>
      <c r="G15" s="376" t="s">
        <v>25</v>
      </c>
      <c r="H15" s="407" t="s">
        <v>313</v>
      </c>
      <c r="I15" s="408" t="s">
        <v>312</v>
      </c>
      <c r="J15" s="408" t="s">
        <v>300</v>
      </c>
      <c r="K15" s="408" t="s">
        <v>309</v>
      </c>
      <c r="L15" s="377" t="s">
        <v>15</v>
      </c>
      <c r="M15" s="378" t="s">
        <v>9</v>
      </c>
      <c r="N15" s="378" t="s">
        <v>16</v>
      </c>
      <c r="O15" s="379" t="s">
        <v>28</v>
      </c>
      <c r="P15" s="379" t="s">
        <v>29</v>
      </c>
    </row>
    <row r="16" spans="1:16" s="460" customFormat="1" ht="14.4">
      <c r="A16" s="457">
        <v>1</v>
      </c>
      <c r="B16" s="457">
        <v>2</v>
      </c>
      <c r="C16" s="457">
        <v>3</v>
      </c>
      <c r="D16" s="457">
        <v>4</v>
      </c>
      <c r="E16" s="457">
        <v>5</v>
      </c>
      <c r="F16" s="457">
        <v>6</v>
      </c>
      <c r="G16" s="457">
        <v>7</v>
      </c>
      <c r="H16" s="458">
        <v>8</v>
      </c>
      <c r="I16" s="458">
        <v>9</v>
      </c>
      <c r="J16" s="458">
        <v>10</v>
      </c>
      <c r="K16" s="458">
        <v>11</v>
      </c>
      <c r="L16" s="459">
        <v>12</v>
      </c>
      <c r="M16" s="457">
        <v>13</v>
      </c>
      <c r="N16" s="457">
        <v>14</v>
      </c>
      <c r="O16" s="457">
        <v>15</v>
      </c>
      <c r="P16" s="457" t="s">
        <v>311</v>
      </c>
    </row>
    <row r="17" spans="1:17">
      <c r="A17" s="393"/>
      <c r="B17" s="393"/>
      <c r="C17" s="393"/>
      <c r="D17" s="393"/>
      <c r="E17" s="393"/>
      <c r="F17" s="393"/>
      <c r="G17" s="393"/>
      <c r="H17" s="393"/>
      <c r="I17" s="393"/>
      <c r="J17" s="393"/>
      <c r="K17" s="393"/>
      <c r="L17" s="394"/>
      <c r="M17" s="393"/>
      <c r="N17" s="393"/>
      <c r="O17" s="393"/>
      <c r="P17" s="399"/>
    </row>
    <row r="18" spans="1:17" s="395" customFormat="1" ht="45" customHeight="1">
      <c r="A18" s="393"/>
      <c r="B18" s="401"/>
      <c r="C18" s="401"/>
      <c r="D18" s="401"/>
      <c r="F18" s="401"/>
      <c r="G18" s="401"/>
      <c r="H18" s="401"/>
      <c r="I18" s="456" t="s">
        <v>326</v>
      </c>
      <c r="J18" s="401"/>
      <c r="K18" s="401"/>
      <c r="L18" s="401"/>
      <c r="M18" s="401"/>
      <c r="N18" s="401"/>
      <c r="O18" s="401"/>
      <c r="P18" s="401"/>
    </row>
    <row r="19" spans="1:17" ht="26.25" customHeight="1">
      <c r="A19" s="393"/>
      <c r="B19" s="620"/>
      <c r="C19" s="621"/>
      <c r="D19" s="621"/>
      <c r="E19" s="621"/>
      <c r="F19" s="621"/>
      <c r="G19" s="621"/>
      <c r="H19" s="621"/>
      <c r="I19" s="621"/>
      <c r="J19" s="621"/>
      <c r="K19" s="622"/>
      <c r="L19" s="402"/>
      <c r="M19" s="402"/>
      <c r="N19" s="402"/>
      <c r="O19" s="402"/>
      <c r="P19" s="403"/>
      <c r="Q19" s="361"/>
    </row>
    <row r="21" spans="1:17" s="404" customFormat="1">
      <c r="B21" s="405" t="s">
        <v>306</v>
      </c>
      <c r="C21" s="618" t="str">
        <f>'Sch-3'!C54:D54</f>
        <v xml:space="preserve">  </v>
      </c>
      <c r="D21" s="617"/>
    </row>
    <row r="22" spans="1:17" s="404" customFormat="1">
      <c r="B22" s="405" t="s">
        <v>307</v>
      </c>
      <c r="C22" s="616" t="str">
        <f>'Sch-3'!C55:D55</f>
        <v/>
      </c>
      <c r="D22" s="617"/>
      <c r="L22" s="615" t="s">
        <v>308</v>
      </c>
      <c r="M22" s="615"/>
      <c r="N22" s="619" t="str">
        <f>'Sch-3'!O54</f>
        <v/>
      </c>
      <c r="O22" s="619"/>
      <c r="P22" s="619"/>
    </row>
    <row r="23" spans="1:17">
      <c r="L23" s="615" t="s">
        <v>124</v>
      </c>
      <c r="M23" s="615"/>
      <c r="N23" s="619" t="str">
        <f>'Sch-3'!O55</f>
        <v/>
      </c>
      <c r="O23" s="619"/>
      <c r="P23" s="619"/>
    </row>
  </sheetData>
  <sheetProtection formatColumns="0" formatRows="0" selectLockedCells="1"/>
  <customSheetViews>
    <customSheetView guid="{8BA4A88A-5522-45F5-A82B-CD7725CE50B1}" scale="85" showPageBreaks="1" printArea="1" view="pageBreakPreview">
      <selection activeCell="L24" sqref="L24"/>
      <pageMargins left="0.7" right="0.7" top="0.75" bottom="0.75" header="0.3" footer="0.3"/>
      <pageSetup paperSize="9" scale="58" orientation="landscape" r:id="rId1"/>
    </customSheetView>
    <customSheetView guid="{889C3D82-0A24-4765-A688-A80A782F5056}" scale="85" showPageBreaks="1" printArea="1" view="pageBreakPreview">
      <selection activeCell="L24" sqref="L24"/>
      <pageMargins left="0.7" right="0.7" top="0.75" bottom="0.75" header="0.3" footer="0.3"/>
      <pageSetup paperSize="9" scale="58" orientation="landscape" r:id="rId2"/>
    </customSheetView>
    <customSheetView guid="{89CB4E6A-722E-4E39-885D-E2A6D0D08321}" scale="85" showPageBreaks="1" printArea="1" view="pageBreakPreview">
      <selection activeCell="L24" sqref="L24"/>
      <pageMargins left="0.7" right="0.7" top="0.75" bottom="0.75" header="0.3" footer="0.3"/>
      <pageSetup paperSize="9" scale="58" orientation="landscape" r:id="rId3"/>
    </customSheetView>
    <customSheetView guid="{915C64AD-BD67-44F0-9117-5B9D998BA799}" scale="60" showPageBreaks="1" printArea="1" view="pageBreakPreview">
      <selection activeCell="A20" sqref="A20:XFD21"/>
      <pageMargins left="0.7" right="0.7" top="0.75" bottom="0.75" header="0.3" footer="0.3"/>
      <pageSetup paperSize="9" scale="58" orientation="landscape" r:id="rId4"/>
    </customSheetView>
    <customSheetView guid="{18EA11B4-BD82-47BF-99FA-7AB19BF74D0B}" showPageBreaks="1" printArea="1" view="pageBreakPreview" topLeftCell="A6">
      <selection activeCell="Q25" sqref="Q25"/>
      <pageMargins left="0.7" right="0.7" top="0.75" bottom="0.75" header="0.3" footer="0.3"/>
      <pageSetup paperSize="9" scale="58" orientation="landscape" r:id="rId5"/>
    </customSheetView>
    <customSheetView guid="{CCA37BAE-906F-43D5-9FD9-B13563E4B9D7}" showPageBreaks="1" printArea="1" view="pageBreakPreview" topLeftCell="A15">
      <selection activeCell="Q25" sqref="Q25"/>
      <pageMargins left="0.7" right="0.7" top="0.75" bottom="0.75" header="0.3" footer="0.3"/>
      <pageSetup paperSize="9" scale="58" orientation="landscape" r:id="rId6"/>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7"/>
    </customSheetView>
    <customSheetView guid="{63D51328-7CBC-4A1E-B96D-BAE91416501B}" scale="80" showPageBreaks="1" printArea="1" view="pageBreakPreview">
      <selection activeCell="G22" sqref="G22"/>
      <pageMargins left="0.7" right="0.7" top="0.75" bottom="0.75" header="0.3" footer="0.3"/>
      <pageSetup paperSize="9" scale="58" orientation="landscape" r:id="rId8"/>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9"/>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10"/>
    </customSheetView>
    <customSheetView guid="{B96E710B-6DD7-4DE1-95AB-C9EE060CD030}" scale="80" showPageBreaks="1" printArea="1" view="pageBreakPreview">
      <selection activeCell="G22" sqref="G22"/>
      <pageMargins left="0.7" right="0.7" top="0.75" bottom="0.75" header="0.3" footer="0.3"/>
      <pageSetup paperSize="9" scale="58" orientation="landscape" r:id="rId11"/>
    </customSheetView>
    <customSheetView guid="{A58DB4DF-40C7-4BEB-B85E-6BD6F54941CF}" scale="60" showPageBreaks="1" printArea="1" view="pageBreakPreview">
      <selection activeCell="A20" sqref="A20:XFD21"/>
      <pageMargins left="0.7" right="0.7" top="0.75" bottom="0.75" header="0.3" footer="0.3"/>
      <pageSetup paperSize="9" scale="58" orientation="landscape" r:id="rId12"/>
    </customSheetView>
  </customSheetViews>
  <mergeCells count="17">
    <mergeCell ref="A14:P14"/>
    <mergeCell ref="L22:M22"/>
    <mergeCell ref="C22:D22"/>
    <mergeCell ref="L23:M23"/>
    <mergeCell ref="C21:D21"/>
    <mergeCell ref="N23:P23"/>
    <mergeCell ref="N22:P22"/>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10" zoomScale="115" zoomScaleSheetLayoutView="115" workbookViewId="0">
      <selection activeCell="X9" sqref="X9"/>
    </sheetView>
  </sheetViews>
  <sheetFormatPr defaultColWidth="11.44140625" defaultRowHeight="15.6"/>
  <cols>
    <col min="1" max="1" width="11.88671875" style="13" customWidth="1"/>
    <col min="2" max="2" width="46.6640625" style="13" customWidth="1"/>
    <col min="3" max="3" width="20" style="13" customWidth="1"/>
    <col min="4" max="4" width="23.44140625" style="13" customWidth="1"/>
    <col min="5" max="5" width="22.88671875" style="13" customWidth="1"/>
    <col min="6" max="6" width="11.44140625" style="65" hidden="1" customWidth="1"/>
    <col min="7" max="7" width="34.109375" style="65" hidden="1" customWidth="1"/>
    <col min="8" max="8" width="11.44140625" style="65" hidden="1" customWidth="1"/>
    <col min="9" max="9" width="14" style="337" hidden="1" customWidth="1"/>
    <col min="10" max="10" width="14.44140625" style="337" hidden="1" customWidth="1"/>
    <col min="11" max="11" width="17.109375" style="337" hidden="1" customWidth="1"/>
    <col min="12" max="13" width="11.44140625" style="337" hidden="1" customWidth="1"/>
    <col min="14" max="14" width="21.33203125" style="337" hidden="1" customWidth="1"/>
    <col min="15" max="15" width="18.33203125" style="65" hidden="1" customWidth="1"/>
    <col min="16" max="17" width="11.44140625" style="65" hidden="1" customWidth="1"/>
    <col min="18" max="18" width="11.44140625" style="91" hidden="1" customWidth="1"/>
    <col min="19" max="20" width="11.44140625" style="65" hidden="1" customWidth="1"/>
    <col min="21" max="24" width="11.44140625" style="65" customWidth="1"/>
    <col min="25" max="16384" width="11.44140625" style="91"/>
  </cols>
  <sheetData>
    <row r="1" spans="1:15" ht="18" customHeight="1">
      <c r="A1" s="61" t="str">
        <f>Cover!B3</f>
        <v>CC/NT/W-COND/DOM/A04/24/05656</v>
      </c>
      <c r="B1" s="62"/>
      <c r="C1" s="63"/>
      <c r="D1" s="63"/>
      <c r="E1" s="64" t="s">
        <v>127</v>
      </c>
    </row>
    <row r="2" spans="1:15" ht="8.1" customHeight="1">
      <c r="A2" s="66"/>
      <c r="B2" s="67"/>
      <c r="C2" s="68"/>
      <c r="D2" s="68"/>
      <c r="E2" s="69"/>
      <c r="F2" s="70"/>
    </row>
    <row r="3" spans="1:15" ht="76.5" customHeight="1">
      <c r="A3" s="630" t="str">
        <f>Cover!$B$2</f>
        <v>Reconductoring Package - OH01 for (i) Reconductoring of 220kV Hisar (PG)-Hisar (IA) D/c line associated with ‘Reconductoring of 220kV Hisar (PG) – Hisar (IA) S/c line’; and (ii) Reconductoring of 400 kV S/c (TWIN ACSR MOOSE) Raichur – Veltoor (Mahabubnagar) line with TWIN HTLS conductor associated with ‘Reconductoring of Raichur – Veltoor (Mahabubnagar) 400kV S/c line with HTLS conductor’.</v>
      </c>
      <c r="B3" s="630"/>
      <c r="C3" s="630"/>
      <c r="D3" s="630"/>
      <c r="E3" s="630"/>
    </row>
    <row r="4" spans="1:15" ht="21.9" customHeight="1">
      <c r="A4" s="631" t="s">
        <v>470</v>
      </c>
      <c r="B4" s="631"/>
      <c r="C4" s="631"/>
      <c r="D4" s="631"/>
      <c r="E4" s="631"/>
    </row>
    <row r="5" spans="1:15" ht="12" customHeight="1">
      <c r="A5" s="71"/>
      <c r="B5" s="72"/>
      <c r="C5" s="72"/>
      <c r="D5" s="72"/>
      <c r="E5" s="72"/>
    </row>
    <row r="6" spans="1:15" ht="24" customHeight="1">
      <c r="A6" s="607" t="s">
        <v>338</v>
      </c>
      <c r="B6" s="607"/>
      <c r="C6" s="2"/>
      <c r="D6" s="304"/>
      <c r="E6" s="2"/>
      <c r="F6" s="2"/>
      <c r="G6" s="2"/>
      <c r="H6" s="2"/>
      <c r="I6" s="2"/>
    </row>
    <row r="7" spans="1:15" ht="18" customHeight="1">
      <c r="A7" s="610">
        <f>'Sch-1'!A7</f>
        <v>0</v>
      </c>
      <c r="B7" s="610"/>
      <c r="C7" s="610"/>
      <c r="D7" s="392" t="s">
        <v>1</v>
      </c>
      <c r="E7" s="450"/>
      <c r="F7" s="450"/>
      <c r="G7" s="450"/>
      <c r="H7" s="450"/>
      <c r="I7" s="450"/>
    </row>
    <row r="8" spans="1:15" ht="18" customHeight="1">
      <c r="A8" s="608" t="str">
        <f>"Bidder’s Name and Address  (" &amp; MID('Names of Bidder'!A9,9, 20) &amp; ") :"</f>
        <v>Bidder’s Name and Address  (Sole Bidder) :</v>
      </c>
      <c r="B8" s="608"/>
      <c r="C8" s="608"/>
      <c r="D8" s="6" t="s">
        <v>2</v>
      </c>
      <c r="E8" s="452"/>
      <c r="F8" s="452"/>
      <c r="G8" s="452"/>
      <c r="H8" s="356"/>
      <c r="I8" s="356"/>
    </row>
    <row r="9" spans="1:15" ht="18" customHeight="1">
      <c r="A9" s="368" t="s">
        <v>12</v>
      </c>
      <c r="B9" s="368" t="str">
        <f>IF('Names of Bidder'!C9=0, "", 'Names of Bidder'!C9)</f>
        <v/>
      </c>
      <c r="C9" s="91"/>
      <c r="D9" s="6" t="s">
        <v>3</v>
      </c>
      <c r="E9" s="451"/>
      <c r="F9" s="451"/>
      <c r="G9" s="451"/>
      <c r="H9" s="354"/>
      <c r="I9" s="354"/>
    </row>
    <row r="10" spans="1:15" ht="18" customHeight="1">
      <c r="A10" s="368" t="s">
        <v>11</v>
      </c>
      <c r="B10" s="220" t="str">
        <f>IF('Names of Bidder'!C10=0, "", 'Names of Bidder'!C10)</f>
        <v/>
      </c>
      <c r="C10" s="91"/>
      <c r="D10" s="6" t="s">
        <v>4</v>
      </c>
      <c r="E10" s="451"/>
      <c r="F10" s="451"/>
      <c r="G10" s="451"/>
      <c r="H10" s="354"/>
      <c r="I10" s="354"/>
    </row>
    <row r="11" spans="1:15" ht="18" customHeight="1">
      <c r="A11" s="354"/>
      <c r="B11" s="220" t="str">
        <f>IF('Names of Bidder'!C11=0, "", 'Names of Bidder'!C11)</f>
        <v/>
      </c>
      <c r="C11" s="91"/>
      <c r="D11" s="6" t="s">
        <v>5</v>
      </c>
      <c r="E11" s="451"/>
      <c r="F11" s="451"/>
      <c r="G11" s="451"/>
      <c r="H11" s="354"/>
      <c r="I11" s="354"/>
    </row>
    <row r="12" spans="1:15" ht="18" customHeight="1">
      <c r="A12" s="354"/>
      <c r="B12" s="220" t="str">
        <f>IF('Names of Bidder'!C12=0, "", 'Names of Bidder'!C12)</f>
        <v/>
      </c>
      <c r="C12" s="91"/>
      <c r="D12" s="6" t="s">
        <v>6</v>
      </c>
      <c r="E12" s="451"/>
      <c r="F12" s="451"/>
      <c r="G12" s="451"/>
      <c r="H12" s="354"/>
      <c r="I12" s="354"/>
    </row>
    <row r="13" spans="1:15" ht="8.1" customHeight="1" thickBot="1">
      <c r="B13" s="118"/>
    </row>
    <row r="14" spans="1:15" ht="21.9" customHeight="1">
      <c r="A14" s="489" t="s">
        <v>129</v>
      </c>
      <c r="B14" s="632" t="s">
        <v>130</v>
      </c>
      <c r="C14" s="632"/>
      <c r="D14" s="633" t="s">
        <v>131</v>
      </c>
      <c r="E14" s="634"/>
      <c r="I14" s="641" t="s">
        <v>132</v>
      </c>
      <c r="J14" s="641"/>
      <c r="K14" s="641"/>
      <c r="M14" s="638" t="s">
        <v>133</v>
      </c>
      <c r="N14" s="638"/>
      <c r="O14" s="638"/>
    </row>
    <row r="15" spans="1:15" ht="29.25" customHeight="1">
      <c r="A15" s="490" t="s">
        <v>134</v>
      </c>
      <c r="B15" s="635" t="s">
        <v>314</v>
      </c>
      <c r="C15" s="635"/>
      <c r="D15" s="636">
        <f>'Sch-1'!P97</f>
        <v>0</v>
      </c>
      <c r="E15" s="637"/>
      <c r="I15" s="338" t="s">
        <v>135</v>
      </c>
      <c r="K15" s="338" t="e">
        <f>ROUND('[6]Sch-1'!U3*#REF!,0)</f>
        <v>#REF!</v>
      </c>
      <c r="M15" s="338" t="s">
        <v>135</v>
      </c>
      <c r="O15" s="76" t="e">
        <f>ROUND('[6]Sch-1'!U5*#REF!,0)</f>
        <v>#REF!</v>
      </c>
    </row>
    <row r="16" spans="1:15" ht="87.75" customHeight="1">
      <c r="A16" s="491"/>
      <c r="B16" s="627" t="s">
        <v>315</v>
      </c>
      <c r="C16" s="627"/>
      <c r="D16" s="639"/>
      <c r="E16" s="640"/>
      <c r="G16" s="77"/>
    </row>
    <row r="17" spans="1:15" ht="25.5" customHeight="1">
      <c r="A17" s="490" t="s">
        <v>136</v>
      </c>
      <c r="B17" s="635" t="s">
        <v>316</v>
      </c>
      <c r="C17" s="635"/>
      <c r="D17" s="636">
        <f>'Sch-3'!R49</f>
        <v>0</v>
      </c>
      <c r="E17" s="637"/>
      <c r="I17" s="338" t="s">
        <v>137</v>
      </c>
      <c r="K17" s="339">
        <f>IF(ISERROR(ROUND((#REF!+#REF!)*#REF!,0)),0, ROUND((#REF!+#REF!)*#REF!,0))</f>
        <v>0</v>
      </c>
      <c r="M17" s="338" t="s">
        <v>137</v>
      </c>
      <c r="O17" s="79">
        <f>IF(ISERROR(ROUND((#REF!+#REF!)*#REF!,0)),0, ROUND((#REF!+#REF!)*#REF!,0))</f>
        <v>0</v>
      </c>
    </row>
    <row r="18" spans="1:15" ht="84" customHeight="1">
      <c r="A18" s="491"/>
      <c r="B18" s="627" t="s">
        <v>317</v>
      </c>
      <c r="C18" s="627"/>
      <c r="D18" s="628"/>
      <c r="E18" s="629"/>
      <c r="G18" s="80"/>
      <c r="I18" s="340" t="e">
        <f>#REF!/'Sch-1'!Y1</f>
        <v>#REF!</v>
      </c>
      <c r="K18" s="337">
        <f>'[6]Sch-1'!U3</f>
        <v>0</v>
      </c>
      <c r="M18" s="340" t="e">
        <f>I18</f>
        <v>#REF!</v>
      </c>
      <c r="O18" s="65">
        <f>'[6]Sch-1'!U5</f>
        <v>0</v>
      </c>
    </row>
    <row r="19" spans="1:15" ht="33" customHeight="1" thickBot="1">
      <c r="A19" s="492"/>
      <c r="B19" s="493" t="s">
        <v>320</v>
      </c>
      <c r="C19" s="494"/>
      <c r="D19" s="625">
        <f>D15+D17</f>
        <v>0</v>
      </c>
      <c r="E19" s="626"/>
    </row>
    <row r="20" spans="1:15" ht="30" customHeight="1">
      <c r="A20" s="81"/>
      <c r="B20" s="81"/>
      <c r="C20" s="82"/>
      <c r="D20" s="81"/>
      <c r="E20" s="81"/>
    </row>
    <row r="21" spans="1:15" ht="30" customHeight="1">
      <c r="A21" s="83" t="s">
        <v>142</v>
      </c>
      <c r="B21" s="497" t="str">
        <f>'Names of Bidder'!C22&amp;" "&amp;'Names of Bidder'!D22&amp;" "&amp;'Names of Bidder'!E22</f>
        <v xml:space="preserve">  </v>
      </c>
      <c r="C21" s="82" t="s">
        <v>143</v>
      </c>
      <c r="D21" s="623" t="str">
        <f>IF('Names of Bidder'!C19="","",'Names of Bidder'!C19)</f>
        <v/>
      </c>
      <c r="E21" s="624"/>
      <c r="F21" s="84"/>
    </row>
    <row r="22" spans="1:15" ht="30" customHeight="1">
      <c r="A22" s="83" t="s">
        <v>144</v>
      </c>
      <c r="B22" s="555" t="str">
        <f>IF('Names of Bidder'!C23="","",'Names of Bidder'!C23)</f>
        <v/>
      </c>
      <c r="C22" s="82" t="s">
        <v>145</v>
      </c>
      <c r="D22" s="623" t="str">
        <f>IF('Names of Bidder'!C20="","",'Names of Bidder'!C20)</f>
        <v/>
      </c>
      <c r="E22" s="624"/>
      <c r="F22" s="84"/>
    </row>
    <row r="23" spans="1:15" ht="30" customHeight="1">
      <c r="A23" s="85"/>
      <c r="B23" s="86"/>
      <c r="C23" s="82"/>
      <c r="D23" s="65"/>
      <c r="E23" s="65"/>
      <c r="F23" s="84"/>
    </row>
    <row r="24" spans="1:15" ht="33" customHeight="1">
      <c r="A24" s="85"/>
      <c r="B24" s="86"/>
      <c r="C24" s="70"/>
      <c r="D24" s="87"/>
      <c r="E24" s="88"/>
      <c r="F24" s="84"/>
    </row>
    <row r="25" spans="1:15" ht="21.9" customHeight="1">
      <c r="A25" s="89"/>
      <c r="B25" s="89"/>
      <c r="C25" s="89"/>
      <c r="D25" s="89"/>
      <c r="E25" s="90"/>
    </row>
    <row r="26" spans="1:15" ht="21.9" customHeight="1">
      <c r="A26" s="89"/>
      <c r="B26" s="89"/>
      <c r="C26" s="89"/>
      <c r="D26" s="89"/>
      <c r="E26" s="90"/>
    </row>
    <row r="27" spans="1:15" ht="21.9" customHeight="1">
      <c r="A27" s="89"/>
      <c r="B27" s="89"/>
      <c r="C27" s="89"/>
      <c r="D27" s="89"/>
      <c r="E27" s="90"/>
    </row>
    <row r="28" spans="1:15" ht="21.9" customHeight="1">
      <c r="A28" s="89"/>
      <c r="B28" s="89"/>
      <c r="C28" s="89"/>
      <c r="D28" s="89"/>
      <c r="E28" s="90"/>
    </row>
    <row r="29" spans="1:15" ht="21.9" customHeight="1">
      <c r="A29" s="89"/>
      <c r="B29" s="89"/>
      <c r="C29" s="89"/>
      <c r="D29" s="89"/>
      <c r="E29" s="90"/>
    </row>
    <row r="30" spans="1:15" ht="21.9" customHeight="1">
      <c r="A30" s="89"/>
      <c r="B30" s="89"/>
      <c r="C30" s="89"/>
      <c r="D30" s="89"/>
      <c r="E30" s="90"/>
    </row>
    <row r="31" spans="1:15" ht="24.9" customHeight="1">
      <c r="A31" s="88"/>
      <c r="B31" s="88"/>
      <c r="C31" s="88"/>
      <c r="D31" s="88"/>
      <c r="E31" s="88"/>
    </row>
    <row r="32" spans="1:15" ht="24.9" customHeight="1">
      <c r="A32" s="88"/>
      <c r="B32" s="88"/>
      <c r="C32" s="88"/>
      <c r="D32" s="88"/>
      <c r="E32" s="88"/>
    </row>
    <row r="33" spans="1:5" ht="24.9" customHeight="1">
      <c r="A33" s="88"/>
      <c r="B33" s="88"/>
      <c r="C33" s="88"/>
      <c r="D33" s="88"/>
      <c r="E33" s="88"/>
    </row>
    <row r="34" spans="1:5" ht="24.9" customHeight="1">
      <c r="A34" s="88"/>
      <c r="B34" s="88"/>
      <c r="C34" s="88"/>
      <c r="D34" s="88"/>
      <c r="E34" s="88"/>
    </row>
    <row r="35" spans="1:5" ht="24.9" customHeight="1">
      <c r="A35" s="88"/>
      <c r="B35" s="88"/>
      <c r="C35" s="88"/>
      <c r="D35" s="88"/>
      <c r="E35" s="88"/>
    </row>
    <row r="36" spans="1:5" ht="24.9" customHeight="1">
      <c r="A36" s="88"/>
      <c r="B36" s="88"/>
      <c r="C36" s="88"/>
      <c r="D36" s="88"/>
      <c r="E36" s="88"/>
    </row>
    <row r="37" spans="1:5" ht="24.9" customHeight="1">
      <c r="A37" s="88"/>
      <c r="B37" s="88"/>
      <c r="C37" s="88"/>
      <c r="D37" s="88"/>
      <c r="E37" s="88"/>
    </row>
    <row r="38" spans="1:5" ht="24.9" customHeight="1">
      <c r="A38" s="88"/>
      <c r="B38" s="88"/>
      <c r="C38" s="88"/>
      <c r="D38" s="88"/>
      <c r="E38" s="88"/>
    </row>
    <row r="39" spans="1:5" ht="24.9" customHeight="1">
      <c r="A39" s="88"/>
      <c r="B39" s="88"/>
      <c r="C39" s="88"/>
      <c r="D39" s="88"/>
      <c r="E39" s="88"/>
    </row>
    <row r="40" spans="1:5" ht="24.9" customHeight="1">
      <c r="A40" s="88"/>
      <c r="B40" s="88"/>
      <c r="C40" s="88"/>
      <c r="D40" s="88"/>
      <c r="E40" s="88"/>
    </row>
    <row r="41" spans="1:5" ht="24.9" customHeight="1">
      <c r="A41" s="88"/>
      <c r="B41" s="88"/>
      <c r="C41" s="88"/>
      <c r="D41" s="88"/>
      <c r="E41" s="88"/>
    </row>
    <row r="42" spans="1:5" ht="24.9" customHeight="1">
      <c r="A42" s="88"/>
      <c r="B42" s="88"/>
      <c r="C42" s="88"/>
      <c r="D42" s="88"/>
      <c r="E42" s="88"/>
    </row>
    <row r="43" spans="1:5" ht="24.9" customHeight="1">
      <c r="A43" s="88"/>
      <c r="B43" s="88"/>
      <c r="C43" s="88"/>
      <c r="D43" s="88"/>
      <c r="E43" s="88"/>
    </row>
    <row r="44" spans="1:5" ht="24.9" customHeight="1">
      <c r="A44" s="88"/>
      <c r="B44" s="88"/>
      <c r="C44" s="88"/>
      <c r="D44" s="88"/>
      <c r="E44" s="88"/>
    </row>
    <row r="45" spans="1:5" ht="24.9" customHeight="1">
      <c r="A45" s="88"/>
      <c r="B45" s="88"/>
      <c r="C45" s="88"/>
      <c r="D45" s="88"/>
      <c r="E45" s="88"/>
    </row>
    <row r="46" spans="1:5" ht="24.9" customHeight="1">
      <c r="A46" s="88"/>
      <c r="B46" s="88"/>
      <c r="C46" s="88"/>
      <c r="D46" s="88"/>
      <c r="E46" s="88"/>
    </row>
    <row r="47" spans="1:5" ht="24.9" customHeight="1">
      <c r="A47" s="88"/>
      <c r="B47" s="88"/>
      <c r="C47" s="88"/>
      <c r="D47" s="88"/>
      <c r="E47" s="88"/>
    </row>
    <row r="48" spans="1:5" ht="24.9" customHeight="1">
      <c r="A48" s="88"/>
      <c r="B48" s="88"/>
      <c r="C48" s="88"/>
      <c r="D48" s="88"/>
      <c r="E48" s="88"/>
    </row>
    <row r="49" spans="1:5" ht="24.9" customHeight="1">
      <c r="A49" s="88"/>
      <c r="B49" s="88"/>
      <c r="C49" s="88"/>
      <c r="D49" s="88"/>
      <c r="E49" s="88"/>
    </row>
    <row r="50" spans="1:5" ht="24.9" customHeight="1">
      <c r="A50" s="88"/>
      <c r="B50" s="88"/>
      <c r="C50" s="88"/>
      <c r="D50" s="88"/>
      <c r="E50" s="88"/>
    </row>
    <row r="51" spans="1:5" ht="24.9" customHeight="1">
      <c r="A51" s="88"/>
      <c r="B51" s="88"/>
      <c r="C51" s="88"/>
      <c r="D51" s="88"/>
      <c r="E51" s="88"/>
    </row>
    <row r="52" spans="1:5" ht="24.9" customHeight="1">
      <c r="A52" s="88"/>
      <c r="B52" s="88"/>
      <c r="C52" s="88"/>
      <c r="D52" s="88"/>
      <c r="E52" s="88"/>
    </row>
    <row r="53" spans="1:5" ht="24.9" customHeight="1">
      <c r="A53" s="88"/>
      <c r="B53" s="88"/>
      <c r="C53" s="88"/>
      <c r="D53" s="88"/>
      <c r="E53" s="88"/>
    </row>
    <row r="54" spans="1:5">
      <c r="A54" s="88"/>
      <c r="B54" s="88"/>
      <c r="C54" s="88"/>
      <c r="D54" s="88"/>
      <c r="E54" s="88"/>
    </row>
    <row r="55" spans="1:5">
      <c r="A55" s="88"/>
      <c r="B55" s="88"/>
      <c r="C55" s="88"/>
      <c r="D55" s="88"/>
      <c r="E55" s="88"/>
    </row>
    <row r="56" spans="1:5">
      <c r="A56" s="88"/>
      <c r="B56" s="88"/>
      <c r="C56" s="88"/>
      <c r="D56" s="88"/>
      <c r="E56" s="88"/>
    </row>
    <row r="57" spans="1:5">
      <c r="A57" s="88"/>
      <c r="B57" s="88"/>
      <c r="C57" s="88"/>
      <c r="D57" s="88"/>
      <c r="E57" s="88"/>
    </row>
    <row r="58" spans="1:5">
      <c r="A58" s="88"/>
      <c r="B58" s="88"/>
      <c r="C58" s="88"/>
      <c r="D58" s="88"/>
      <c r="E58" s="88"/>
    </row>
    <row r="59" spans="1:5">
      <c r="A59" s="88"/>
      <c r="B59" s="88"/>
      <c r="C59" s="88"/>
      <c r="D59" s="88"/>
      <c r="E59" s="88"/>
    </row>
    <row r="60" spans="1:5">
      <c r="A60" s="88"/>
      <c r="B60" s="88"/>
      <c r="C60" s="88"/>
      <c r="D60" s="88"/>
      <c r="E60" s="88"/>
    </row>
    <row r="61" spans="1:5">
      <c r="A61" s="88"/>
      <c r="B61" s="88"/>
      <c r="C61" s="88"/>
      <c r="D61" s="88"/>
      <c r="E61" s="88"/>
    </row>
    <row r="62" spans="1:5">
      <c r="A62" s="88"/>
      <c r="B62" s="88"/>
      <c r="C62" s="88"/>
      <c r="D62" s="88"/>
      <c r="E62" s="88"/>
    </row>
    <row r="63" spans="1:5">
      <c r="A63" s="88"/>
      <c r="B63" s="88"/>
      <c r="C63" s="88"/>
      <c r="D63" s="88"/>
      <c r="E63" s="88"/>
    </row>
    <row r="64" spans="1:5">
      <c r="A64" s="88"/>
      <c r="B64" s="88"/>
      <c r="C64" s="88"/>
      <c r="D64" s="88"/>
      <c r="E64" s="88"/>
    </row>
    <row r="65" spans="1:5">
      <c r="A65" s="88"/>
      <c r="B65" s="88"/>
      <c r="C65" s="88"/>
      <c r="D65" s="88"/>
      <c r="E65" s="88"/>
    </row>
    <row r="66" spans="1:5">
      <c r="A66" s="88"/>
      <c r="B66" s="88"/>
      <c r="C66" s="88"/>
      <c r="D66" s="88"/>
      <c r="E66" s="88"/>
    </row>
    <row r="67" spans="1:5">
      <c r="A67" s="88"/>
      <c r="B67" s="88"/>
      <c r="C67" s="88"/>
      <c r="D67" s="88"/>
      <c r="E67" s="88"/>
    </row>
    <row r="68" spans="1:5">
      <c r="A68" s="88"/>
      <c r="B68" s="88"/>
      <c r="C68" s="88"/>
      <c r="D68" s="88"/>
      <c r="E68" s="88"/>
    </row>
    <row r="69" spans="1:5">
      <c r="A69" s="88"/>
      <c r="B69" s="88"/>
      <c r="C69" s="88"/>
      <c r="D69" s="88"/>
      <c r="E69" s="88"/>
    </row>
    <row r="70" spans="1:5">
      <c r="A70" s="88"/>
      <c r="B70" s="88"/>
      <c r="C70" s="88"/>
      <c r="D70" s="88"/>
      <c r="E70" s="88"/>
    </row>
    <row r="71" spans="1:5">
      <c r="A71" s="88"/>
      <c r="B71" s="88"/>
      <c r="C71" s="88"/>
      <c r="D71" s="88"/>
      <c r="E71" s="88"/>
    </row>
  </sheetData>
  <sheetProtection algorithmName="SHA-512" hashValue="eDLmSK+TMZIk2sAMPGbvDPhll7Zq+VUDRUSoIUgKULkothK08PCUS3RiVsUGQAwOfpPT6DRozKIYIlyPPUieLA==" saltValue="8dxf+LAQgFVMNgPgVBQT6g==" spinCount="100000" sheet="1" objects="1" scenarios="1" formatColumns="0" formatRows="0" selectLockedCells="1"/>
  <dataConsolidate/>
  <customSheetViews>
    <customSheetView guid="{8BA4A88A-5522-45F5-A82B-CD7725CE50B1}"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889C3D82-0A24-4765-A688-A80A782F5056}"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9"/>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10"/>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Adil Iqbal Khan {आदिल इकबाल खान}</cp:lastModifiedBy>
  <cp:lastPrinted>2021-09-23T05:06:14Z</cp:lastPrinted>
  <dcterms:created xsi:type="dcterms:W3CDTF">2014-08-12T11:34:40Z</dcterms:created>
  <dcterms:modified xsi:type="dcterms:W3CDTF">2024-04-24T10:07:47Z</dcterms:modified>
</cp:coreProperties>
</file>