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updateLinks="never" codeName="ThisWorkbook" defaultThemeVersion="124226"/>
  <mc:AlternateContent xmlns:mc="http://schemas.openxmlformats.org/markup-compatibility/2006">
    <mc:Choice Requires="x15">
      <x15ac:absPath xmlns:x15ac="http://schemas.microsoft.com/office/spreadsheetml/2010/11/ac" url="G:\Full Report\57_RT21-22 Reactor Package\Retender\RT-21\02_Bidding Document\Bidding Documents_RT21\"/>
    </mc:Choice>
  </mc:AlternateContent>
  <xr:revisionPtr revIDLastSave="0" documentId="13_ncr:81_{D1209B43-C782-493C-8604-11C835ABE633}" xr6:coauthVersionLast="47" xr6:coauthVersionMax="47" xr10:uidLastSave="{00000000-0000-0000-0000-000000000000}"/>
  <workbookProtection workbookAlgorithmName="SHA-512" workbookHashValue="OvEC2S02ojfLgLRJX9niKILNxy2/JJALcqKmjGqoEvJW0t8VDxTKzL1oiBGgFCpB5MCKr+E6oTB8PZe+oLPREA==" workbookSaltValue="JmEu5M2LhLhUlPu7eps+jw==" workbookSpinCount="100000" revisionsAlgorithmName="SHA-512" revisionsHashValue="+LwIJhz4RHWUDTSSxNqg/QKiGSA+DzEPw19eXIaVZ9PgaS5zQQTvXeAqbH9veKu0w5/NU7SEn3CSldCHRf6yaw==" revisionsSaltValue="xen2rti5t9nItAzgjBpb2Q==" revisionsSpinCount="100000" lockStructure="1"/>
  <bookViews>
    <workbookView xWindow="-120" yWindow="-120" windowWidth="29040" windowHeight="15840" tabRatio="87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'Sch-1'!$16:$54</definedName>
    <definedName name="_xlnm._FilterDatabase" localSheetId="5" hidden="1">'Sch-2'!$A$16:$AF$52</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'Sch-1'!$A$1:$N$58</definedName>
    <definedName name="_xlnm.Print_Area" localSheetId="5">'Sch-2'!$A$1:$J$55</definedName>
    <definedName name="_xlnm.Print_Area" localSheetId="6">'Sch-3'!$A$1:$P$37</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'Sch-1'!$16:$54</definedName>
    <definedName name="Z_112647D2_7580_431B_99B5_DD512E2AD50E_.wvu.FilterData" localSheetId="5" hidden="1">'Sch-2'!$A$16:$AF$52</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'Sch-1'!$A$1:$N$58</definedName>
    <definedName name="Z_112647D2_7580_431B_99B5_DD512E2AD50E_.wvu.PrintArea" localSheetId="5" hidden="1">'Sch-2'!$A$1:$J$55</definedName>
    <definedName name="Z_112647D2_7580_431B_99B5_DD512E2AD50E_.wvu.PrintArea" localSheetId="6" hidden="1">'Sch-3'!$A$1:$P$37</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'Sch-1'!$C$1:$C$54</definedName>
    <definedName name="Z_357C9841_BEC3_434B_AC63_C04FB4321BA3_.wvu.FilterData" localSheetId="5" hidden="1">'Sch-2'!$C$1:$C$57</definedName>
    <definedName name="Z_357C9841_BEC3_434B_AC63_C04FB4321BA3_.wvu.FilterData" localSheetId="6" hidden="1">'Sch-3'!$C$1:$C$39</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'Sch-1'!$A$1:$N$58</definedName>
    <definedName name="Z_357C9841_BEC3_434B_AC63_C04FB4321BA3_.wvu.PrintArea" localSheetId="5" hidden="1">'Sch-2'!$A$1:$J$57</definedName>
    <definedName name="Z_357C9841_BEC3_434B_AC63_C04FB4321BA3_.wvu.PrintArea" localSheetId="6" hidden="1">'Sch-3'!$A$1:$P$39</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'Sch-1'!$C$1:$C$54</definedName>
    <definedName name="Z_3C00DDA0_7DDE_4169_A739_550DAF5DCF8D_.wvu.FilterData" localSheetId="5" hidden="1">'Sch-2'!$C$1:$C$57</definedName>
    <definedName name="Z_3C00DDA0_7DDE_4169_A739_550DAF5DCF8D_.wvu.FilterData" localSheetId="6" hidden="1">'Sch-3'!$C$1:$C$39</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'Sch-1'!$A$1:$N$58</definedName>
    <definedName name="Z_3C00DDA0_7DDE_4169_A739_550DAF5DCF8D_.wvu.PrintArea" localSheetId="5" hidden="1">'Sch-2'!$A$1:$J$57</definedName>
    <definedName name="Z_3C00DDA0_7DDE_4169_A739_550DAF5DCF8D_.wvu.PrintArea" localSheetId="6" hidden="1">'Sch-3'!$A$1:$P$39</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'Sch-1'!$16:$54</definedName>
    <definedName name="Z_63D51328_7CBC_4A1E_B96D_BAE91416501B_.wvu.FilterData" localSheetId="5" hidden="1">'Sch-2'!$A$16:$AF$52</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'Sch-1'!$A$1:$N$58</definedName>
    <definedName name="Z_63D51328_7CBC_4A1E_B96D_BAE91416501B_.wvu.PrintArea" localSheetId="5" hidden="1">'Sch-2'!$A$1:$J$55</definedName>
    <definedName name="Z_63D51328_7CBC_4A1E_B96D_BAE91416501B_.wvu.PrintArea" localSheetId="6" hidden="1">'Sch-3'!$A$1:$P$37</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'Sch-1'!$16:$54</definedName>
    <definedName name="Z_84F40905_A9D3_43A5_987A_8A757D486A94_.wvu.FilterData" localSheetId="5" hidden="1">'Sch-2'!$A$16:$AF$52</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'Sch-1'!$A$1:$N$58</definedName>
    <definedName name="Z_84F40905_A9D3_43A5_987A_8A757D486A94_.wvu.PrintArea" localSheetId="5" hidden="1">'Sch-2'!$A$1:$J$55</definedName>
    <definedName name="Z_84F40905_A9D3_43A5_987A_8A757D486A94_.wvu.PrintArea" localSheetId="6" hidden="1">'Sch-3'!$A$1:$P$37</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'Sch-1'!$16:$54</definedName>
    <definedName name="Z_99CA2F10_F926_46DC_8609_4EAE5B9F3585_.wvu.FilterData" localSheetId="5" hidden="1">'Sch-2'!$A$16:$AF$52</definedName>
    <definedName name="Z_99CA2F10_F926_46DC_8609_4EAE5B9F3585_.wvu.FilterData" localSheetId="6" hidden="1">'Sch-3'!$A$17:$AE$31</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'Sch-1'!$A$1:$N$58</definedName>
    <definedName name="Z_99CA2F10_F926_46DC_8609_4EAE5B9F3585_.wvu.PrintArea" localSheetId="5" hidden="1">'Sch-2'!$A$1:$J$55</definedName>
    <definedName name="Z_99CA2F10_F926_46DC_8609_4EAE5B9F3585_.wvu.PrintArea" localSheetId="6" hidden="1">'Sch-3'!$A$1:$P$37</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9E88A623_8EDB_47F0_815B_9C48385C3E73_.wvu.Cols" localSheetId="0" hidden="1">Basic!$I:$I</definedName>
    <definedName name="Z_9E88A623_8EDB_47F0_815B_9C48385C3E73_.wvu.Cols" localSheetId="18" hidden="1">'Bid Form 2nd Envelope'!$H:$AO</definedName>
    <definedName name="Z_9E88A623_8EDB_47F0_815B_9C48385C3E73_.wvu.Cols" localSheetId="14" hidden="1">Discount!$H:$L</definedName>
    <definedName name="Z_9E88A623_8EDB_47F0_815B_9C48385C3E73_.wvu.Cols" localSheetId="3" hidden="1">'Names of Bidder'!$H:$H,'Names of Bidder'!$K:$K</definedName>
    <definedName name="Z_9E88A623_8EDB_47F0_815B_9C48385C3E73_.wvu.Cols" localSheetId="21" hidden="1">'N-W (Cr.)'!$A:$O,'N-W (Cr.)'!$T:$DL</definedName>
    <definedName name="Z_9E88A623_8EDB_47F0_815B_9C48385C3E73_.wvu.Cols" localSheetId="4" hidden="1">'Sch-1'!$O:$W</definedName>
    <definedName name="Z_9E88A623_8EDB_47F0_815B_9C48385C3E73_.wvu.Cols" localSheetId="6" hidden="1">'Sch-3'!$Q:$W,'Sch-3'!$AA:$AA</definedName>
    <definedName name="Z_9E88A623_8EDB_47F0_815B_9C48385C3E73_.wvu.Cols" localSheetId="8" hidden="1">'Sch-5'!$F:$T</definedName>
    <definedName name="Z_9E88A623_8EDB_47F0_815B_9C48385C3E73_.wvu.Cols" localSheetId="12" hidden="1">'Sch-6 (After Discount)'!$E:$F</definedName>
    <definedName name="Z_9E88A623_8EDB_47F0_815B_9C48385C3E73_.wvu.Cols" localSheetId="13" hidden="1">'Sch-7'!$AA:$AG</definedName>
    <definedName name="Z_9E88A623_8EDB_47F0_815B_9C48385C3E73_.wvu.FilterData" localSheetId="4" hidden="1">'Sch-1'!$16:$54</definedName>
    <definedName name="Z_9E88A623_8EDB_47F0_815B_9C48385C3E73_.wvu.FilterData" localSheetId="5" hidden="1">'Sch-2'!$A$16:$AF$52</definedName>
    <definedName name="Z_9E88A623_8EDB_47F0_815B_9C48385C3E73_.wvu.PrintArea" localSheetId="18" hidden="1">'Bid Form 2nd Envelope'!$A$1:$F$64</definedName>
    <definedName name="Z_9E88A623_8EDB_47F0_815B_9C48385C3E73_.wvu.PrintArea" localSheetId="14" hidden="1">Discount!$A$2:$G$40</definedName>
    <definedName name="Z_9E88A623_8EDB_47F0_815B_9C48385C3E73_.wvu.PrintArea" localSheetId="16" hidden="1">'Entry Tax'!$A$1:$E$16</definedName>
    <definedName name="Z_9E88A623_8EDB_47F0_815B_9C48385C3E73_.wvu.PrintArea" localSheetId="2" hidden="1">Instructions!$A$1:$C$65</definedName>
    <definedName name="Z_9E88A623_8EDB_47F0_815B_9C48385C3E73_.wvu.PrintArea" localSheetId="3" hidden="1">'Names of Bidder'!$B$1:$G$28</definedName>
    <definedName name="Z_9E88A623_8EDB_47F0_815B_9C48385C3E73_.wvu.PrintArea" localSheetId="15" hidden="1">Octroi!$A$1:$E$16</definedName>
    <definedName name="Z_9E88A623_8EDB_47F0_815B_9C48385C3E73_.wvu.PrintArea" localSheetId="17" hidden="1">'Other Taxes &amp; Duties'!$A$1:$F$16</definedName>
    <definedName name="Z_9E88A623_8EDB_47F0_815B_9C48385C3E73_.wvu.PrintArea" localSheetId="4" hidden="1">'Sch-1'!$A$1:$N$58</definedName>
    <definedName name="Z_9E88A623_8EDB_47F0_815B_9C48385C3E73_.wvu.PrintArea" localSheetId="5" hidden="1">'Sch-2'!$A$1:$J$55</definedName>
    <definedName name="Z_9E88A623_8EDB_47F0_815B_9C48385C3E73_.wvu.PrintArea" localSheetId="6" hidden="1">'Sch-3'!$A$1:$P$37</definedName>
    <definedName name="Z_9E88A623_8EDB_47F0_815B_9C48385C3E73_.wvu.PrintArea" localSheetId="7" hidden="1">'Sch-4'!$A$1:$P$26</definedName>
    <definedName name="Z_9E88A623_8EDB_47F0_815B_9C48385C3E73_.wvu.PrintArea" localSheetId="8" hidden="1">'Sch-5'!$A$1:$E$23</definedName>
    <definedName name="Z_9E88A623_8EDB_47F0_815B_9C48385C3E73_.wvu.PrintArea" localSheetId="9" hidden="1">'Sch-5 after discount'!$A$1:$E$23</definedName>
    <definedName name="Z_9E88A623_8EDB_47F0_815B_9C48385C3E73_.wvu.PrintArea" localSheetId="10" hidden="1">'Sch-6'!$A$1:$D$32</definedName>
    <definedName name="Z_9E88A623_8EDB_47F0_815B_9C48385C3E73_.wvu.PrintArea" localSheetId="12" hidden="1">'Sch-6 (After Discount)'!$A$1:$D$32</definedName>
    <definedName name="Z_9E88A623_8EDB_47F0_815B_9C48385C3E73_.wvu.PrintArea" localSheetId="11" hidden="1">'Sch-6 After Discount'!$A$1:$D$31</definedName>
    <definedName name="Z_9E88A623_8EDB_47F0_815B_9C48385C3E73_.wvu.PrintArea" localSheetId="13" hidden="1">'Sch-7'!$A$1:$M$22</definedName>
    <definedName name="Z_9E88A623_8EDB_47F0_815B_9C48385C3E73_.wvu.PrintTitles" localSheetId="4" hidden="1">'Sch-1'!$15:$16</definedName>
    <definedName name="Z_9E88A623_8EDB_47F0_815B_9C48385C3E73_.wvu.PrintTitles" localSheetId="5" hidden="1">'Sch-2'!$15:$16</definedName>
    <definedName name="Z_9E88A623_8EDB_47F0_815B_9C48385C3E73_.wvu.PrintTitles" localSheetId="6" hidden="1">'Sch-3'!$16:$17</definedName>
    <definedName name="Z_9E88A623_8EDB_47F0_815B_9C48385C3E73_.wvu.PrintTitles" localSheetId="8" hidden="1">'Sch-5'!$3:$14</definedName>
    <definedName name="Z_9E88A623_8EDB_47F0_815B_9C48385C3E73_.wvu.PrintTitles" localSheetId="9" hidden="1">'Sch-5 after discount'!$3:$14</definedName>
    <definedName name="Z_9E88A623_8EDB_47F0_815B_9C48385C3E73_.wvu.PrintTitles" localSheetId="10" hidden="1">'Sch-6'!$3:$14</definedName>
    <definedName name="Z_9E88A623_8EDB_47F0_815B_9C48385C3E73_.wvu.PrintTitles" localSheetId="12" hidden="1">'Sch-6 (After Discount)'!$3:$14</definedName>
    <definedName name="Z_9E88A623_8EDB_47F0_815B_9C48385C3E73_.wvu.PrintTitles" localSheetId="11" hidden="1">'Sch-6 After Discount'!$3:$13</definedName>
    <definedName name="Z_9E88A623_8EDB_47F0_815B_9C48385C3E73_.wvu.Rows" localSheetId="1" hidden="1">Cover!$7:$7</definedName>
    <definedName name="Z_9E88A623_8EDB_47F0_815B_9C48385C3E73_.wvu.Rows" localSheetId="14" hidden="1">Discount!$29:$32</definedName>
    <definedName name="Z_9E88A623_8EDB_47F0_815B_9C48385C3E73_.wvu.Rows" localSheetId="3" hidden="1">'Names of Bidder'!$19:$22</definedName>
    <definedName name="Z_9E88A623_8EDB_47F0_815B_9C48385C3E73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'Sch-1'!$16:$54</definedName>
    <definedName name="Z_AD0333DF_5B33_49B5_B063_72505D20EFE4_.wvu.FilterData" localSheetId="5" hidden="1">'Sch-2'!$A$16:$AF$52</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'Sch-1'!$A$1:$N$58</definedName>
    <definedName name="Z_AD0333DF_5B33_49B5_B063_72505D20EFE4_.wvu.PrintArea" localSheetId="5" hidden="1">'Sch-2'!$A$1:$J$55</definedName>
    <definedName name="Z_AD0333DF_5B33_49B5_B063_72505D20EFE4_.wvu.PrintArea" localSheetId="6" hidden="1">'Sch-3'!$A$1:$P$37</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'Sch-1'!$C$1:$C$54</definedName>
    <definedName name="Z_B96E710B_6DD7_4DE1_95AB_C9EE060CD030_.wvu.FilterData" localSheetId="5" hidden="1">'Sch-2'!$C$1:$C$57</definedName>
    <definedName name="Z_B96E710B_6DD7_4DE1_95AB_C9EE060CD030_.wvu.FilterData" localSheetId="6" hidden="1">'Sch-3'!$C$1:$C$39</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'Sch-1'!$A$1:$N$58</definedName>
    <definedName name="Z_B96E710B_6DD7_4DE1_95AB_C9EE060CD030_.wvu.PrintArea" localSheetId="5" hidden="1">'Sch-2'!$A$1:$J$57</definedName>
    <definedName name="Z_B96E710B_6DD7_4DE1_95AB_C9EE060CD030_.wvu.PrintArea" localSheetId="6" hidden="1">'Sch-3'!$A$1:$P$39</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'Sch-1'!$16:$54</definedName>
    <definedName name="Z_BDFA0401_0547_4E51_8BD2_84F711B066CA_.wvu.FilterData" localSheetId="5" hidden="1">'Sch-2'!$A$16:$AF$52</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'Sch-1'!$A$1:$N$58</definedName>
    <definedName name="Z_BDFA0401_0547_4E51_8BD2_84F711B066CA_.wvu.PrintArea" localSheetId="5" hidden="1">'Sch-2'!$A$1:$J$55</definedName>
    <definedName name="Z_BDFA0401_0547_4E51_8BD2_84F711B066CA_.wvu.PrintArea" localSheetId="6" hidden="1">'Sch-3'!$A$1:$P$37</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'Sch-1'!$16:$54</definedName>
    <definedName name="Z_BE68641D_0C1E_4F8D_890A_A660C199187C_.wvu.FilterData" localSheetId="5" hidden="1">'Sch-2'!$A$16:$AF$52</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'Sch-1'!$A$1:$N$58</definedName>
    <definedName name="Z_BE68641D_0C1E_4F8D_890A_A660C199187C_.wvu.PrintArea" localSheetId="5" hidden="1">'Sch-2'!$A$1:$J$55</definedName>
    <definedName name="Z_BE68641D_0C1E_4F8D_890A_A660C199187C_.wvu.PrintArea" localSheetId="6" hidden="1">'Sch-3'!$A$1:$P$37</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'Sch-1'!$16:$54</definedName>
    <definedName name="Z_C44C314C_9BEB_403F_A933_6B948E5C1171_.wvu.FilterData" localSheetId="5" hidden="1">'Sch-2'!$A$16:$AF$52</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'Sch-1'!$A$1:$N$58</definedName>
    <definedName name="Z_C44C314C_9BEB_403F_A933_6B948E5C1171_.wvu.PrintArea" localSheetId="5" hidden="1">'Sch-2'!$A$1:$J$55</definedName>
    <definedName name="Z_C44C314C_9BEB_403F_A933_6B948E5C1171_.wvu.PrintArea" localSheetId="6" hidden="1">'Sch-3'!$A$1:$P$37</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'Sch-1'!$O:$W,'Sch-1'!$Z:$AG,'Sch-1'!$AJ:$AJ</definedName>
    <definedName name="Z_CCA37BAE_906F_43D5_9FD9_B13563E4B9D7_.wvu.Cols" localSheetId="6" hidden="1">'Sch-3'!$Q:$W,'Sch-3'!$AA:$AA</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'Sch-1'!$16:$54</definedName>
    <definedName name="Z_CCA37BAE_906F_43D5_9FD9_B13563E4B9D7_.wvu.FilterData" localSheetId="5" hidden="1">'Sch-2'!$A$16:$AF$52</definedName>
    <definedName name="Z_CCA37BAE_906F_43D5_9FD9_B13563E4B9D7_.wvu.PrintArea" localSheetId="18" hidden="1">'Bid Form 2nd Envelope'!$A$1:$F$64</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'Sch-1'!$A$1:$N$58</definedName>
    <definedName name="Z_CCA37BAE_906F_43D5_9FD9_B13563E4B9D7_.wvu.PrintArea" localSheetId="5" hidden="1">'Sch-2'!$A$1:$J$55</definedName>
    <definedName name="Z_CCA37BAE_906F_43D5_9FD9_B13563E4B9D7_.wvu.PrintArea" localSheetId="6" hidden="1">'Sch-3'!$A$1:$P$37</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'Sch-1'!$16:$54</definedName>
    <definedName name="Z_DEF6DCE2_4A74_4BE5_B5D5_8143DC3F770A_.wvu.FilterData" localSheetId="5" hidden="1">'Sch-2'!$A$16:$AF$52</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'Sch-1'!$A$1:$N$58</definedName>
    <definedName name="Z_DEF6DCE2_4A74_4BE5_B5D5_8143DC3F770A_.wvu.PrintArea" localSheetId="5" hidden="1">'Sch-2'!$A$1:$J$55</definedName>
    <definedName name="Z_DEF6DCE2_4A74_4BE5_B5D5_8143DC3F770A_.wvu.PrintArea" localSheetId="6" hidden="1">'Sch-3'!$A$1:$P$37</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'Sch-1'!$16:$54</definedName>
    <definedName name="Z_F658ED72_5E54_4C5B_BB2C_7A2962080984_.wvu.FilterData" localSheetId="5" hidden="1">'Sch-2'!$A$16:$AF$52</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'Sch-1'!$A$1:$N$58</definedName>
    <definedName name="Z_F658ED72_5E54_4C5B_BB2C_7A2962080984_.wvu.PrintArea" localSheetId="5" hidden="1">'Sch-2'!$A$1:$J$55</definedName>
    <definedName name="Z_F658ED72_5E54_4C5B_BB2C_7A2962080984_.wvu.PrintArea" localSheetId="6" hidden="1">'Sch-3'!$A$1:$P$37</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'Sch-1'!$16:$54</definedName>
    <definedName name="Z_F8A50AE1_259E_429D_A506_38EB64D134EF_.wvu.FilterData" localSheetId="5" hidden="1">'Sch-2'!$A$16:$AF$52</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'Sch-1'!$A$1:$N$58</definedName>
    <definedName name="Z_F8A50AE1_259E_429D_A506_38EB64D134EF_.wvu.PrintArea" localSheetId="5" hidden="1">'Sch-2'!$A$1:$J$55</definedName>
    <definedName name="Z_F8A50AE1_259E_429D_A506_38EB64D134EF_.wvu.PrintArea" localSheetId="6" hidden="1">'Sch-3'!$A$1:$P$37</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877" activeSheetId="2"/>
    <customWorkbookView name="Siddhant Kumar {सिद्धांत कुमार} - Personal View" guid="{84F40905-A9D3-43A5-987A-8A757D486A94}" mergeInterval="0" personalView="1" maximized="1" xWindow="-8" yWindow="-8" windowWidth="1936" windowHeight="1056" tabRatio="877" activeSheetId="19"/>
    <customWorkbookView name="Kapil Mandil {कपिल मंडिल} - Personal View" guid="{C44C314C-9BEB-403F-A933-6B948E5C1171}" mergeInterval="0" personalView="1" maximized="1" xWindow="-9" yWindow="-9" windowWidth="1938" windowHeight="1048" tabRatio="804" activeSheetId="19"/>
    <customWorkbookView name="Atul Singh - Personal View" guid="{AD0333DF-5B33-49B5-B063-72505D20EFE4}" mergeInterval="0" personalView="1" maximized="1" windowWidth="1362" windowHeight="542"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Manish Bilaiya - Personal View" guid="{F658ED72-5E54-4C5B-BB2C-7A2962080984}" mergeInterval="0" personalView="1" maximized="1" xWindow="-9" yWindow="-9" windowWidth="1938" windowHeight="1048" tabRatio="804" activeSheetId="19"/>
    <customWorkbookView name="Sheel Dave - Personal View" guid="{DEF6DCE2-4A74-4BE5-B5D5-8143DC3F770A}" mergeInterval="0" personalView="1" maximized="1" xWindow="-8" yWindow="-8" windowWidth="1936" windowHeight="1056" tabRatio="804" activeSheetId="5"/>
    <customWorkbookView name="Adil Iqbal Khan {Adil Iqbal Khan} - Personal View" guid="{F8A50AE1-259E-429D-A506-38EB64D134EF}" mergeInterval="0" personalView="1" maximized="1" xWindow="-9" yWindow="-9" windowWidth="1938" windowHeight="1048" tabRatio="804" activeSheetId="5"/>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Atul Kumar Singh {अतुल कुमार सिंह} - Personal View" guid="{112647D2-7580-431B-99B5-DD512E2AD50E}" mergeInterval="0" personalView="1" maximized="1" xWindow="-8" yWindow="-8" windowWidth="1936" windowHeight="1056" tabRatio="804" activeSheetId="19"/>
    <customWorkbookView name="Ankit Vaishnav {Ankit Vaishnav} - Personal View" guid="{BDFA0401-0547-4E51-8BD2-84F711B066CA}" mergeInterval="0" personalView="1" maximized="1" xWindow="-8" yWindow="-8" windowWidth="1456" windowHeight="876" tabRatio="877" activeSheetId="2"/>
    <customWorkbookView name="60001714 - Personal View" guid="{9E88A623-8EDB-47F0-815B-9C48385C3E73}" mergeInterval="0" personalView="1" maximized="1" xWindow="-8" yWindow="-8" windowWidth="1936" windowHeight="1056" tabRatio="877"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7" l="1"/>
  <c r="B23" i="7"/>
  <c r="B18" i="7"/>
  <c r="V25" i="7"/>
  <c r="P25" i="7"/>
  <c r="Q25" i="7" s="1"/>
  <c r="V26" i="7"/>
  <c r="P26" i="7"/>
  <c r="Q26" i="7" s="1"/>
  <c r="V20" i="7"/>
  <c r="P20" i="7"/>
  <c r="Q20" i="7" s="1"/>
  <c r="V21" i="7"/>
  <c r="P21" i="7"/>
  <c r="Q21" i="7" s="1"/>
  <c r="H50" i="6"/>
  <c r="G50" i="6"/>
  <c r="F50" i="6"/>
  <c r="E50" i="6"/>
  <c r="D50" i="6"/>
  <c r="C50" i="6"/>
  <c r="B50" i="6"/>
  <c r="A50" i="6"/>
  <c r="H49" i="6"/>
  <c r="G49" i="6"/>
  <c r="F49" i="6"/>
  <c r="E49" i="6"/>
  <c r="D49" i="6"/>
  <c r="C49" i="6"/>
  <c r="B49" i="6"/>
  <c r="A49" i="6"/>
  <c r="H48" i="6"/>
  <c r="G48" i="6"/>
  <c r="F48" i="6"/>
  <c r="E48" i="6"/>
  <c r="D48" i="6"/>
  <c r="C48" i="6"/>
  <c r="B48" i="6"/>
  <c r="A48" i="6"/>
  <c r="H47" i="6"/>
  <c r="G47" i="6"/>
  <c r="F47" i="6"/>
  <c r="E47" i="6"/>
  <c r="D47" i="6"/>
  <c r="C47" i="6"/>
  <c r="B47" i="6"/>
  <c r="A47" i="6"/>
  <c r="H46" i="6"/>
  <c r="G46" i="6"/>
  <c r="F46" i="6"/>
  <c r="E46" i="6"/>
  <c r="D46" i="6"/>
  <c r="C46" i="6"/>
  <c r="B46" i="6"/>
  <c r="A46" i="6"/>
  <c r="H45" i="6"/>
  <c r="G45" i="6"/>
  <c r="F45" i="6"/>
  <c r="E45" i="6"/>
  <c r="D45" i="6"/>
  <c r="C45" i="6"/>
  <c r="B45" i="6"/>
  <c r="A45" i="6"/>
  <c r="H44" i="6"/>
  <c r="G44" i="6"/>
  <c r="F44" i="6"/>
  <c r="E44" i="6"/>
  <c r="D44" i="6"/>
  <c r="C44" i="6"/>
  <c r="B44" i="6"/>
  <c r="A44" i="6"/>
  <c r="H43" i="6"/>
  <c r="G43" i="6"/>
  <c r="F43" i="6"/>
  <c r="E43" i="6"/>
  <c r="D43" i="6"/>
  <c r="C43" i="6"/>
  <c r="B43" i="6"/>
  <c r="A43" i="6"/>
  <c r="H42" i="6"/>
  <c r="G42" i="6"/>
  <c r="F42" i="6"/>
  <c r="E42" i="6"/>
  <c r="D42" i="6"/>
  <c r="C42" i="6"/>
  <c r="B42" i="6"/>
  <c r="A42" i="6"/>
  <c r="J43" i="6"/>
  <c r="J44" i="6"/>
  <c r="J45" i="6"/>
  <c r="J46" i="6"/>
  <c r="J47" i="6"/>
  <c r="J48" i="6"/>
  <c r="J49" i="6"/>
  <c r="H40" i="6"/>
  <c r="G40" i="6"/>
  <c r="F40" i="6"/>
  <c r="E40" i="6"/>
  <c r="D40" i="6"/>
  <c r="C40" i="6"/>
  <c r="B40" i="6"/>
  <c r="A40" i="6"/>
  <c r="H39" i="6"/>
  <c r="G39" i="6"/>
  <c r="F39" i="6"/>
  <c r="E39" i="6"/>
  <c r="D39" i="6"/>
  <c r="C39" i="6"/>
  <c r="B39" i="6"/>
  <c r="A39" i="6"/>
  <c r="H38" i="6"/>
  <c r="G38" i="6"/>
  <c r="F38" i="6"/>
  <c r="E38" i="6"/>
  <c r="D38" i="6"/>
  <c r="C38" i="6"/>
  <c r="B38" i="6"/>
  <c r="A38" i="6"/>
  <c r="H37" i="6"/>
  <c r="G37" i="6"/>
  <c r="F37" i="6"/>
  <c r="E37" i="6"/>
  <c r="D37" i="6"/>
  <c r="C37" i="6"/>
  <c r="B37" i="6"/>
  <c r="A37" i="6"/>
  <c r="H36" i="6"/>
  <c r="G36" i="6"/>
  <c r="F36" i="6"/>
  <c r="E36" i="6"/>
  <c r="D36" i="6"/>
  <c r="C36" i="6"/>
  <c r="B36" i="6"/>
  <c r="A36" i="6"/>
  <c r="H35" i="6"/>
  <c r="G35" i="6"/>
  <c r="F35" i="6"/>
  <c r="E35" i="6"/>
  <c r="D35" i="6"/>
  <c r="C35" i="6"/>
  <c r="B35" i="6"/>
  <c r="A35" i="6"/>
  <c r="H34" i="6"/>
  <c r="G34" i="6"/>
  <c r="F34" i="6"/>
  <c r="E34" i="6"/>
  <c r="D34" i="6"/>
  <c r="C34" i="6"/>
  <c r="B34" i="6"/>
  <c r="A34" i="6"/>
  <c r="H33" i="6"/>
  <c r="G33" i="6"/>
  <c r="F33" i="6"/>
  <c r="E33" i="6"/>
  <c r="D33" i="6"/>
  <c r="C33" i="6"/>
  <c r="B33" i="6"/>
  <c r="A33" i="6"/>
  <c r="H32" i="6"/>
  <c r="G32" i="6"/>
  <c r="F32" i="6"/>
  <c r="E32" i="6"/>
  <c r="D32" i="6"/>
  <c r="C32" i="6"/>
  <c r="B32" i="6"/>
  <c r="A32" i="6"/>
  <c r="H31" i="6"/>
  <c r="G31" i="6"/>
  <c r="F31" i="6"/>
  <c r="E31" i="6"/>
  <c r="D31" i="6"/>
  <c r="C31" i="6"/>
  <c r="B31" i="6"/>
  <c r="A31" i="6"/>
  <c r="H30" i="6"/>
  <c r="G30" i="6"/>
  <c r="F30" i="6"/>
  <c r="E30" i="6"/>
  <c r="D30" i="6"/>
  <c r="C30" i="6"/>
  <c r="B30" i="6"/>
  <c r="A30" i="6"/>
  <c r="J31" i="6"/>
  <c r="J32" i="6"/>
  <c r="J33" i="6"/>
  <c r="J34" i="6"/>
  <c r="J35" i="6"/>
  <c r="J36" i="6"/>
  <c r="J37" i="6"/>
  <c r="J38" i="6"/>
  <c r="J39" i="6"/>
  <c r="H28" i="6"/>
  <c r="G28" i="6"/>
  <c r="F28" i="6"/>
  <c r="E28" i="6"/>
  <c r="D28" i="6"/>
  <c r="C28" i="6"/>
  <c r="B28" i="6"/>
  <c r="A28" i="6"/>
  <c r="H27" i="6"/>
  <c r="G27" i="6"/>
  <c r="F27" i="6"/>
  <c r="E27" i="6"/>
  <c r="D27" i="6"/>
  <c r="C27" i="6"/>
  <c r="B27" i="6"/>
  <c r="A27" i="6"/>
  <c r="H26" i="6"/>
  <c r="G26" i="6"/>
  <c r="F26" i="6"/>
  <c r="E26" i="6"/>
  <c r="D26" i="6"/>
  <c r="C26" i="6"/>
  <c r="B26" i="6"/>
  <c r="A26" i="6"/>
  <c r="H25" i="6"/>
  <c r="G25" i="6"/>
  <c r="F25" i="6"/>
  <c r="E25" i="6"/>
  <c r="D25" i="6"/>
  <c r="C25" i="6"/>
  <c r="B25" i="6"/>
  <c r="A25" i="6"/>
  <c r="H24" i="6"/>
  <c r="G24" i="6"/>
  <c r="F24" i="6"/>
  <c r="E24" i="6"/>
  <c r="D24" i="6"/>
  <c r="C24" i="6"/>
  <c r="B24" i="6"/>
  <c r="A24" i="6"/>
  <c r="H23" i="6"/>
  <c r="G23" i="6"/>
  <c r="F23" i="6"/>
  <c r="E23" i="6"/>
  <c r="D23" i="6"/>
  <c r="C23" i="6"/>
  <c r="B23" i="6"/>
  <c r="A23" i="6"/>
  <c r="H22" i="6"/>
  <c r="G22" i="6"/>
  <c r="F22" i="6"/>
  <c r="E22" i="6"/>
  <c r="D22" i="6"/>
  <c r="C22" i="6"/>
  <c r="B22" i="6"/>
  <c r="A22" i="6"/>
  <c r="H21" i="6"/>
  <c r="G21" i="6"/>
  <c r="F21" i="6"/>
  <c r="E21" i="6"/>
  <c r="D21" i="6"/>
  <c r="C21" i="6"/>
  <c r="B21" i="6"/>
  <c r="A21" i="6"/>
  <c r="H20" i="6"/>
  <c r="G20" i="6"/>
  <c r="F20" i="6"/>
  <c r="E20" i="6"/>
  <c r="D20" i="6"/>
  <c r="C20" i="6"/>
  <c r="B20" i="6"/>
  <c r="A20" i="6"/>
  <c r="H19" i="6"/>
  <c r="G19" i="6"/>
  <c r="F19" i="6"/>
  <c r="E19" i="6"/>
  <c r="D19" i="6"/>
  <c r="C19" i="6"/>
  <c r="B19" i="6"/>
  <c r="A19" i="6"/>
  <c r="J26" i="6"/>
  <c r="J25" i="6"/>
  <c r="H18" i="6"/>
  <c r="G18" i="6"/>
  <c r="F18" i="6"/>
  <c r="E18" i="6"/>
  <c r="D18" i="6"/>
  <c r="C18" i="6"/>
  <c r="B18" i="6"/>
  <c r="A18" i="6"/>
  <c r="J19" i="6"/>
  <c r="J20" i="6"/>
  <c r="J21" i="6"/>
  <c r="J22" i="6"/>
  <c r="J23" i="6"/>
  <c r="J24" i="6"/>
  <c r="J27" i="6"/>
  <c r="B17" i="6"/>
  <c r="R26" i="7" l="1"/>
  <c r="R25" i="7"/>
  <c r="R21" i="7"/>
  <c r="R20" i="7"/>
  <c r="U47" i="5"/>
  <c r="V47" i="5" s="1"/>
  <c r="T47" i="5"/>
  <c r="N47" i="5"/>
  <c r="P47" i="5" s="1"/>
  <c r="U46" i="5"/>
  <c r="V46" i="5" s="1"/>
  <c r="T46" i="5"/>
  <c r="N46" i="5"/>
  <c r="P46" i="5" s="1"/>
  <c r="U45" i="5"/>
  <c r="V45" i="5" s="1"/>
  <c r="T45" i="5"/>
  <c r="N45" i="5"/>
  <c r="O45" i="5" s="1"/>
  <c r="U44" i="5"/>
  <c r="V44" i="5" s="1"/>
  <c r="T44" i="5"/>
  <c r="N44" i="5"/>
  <c r="O44" i="5" s="1"/>
  <c r="U43" i="5"/>
  <c r="V43" i="5" s="1"/>
  <c r="T43" i="5"/>
  <c r="N43" i="5"/>
  <c r="P43" i="5" s="1"/>
  <c r="U33" i="5"/>
  <c r="V33" i="5" s="1"/>
  <c r="T33" i="5"/>
  <c r="N33" i="5"/>
  <c r="P33" i="5" s="1"/>
  <c r="U32" i="5"/>
  <c r="V32" i="5" s="1"/>
  <c r="T32" i="5"/>
  <c r="N32" i="5"/>
  <c r="O32" i="5" s="1"/>
  <c r="U31" i="5"/>
  <c r="V31" i="5" s="1"/>
  <c r="T31" i="5"/>
  <c r="N31" i="5"/>
  <c r="P31" i="5" s="1"/>
  <c r="U35" i="5"/>
  <c r="V35" i="5" s="1"/>
  <c r="T35" i="5"/>
  <c r="N35" i="5"/>
  <c r="P35" i="5" s="1"/>
  <c r="U34" i="5"/>
  <c r="V34" i="5" s="1"/>
  <c r="T34" i="5"/>
  <c r="N34" i="5"/>
  <c r="P34" i="5" s="1"/>
  <c r="U37" i="5"/>
  <c r="V37" i="5" s="1"/>
  <c r="T37" i="5"/>
  <c r="N37" i="5"/>
  <c r="P37" i="5" s="1"/>
  <c r="U36" i="5"/>
  <c r="V36" i="5" s="1"/>
  <c r="T36" i="5"/>
  <c r="N36" i="5"/>
  <c r="P36" i="5" s="1"/>
  <c r="U38" i="5"/>
  <c r="V38" i="5" s="1"/>
  <c r="T38" i="5"/>
  <c r="N38" i="5"/>
  <c r="P38" i="5" s="1"/>
  <c r="U30" i="5"/>
  <c r="V30" i="5" s="1"/>
  <c r="T30" i="5"/>
  <c r="N30" i="5"/>
  <c r="P30" i="5" s="1"/>
  <c r="P45" i="5" l="1"/>
  <c r="P44" i="5"/>
  <c r="O46" i="5"/>
  <c r="O43" i="5"/>
  <c r="O47" i="5"/>
  <c r="O31" i="5"/>
  <c r="O33" i="5"/>
  <c r="P32" i="5"/>
  <c r="O34" i="5"/>
  <c r="O35" i="5"/>
  <c r="O36" i="5"/>
  <c r="O37" i="5"/>
  <c r="O30" i="5"/>
  <c r="O38" i="5"/>
  <c r="U22" i="5"/>
  <c r="V22" i="5" s="1"/>
  <c r="T22" i="5"/>
  <c r="N22" i="5"/>
  <c r="P22" i="5" s="1"/>
  <c r="U21" i="5"/>
  <c r="V21" i="5" s="1"/>
  <c r="T21" i="5"/>
  <c r="N21" i="5"/>
  <c r="P21" i="5" s="1"/>
  <c r="U20" i="5"/>
  <c r="V20" i="5" s="1"/>
  <c r="T20" i="5"/>
  <c r="N20" i="5"/>
  <c r="O20" i="5" s="1"/>
  <c r="U24" i="5"/>
  <c r="V24" i="5" s="1"/>
  <c r="T24" i="5"/>
  <c r="N24" i="5"/>
  <c r="P24" i="5" s="1"/>
  <c r="U23" i="5"/>
  <c r="V23" i="5" s="1"/>
  <c r="T23" i="5"/>
  <c r="N23" i="5"/>
  <c r="P23" i="5" s="1"/>
  <c r="U25" i="5"/>
  <c r="V25" i="5" s="1"/>
  <c r="T25" i="5"/>
  <c r="N25" i="5"/>
  <c r="P25" i="5" s="1"/>
  <c r="U19" i="5"/>
  <c r="V19" i="5" s="1"/>
  <c r="T19" i="5"/>
  <c r="N19" i="5"/>
  <c r="P19" i="5" s="1"/>
  <c r="U26" i="5"/>
  <c r="V26" i="5" s="1"/>
  <c r="T26" i="5"/>
  <c r="N26" i="5"/>
  <c r="P26" i="5" s="1"/>
  <c r="U18" i="5"/>
  <c r="V18" i="5" s="1"/>
  <c r="T18" i="5"/>
  <c r="N18" i="5"/>
  <c r="P18" i="5" s="1"/>
  <c r="P20" i="5" l="1"/>
  <c r="O21" i="5"/>
  <c r="O22" i="5"/>
  <c r="O23" i="5"/>
  <c r="O24" i="5"/>
  <c r="O19" i="5"/>
  <c r="O25" i="5"/>
  <c r="O18" i="5"/>
  <c r="O26" i="5"/>
  <c r="B41" i="6" l="1"/>
  <c r="B29" i="6"/>
  <c r="V30" i="7" l="1"/>
  <c r="P30" i="7"/>
  <c r="Q30" i="7" s="1"/>
  <c r="V29" i="7"/>
  <c r="P29" i="7"/>
  <c r="R29" i="7" s="1"/>
  <c r="V27" i="7"/>
  <c r="P27" i="7"/>
  <c r="Q27" i="7" s="1"/>
  <c r="V24" i="7"/>
  <c r="P24" i="7"/>
  <c r="R24" i="7" s="1"/>
  <c r="V22" i="7"/>
  <c r="P22" i="7"/>
  <c r="R22" i="7" s="1"/>
  <c r="R30" i="7" l="1"/>
  <c r="R27" i="7"/>
  <c r="Q29" i="7"/>
  <c r="Q24" i="7"/>
  <c r="Q22" i="7"/>
  <c r="U50" i="5" l="1"/>
  <c r="T50" i="5"/>
  <c r="N50" i="5"/>
  <c r="U49" i="5"/>
  <c r="V49" i="5" s="1"/>
  <c r="T49" i="5"/>
  <c r="N49" i="5"/>
  <c r="O49" i="5" s="1"/>
  <c r="V50" i="5" l="1"/>
  <c r="P50" i="5"/>
  <c r="O50" i="5"/>
  <c r="P49" i="5"/>
  <c r="J28" i="6"/>
  <c r="J30" i="6"/>
  <c r="J40" i="6"/>
  <c r="J42" i="6"/>
  <c r="J50" i="6"/>
  <c r="N28" i="5"/>
  <c r="P28" i="5" s="1"/>
  <c r="T28" i="5"/>
  <c r="U28" i="5"/>
  <c r="V28" i="5" s="1"/>
  <c r="N39" i="5"/>
  <c r="O39" i="5" s="1"/>
  <c r="T39" i="5"/>
  <c r="U39" i="5"/>
  <c r="V39" i="5" s="1"/>
  <c r="N40" i="5"/>
  <c r="P40" i="5" s="1"/>
  <c r="T40" i="5"/>
  <c r="U40" i="5"/>
  <c r="V40" i="5" s="1"/>
  <c r="N42" i="5"/>
  <c r="P42" i="5" s="1"/>
  <c r="T42" i="5"/>
  <c r="U42" i="5"/>
  <c r="V42" i="5" s="1"/>
  <c r="N48" i="5"/>
  <c r="O48" i="5" s="1"/>
  <c r="T48" i="5"/>
  <c r="U48" i="5"/>
  <c r="V48" i="5" s="1"/>
  <c r="O42" i="5" l="1"/>
  <c r="O40" i="5"/>
  <c r="P48" i="5"/>
  <c r="O28" i="5"/>
  <c r="P39" i="5"/>
  <c r="Z8" i="5" l="1"/>
  <c r="Z9" i="5"/>
  <c r="T27" i="5"/>
  <c r="T51" i="5" s="1"/>
  <c r="U27" i="5"/>
  <c r="V27" i="5" l="1"/>
  <c r="V51" i="5" s="1"/>
  <c r="U51" i="5"/>
  <c r="Z10"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51" i="6" s="1"/>
  <c r="A1" i="5"/>
  <c r="C9" i="5"/>
  <c r="B8" i="12" s="1"/>
  <c r="C10" i="5"/>
  <c r="C10" i="14" s="1"/>
  <c r="C11" i="5"/>
  <c r="B10" i="12" s="1"/>
  <c r="C12" i="5"/>
  <c r="C12" i="14" s="1"/>
  <c r="IV16" i="5"/>
  <c r="N27" i="5"/>
  <c r="N51" i="5" s="1"/>
  <c r="N52" i="5"/>
  <c r="C56" i="5"/>
  <c r="C54" i="6" s="1"/>
  <c r="K56" i="5"/>
  <c r="O36" i="7" s="1"/>
  <c r="N24" i="8" s="1"/>
  <c r="C57" i="5"/>
  <c r="C37" i="7" s="1"/>
  <c r="C24" i="8" s="1"/>
  <c r="K57" i="5"/>
  <c r="O37" i="7" s="1"/>
  <c r="N25" i="8" s="1"/>
  <c r="K6" i="4"/>
  <c r="Z7" i="5" s="1"/>
  <c r="AA6" i="4"/>
  <c r="B7" i="4"/>
  <c r="B9" i="4"/>
  <c r="A8" i="6" s="1"/>
  <c r="B10" i="4"/>
  <c r="B14" i="4"/>
  <c r="B15" i="4"/>
  <c r="H27" i="4"/>
  <c r="G27" i="4" s="1"/>
  <c r="B2" i="2"/>
  <c r="A3" i="13" s="1"/>
  <c r="F2" i="2"/>
  <c r="B3" i="2"/>
  <c r="A1" i="7" s="1"/>
  <c r="P27" i="5" l="1"/>
  <c r="P51" i="5" s="1"/>
  <c r="O27" i="5"/>
  <c r="H5" i="20"/>
  <c r="H7" i="20" s="1"/>
  <c r="C11" i="14"/>
  <c r="A7" i="5"/>
  <c r="B51" i="19"/>
  <c r="B53" i="19"/>
  <c r="B50" i="19"/>
  <c r="E52" i="19"/>
  <c r="F49" i="19"/>
  <c r="I55"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54" i="6"/>
  <c r="A8" i="9"/>
  <c r="A1" i="9"/>
  <c r="A1" i="12"/>
  <c r="AG7" i="19"/>
  <c r="AG8" i="19" s="1"/>
  <c r="C36" i="7"/>
  <c r="C23" i="8" s="1"/>
  <c r="A1" i="19"/>
  <c r="C55" i="6"/>
  <c r="A1" i="8"/>
  <c r="A8" i="5"/>
  <c r="AG9" i="19"/>
  <c r="V31" i="7"/>
  <c r="J7" i="15"/>
  <c r="I25" i="15" s="1"/>
  <c r="P31" i="7"/>
  <c r="U52" i="5"/>
  <c r="A7" i="13" l="1"/>
  <c r="F43" i="19"/>
  <c r="A7" i="6"/>
  <c r="J8" i="15"/>
  <c r="J26" i="15" s="1"/>
  <c r="AA31" i="7"/>
  <c r="V52" i="5"/>
  <c r="A7" i="10"/>
  <c r="A7" i="8"/>
  <c r="B7" i="14"/>
  <c r="A7" i="7"/>
  <c r="A7" i="9"/>
  <c r="A7" i="11"/>
  <c r="B40" i="19"/>
  <c r="B8" i="14"/>
  <c r="A7" i="12"/>
  <c r="I16" i="15"/>
  <c r="D17" i="11"/>
  <c r="E17" i="13" s="1"/>
  <c r="R31" i="7"/>
  <c r="D17" i="9" s="1"/>
  <c r="D19" i="11"/>
  <c r="E19" i="13" s="1"/>
  <c r="P41" i="7"/>
  <c r="N53" i="5"/>
  <c r="J6" i="15"/>
  <c r="D15" i="11"/>
  <c r="E15" i="13" s="1"/>
  <c r="D15" i="9" l="1"/>
  <c r="D19" i="9" s="1"/>
  <c r="D23" i="11" s="1"/>
  <c r="D28" i="11" s="1"/>
  <c r="J16" i="15"/>
  <c r="H16" i="15"/>
  <c r="J9" i="15"/>
  <c r="J15" i="15" s="1"/>
  <c r="H24" i="15"/>
  <c r="J31" i="15" l="1"/>
  <c r="J32" i="15" s="1"/>
  <c r="J35" i="15"/>
  <c r="J36" i="15" s="1"/>
  <c r="H15" i="15"/>
  <c r="H31" i="15" s="1"/>
  <c r="H32" i="15" s="1"/>
  <c r="I15" i="15"/>
  <c r="S26" i="7" l="1"/>
  <c r="T26" i="7" s="1"/>
  <c r="U26" i="7" s="1"/>
  <c r="S25" i="7"/>
  <c r="T25" i="7" s="1"/>
  <c r="U25" i="7" s="1"/>
  <c r="S21" i="7"/>
  <c r="T21" i="7" s="1"/>
  <c r="U21" i="7" s="1"/>
  <c r="S20" i="7"/>
  <c r="T20" i="7" s="1"/>
  <c r="U20" i="7" s="1"/>
  <c r="S29" i="7"/>
  <c r="T29" i="7" s="1"/>
  <c r="U29" i="7" s="1"/>
  <c r="S30" i="7"/>
  <c r="T30" i="7" s="1"/>
  <c r="U30" i="7" s="1"/>
  <c r="S24" i="7"/>
  <c r="T24" i="7" s="1"/>
  <c r="U24" i="7" s="1"/>
  <c r="S27" i="7"/>
  <c r="T27" i="7" s="1"/>
  <c r="U27" i="7" s="1"/>
  <c r="S22" i="7"/>
  <c r="T22" i="7" s="1"/>
  <c r="U22" i="7" s="1"/>
  <c r="F19" i="13"/>
  <c r="D19" i="13" s="1"/>
  <c r="S19" i="7"/>
  <c r="T19" i="7" s="1"/>
  <c r="U19" i="7" s="1"/>
  <c r="I35" i="15"/>
  <c r="I36" i="15" s="1"/>
  <c r="F17" i="13" s="1"/>
  <c r="D17" i="13" s="1"/>
  <c r="I31" i="15"/>
  <c r="I32" i="15" s="1"/>
  <c r="H35" i="15"/>
  <c r="H36" i="15" s="1"/>
  <c r="Q44" i="5" l="1"/>
  <c r="R44" i="5" s="1"/>
  <c r="S44" i="5" s="1"/>
  <c r="Q47" i="5"/>
  <c r="R47" i="5" s="1"/>
  <c r="S47" i="5" s="1"/>
  <c r="Q46" i="5"/>
  <c r="R46" i="5" s="1"/>
  <c r="S46" i="5" s="1"/>
  <c r="Q45" i="5"/>
  <c r="R45" i="5" s="1"/>
  <c r="S45" i="5" s="1"/>
  <c r="Q43" i="5"/>
  <c r="R43" i="5" s="1"/>
  <c r="S43" i="5" s="1"/>
  <c r="Q33" i="5"/>
  <c r="R33" i="5" s="1"/>
  <c r="S33" i="5" s="1"/>
  <c r="Q32" i="5"/>
  <c r="R32" i="5" s="1"/>
  <c r="S32" i="5" s="1"/>
  <c r="Q31" i="5"/>
  <c r="R31" i="5" s="1"/>
  <c r="S31" i="5" s="1"/>
  <c r="Q35" i="5"/>
  <c r="R35" i="5" s="1"/>
  <c r="S35" i="5" s="1"/>
  <c r="Q34" i="5"/>
  <c r="R34" i="5" s="1"/>
  <c r="S34" i="5" s="1"/>
  <c r="Q37" i="5"/>
  <c r="R37" i="5" s="1"/>
  <c r="S37" i="5" s="1"/>
  <c r="Q36" i="5"/>
  <c r="R36" i="5" s="1"/>
  <c r="S36" i="5" s="1"/>
  <c r="Q30" i="5"/>
  <c r="R30" i="5" s="1"/>
  <c r="S30" i="5" s="1"/>
  <c r="Q38" i="5"/>
  <c r="R38" i="5" s="1"/>
  <c r="S38" i="5" s="1"/>
  <c r="Q21" i="5"/>
  <c r="R21" i="5" s="1"/>
  <c r="S21" i="5" s="1"/>
  <c r="Q20" i="5"/>
  <c r="R20" i="5" s="1"/>
  <c r="S20" i="5" s="1"/>
  <c r="Q22" i="5"/>
  <c r="R22" i="5" s="1"/>
  <c r="S22" i="5" s="1"/>
  <c r="Q23" i="5"/>
  <c r="R23" i="5" s="1"/>
  <c r="S23" i="5" s="1"/>
  <c r="Q24" i="5"/>
  <c r="R24" i="5" s="1"/>
  <c r="S24" i="5" s="1"/>
  <c r="Q19" i="5"/>
  <c r="R19" i="5" s="1"/>
  <c r="S19" i="5" s="1"/>
  <c r="Q25" i="5"/>
  <c r="R25" i="5" s="1"/>
  <c r="S25" i="5" s="1"/>
  <c r="Q18" i="5"/>
  <c r="R18" i="5" s="1"/>
  <c r="Q26" i="5"/>
  <c r="R26" i="5" s="1"/>
  <c r="S26" i="5" s="1"/>
  <c r="Q50" i="5"/>
  <c r="R50" i="5" s="1"/>
  <c r="S50" i="5" s="1"/>
  <c r="Q49" i="5"/>
  <c r="R49" i="5" s="1"/>
  <c r="S49" i="5" s="1"/>
  <c r="Q48" i="5"/>
  <c r="R48" i="5" s="1"/>
  <c r="S48" i="5" s="1"/>
  <c r="Q42" i="5"/>
  <c r="R42" i="5" s="1"/>
  <c r="S42" i="5" s="1"/>
  <c r="Q39" i="5"/>
  <c r="R39" i="5" s="1"/>
  <c r="S39" i="5" s="1"/>
  <c r="Q28" i="5"/>
  <c r="R28" i="5" s="1"/>
  <c r="S28" i="5" s="1"/>
  <c r="Q40" i="5"/>
  <c r="R40" i="5" s="1"/>
  <c r="S40" i="5" s="1"/>
  <c r="Q27" i="5"/>
  <c r="R27" i="5" s="1"/>
  <c r="F15" i="13"/>
  <c r="D15" i="13" s="1"/>
  <c r="U31" i="7"/>
  <c r="D17" i="10" s="1"/>
  <c r="S18" i="5" l="1"/>
  <c r="R51" i="5"/>
  <c r="S27" i="5"/>
  <c r="S51" i="5" l="1"/>
  <c r="D15" i="10" s="1"/>
  <c r="D19" i="10" s="1"/>
  <c r="D23" i="13" s="1"/>
  <c r="D28" i="13" s="1"/>
  <c r="H18" i="19" l="1"/>
  <c r="P1" i="22"/>
  <c r="Y23" i="22" s="1"/>
  <c r="T23" i="22" s="1"/>
  <c r="Y43" i="22"/>
  <c r="T43" i="22" s="1"/>
  <c r="Y28" i="22"/>
  <c r="T28" i="22" s="1"/>
  <c r="P10" i="22"/>
  <c r="Q10" i="22" s="1"/>
  <c r="S10" i="22" s="1"/>
  <c r="Y33" i="22"/>
  <c r="T33" i="22" s="1"/>
  <c r="Y29" i="22" l="1"/>
  <c r="T29" i="22" s="1"/>
  <c r="Y15" i="22"/>
  <c r="T15" i="22" s="1"/>
  <c r="P11" i="22"/>
  <c r="Q11" i="22" s="1"/>
  <c r="S11" i="22" s="1"/>
  <c r="P8" i="22"/>
  <c r="Q8" i="22" s="1"/>
  <c r="S8" i="22" s="1"/>
  <c r="Y16" i="22"/>
  <c r="T16" i="22" s="1"/>
  <c r="Y10" i="22"/>
  <c r="T10" i="22" s="1"/>
  <c r="Y8" i="22"/>
  <c r="T8" i="22" s="1"/>
  <c r="Y37" i="22"/>
  <c r="T37" i="22" s="1"/>
  <c r="Y35" i="22"/>
  <c r="T35" i="22" s="1"/>
  <c r="Y30" i="22"/>
  <c r="T30" i="22" s="1"/>
  <c r="Y19" i="22"/>
  <c r="T19" i="22" s="1"/>
  <c r="Y13" i="22"/>
  <c r="T13" i="22" s="1"/>
  <c r="Y9" i="22"/>
  <c r="T9" i="22" s="1"/>
  <c r="Y34" i="22"/>
  <c r="T34" i="22" s="1"/>
  <c r="P6" i="22"/>
  <c r="Q6" i="22" s="1"/>
  <c r="Y14" i="22"/>
  <c r="T14" i="22" s="1"/>
  <c r="Y36" i="22"/>
  <c r="T36" i="22" s="1"/>
  <c r="Y32" i="22"/>
  <c r="T32" i="22" s="1"/>
  <c r="Y12" i="22"/>
  <c r="T12" i="22" s="1"/>
  <c r="P9" i="22"/>
  <c r="Q9" i="22" s="1"/>
  <c r="S9" i="22" s="1"/>
  <c r="Y20" i="22"/>
  <c r="T20" i="22" s="1"/>
  <c r="Y39" i="22"/>
  <c r="T39" i="22" s="1"/>
  <c r="Y18" i="22"/>
  <c r="T18" i="22" s="1"/>
  <c r="Y38" i="22"/>
  <c r="T38" i="22" s="1"/>
  <c r="Y11" i="22"/>
  <c r="T11" i="22" s="1"/>
  <c r="U5" i="22" s="1"/>
  <c r="P7" i="22"/>
  <c r="Q7" i="22" s="1"/>
  <c r="S7" i="22" s="1"/>
  <c r="Y40" i="22"/>
  <c r="T40" i="22" s="1"/>
  <c r="Y22" i="22"/>
  <c r="T22" i="22" s="1"/>
  <c r="Y31" i="22"/>
  <c r="T31" i="22" s="1"/>
  <c r="Y17" i="22"/>
  <c r="T17" i="22" s="1"/>
  <c r="Y41" i="22"/>
  <c r="T41" i="22" s="1"/>
  <c r="Y21" i="22"/>
  <c r="T21" i="22" s="1"/>
  <c r="Y42" i="22"/>
  <c r="T42" i="22" s="1"/>
  <c r="U4" i="22" s="1"/>
  <c r="P4" i="22" l="1"/>
  <c r="H19" i="19" s="1"/>
  <c r="B17" i="19" s="1"/>
</calcChain>
</file>

<file path=xl/sharedStrings.xml><?xml version="1.0" encoding="utf-8"?>
<sst xmlns="http://schemas.openxmlformats.org/spreadsheetml/2006/main" count="1342" uniqueCount="509">
  <si>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</si>
  <si>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</si>
  <si>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</si>
  <si>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</si>
  <si>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</si>
  <si>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</si>
  <si>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</si>
  <si>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</si>
  <si>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</si>
  <si>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</si>
  <si>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</si>
  <si>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</si>
  <si>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</si>
  <si>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</si>
  <si>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</si>
  <si>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</si>
  <si>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</si>
  <si>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</si>
  <si>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</si>
  <si>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</si>
  <si>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</si>
  <si>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</si>
  <si>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</si>
  <si>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</si>
  <si>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</si>
  <si>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</si>
  <si>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</si>
  <si>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</si>
  <si>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</si>
  <si>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</si>
  <si>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</si>
  <si>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</si>
  <si>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</si>
  <si>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</si>
  <si>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</si>
  <si>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</si>
  <si>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</si>
  <si>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</si>
  <si>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</si>
  <si>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</si>
  <si>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</si>
  <si>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</si>
  <si>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</si>
  <si>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</si>
  <si>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</si>
  <si>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</si>
  <si>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</si>
  <si>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</si>
  <si>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</si>
  <si>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</si>
  <si>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</si>
  <si>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</si>
  <si>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</si>
  <si>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</si>
  <si>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</si>
  <si>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</si>
  <si>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</si>
  <si>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</si>
  <si>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</si>
  <si>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</si>
  <si>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</si>
  <si>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</si>
  <si>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</si>
  <si>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</si>
  <si>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</si>
  <si>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</si>
  <si>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</si>
  <si>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</si>
  <si>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</si>
  <si>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</si>
  <si>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</si>
  <si>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</si>
  <si>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</si>
  <si>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</si>
  <si>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</si>
  <si>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</si>
  <si>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</si>
  <si>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</si>
  <si>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</si>
  <si>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</si>
  <si>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</si>
  <si>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</si>
  <si>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</si>
  <si>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</si>
  <si>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</si>
  <si>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</si>
  <si>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</si>
  <si>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</si>
  <si>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</si>
  <si>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</si>
  <si>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</si>
  <si>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</si>
  <si>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</si>
  <si>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</si>
  <si>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</si>
  <si>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</si>
  <si>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</si>
  <si>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</si>
  <si>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</si>
  <si>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</si>
  <si>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</si>
  <si>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</si>
  <si>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</si>
  <si>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</si>
  <si>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</si>
  <si>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</si>
  <si>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</si>
  <si>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</si>
  <si>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</si>
  <si>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</si>
  <si>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</si>
  <si>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</si>
  <si>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</si>
  <si>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</si>
  <si>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</si>
  <si>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</si>
  <si>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</si>
  <si>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</si>
  <si>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</si>
  <si>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</si>
  <si>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</si>
  <si>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</si>
  <si>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</si>
  <si>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</si>
  <si>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</si>
  <si>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</si>
  <si>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</si>
  <si>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</si>
  <si>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</si>
  <si>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</si>
  <si>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</si>
  <si>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</si>
  <si>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</si>
  <si>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</si>
  <si>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</si>
  <si>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</si>
  <si>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</si>
  <si>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</si>
  <si>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</si>
  <si>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</si>
  <si>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</si>
  <si>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</si>
  <si>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</si>
  <si>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</si>
  <si>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</si>
  <si>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</si>
  <si>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</si>
  <si>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</si>
  <si>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</si>
  <si>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</si>
  <si>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</si>
  <si>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</si>
  <si>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</si>
  <si>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</si>
  <si>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</si>
  <si>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</si>
  <si>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</si>
  <si>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</si>
  <si>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</si>
  <si>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</si>
  <si>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</si>
  <si>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</si>
  <si>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</si>
  <si>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</si>
  <si>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</si>
  <si>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</si>
  <si>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</si>
  <si>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</si>
  <si>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</si>
  <si>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</si>
  <si>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</si>
  <si>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</si>
  <si>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</si>
  <si>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</si>
  <si>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</si>
  <si>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</si>
  <si>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</si>
  <si>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</si>
  <si>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</si>
  <si>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</si>
  <si>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</si>
  <si>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</si>
  <si>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</si>
  <si>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</si>
  <si>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</si>
  <si>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</si>
  <si>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</si>
  <si>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</si>
  <si>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</si>
  <si>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</si>
  <si>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</si>
  <si>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</si>
  <si>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</si>
  <si>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</si>
  <si>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</si>
  <si>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</si>
  <si>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</si>
  <si>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</si>
  <si>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</si>
  <si>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</si>
  <si>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</si>
  <si>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</si>
  <si>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</si>
  <si>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</si>
  <si>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</si>
  <si>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</si>
  <si>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</si>
  <si>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</si>
  <si>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</si>
  <si>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</si>
  <si>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</si>
  <si>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</si>
  <si>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</si>
  <si>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</si>
  <si>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</si>
  <si>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</si>
  <si>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</si>
  <si>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</si>
  <si>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</si>
  <si>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</si>
  <si>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</si>
  <si>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</si>
  <si>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</si>
  <si>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</si>
  <si>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</si>
  <si>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</si>
  <si>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</si>
  <si>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</si>
  <si>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</si>
  <si>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</si>
  <si>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</si>
  <si>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</si>
  <si>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</si>
  <si>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</si>
  <si>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</si>
  <si>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</si>
  <si>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</si>
  <si>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</si>
  <si>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</si>
  <si>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</si>
  <si>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</si>
  <si>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</si>
  <si>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</si>
  <si>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</si>
  <si>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</si>
  <si>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</si>
  <si>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</si>
  <si>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</si>
  <si>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</si>
  <si>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</si>
  <si>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</si>
  <si>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</si>
  <si>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</si>
  <si>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</si>
  <si>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</si>
  <si>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</si>
  <si>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</si>
  <si>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</si>
  <si>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</si>
  <si>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</si>
  <si>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</si>
  <si>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</si>
  <si>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</si>
  <si>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</si>
  <si>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</si>
  <si>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</si>
  <si>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</si>
  <si>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</si>
  <si>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</si>
  <si>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</si>
  <si>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</si>
  <si>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</si>
  <si>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</si>
  <si>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</si>
  <si>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</si>
  <si>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</si>
  <si>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</si>
  <si>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</si>
  <si>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</si>
  <si>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</si>
  <si>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</si>
  <si>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</si>
  <si>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</si>
  <si>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</si>
  <si>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</si>
  <si>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</si>
  <si>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</si>
  <si>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</si>
  <si>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</si>
  <si>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</si>
  <si>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</si>
  <si>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</si>
  <si>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</si>
  <si>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</si>
  <si>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</si>
  <si>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</si>
  <si>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</si>
  <si>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</si>
  <si>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</si>
  <si>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</si>
  <si>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</si>
  <si>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</si>
  <si>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</si>
  <si>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</si>
  <si>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</si>
  <si>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</si>
  <si>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</si>
  <si>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</si>
  <si>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</si>
  <si>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</si>
  <si>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</si>
  <si>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</si>
  <si>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</si>
  <si>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</si>
  <si>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</si>
  <si>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</si>
  <si>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</si>
  <si>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</si>
  <si>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</si>
  <si>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</si>
  <si>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</si>
  <si>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</si>
  <si>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</si>
  <si>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</si>
  <si>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</si>
  <si>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</si>
  <si>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</si>
  <si>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</si>
  <si>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</si>
  <si>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</si>
  <si>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</si>
  <si>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</si>
  <si>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</si>
  <si>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</si>
  <si>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</si>
  <si>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</si>
  <si>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</si>
  <si>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</si>
  <si>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</si>
  <si>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</si>
  <si>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</si>
  <si>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</si>
  <si>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</si>
  <si>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</si>
  <si>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</si>
  <si>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</si>
  <si>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</si>
  <si>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</si>
  <si>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</si>
  <si>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</si>
  <si>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</si>
  <si>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</si>
  <si>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</si>
  <si>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</si>
  <si>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</si>
  <si>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</si>
  <si>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</si>
  <si>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</si>
  <si>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</si>
  <si>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</si>
  <si>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</si>
  <si>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</si>
  <si>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</si>
  <si>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</si>
  <si>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</si>
  <si>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</si>
  <si>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</si>
  <si>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</si>
  <si>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</si>
  <si>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</si>
  <si>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</si>
  <si>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</si>
  <si>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</si>
  <si>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</si>
  <si>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</si>
  <si>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</si>
  <si>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</si>
  <si>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</si>
  <si>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</si>
  <si>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</si>
  <si>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</si>
  <si>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</si>
  <si>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</si>
  <si>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</si>
  <si>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</si>
  <si>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</si>
  <si>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</si>
  <si>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</si>
  <si>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</si>
  <si>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</si>
  <si>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</si>
  <si>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</si>
  <si>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</si>
  <si>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</si>
  <si>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</si>
  <si>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</si>
  <si>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</si>
  <si>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</si>
  <si>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</si>
  <si>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</si>
  <si>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</si>
  <si>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</si>
  <si>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</si>
  <si>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</si>
  <si>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</si>
  <si>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</si>
  <si>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</si>
  <si>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</si>
  <si>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</si>
  <si>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</si>
  <si>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</si>
  <si>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</si>
  <si>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</si>
  <si>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</si>
  <si>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</si>
  <si>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</si>
  <si>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</si>
  <si>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</si>
  <si>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</si>
  <si>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</si>
  <si>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</si>
  <si>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</si>
  <si>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</si>
  <si>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</si>
  <si>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</si>
  <si>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</si>
  <si>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</si>
  <si>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</si>
  <si>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</si>
  <si>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</si>
  <si>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</si>
  <si>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</si>
  <si>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</si>
  <si>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</si>
  <si>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</si>
  <si>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</si>
  <si>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</si>
  <si>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</si>
  <si>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</si>
  <si>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</si>
  <si>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</si>
  <si>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</si>
  <si>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</si>
  <si>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</si>
  <si>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</si>
  <si>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</si>
  <si>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</si>
  <si>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</si>
  <si>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</si>
  <si>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</si>
  <si>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</si>
  <si>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</si>
  <si>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</si>
  <si>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</si>
  <si>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</si>
  <si>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</si>
  <si>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</si>
  <si>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</si>
  <si>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</si>
  <si>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</si>
  <si>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</si>
  <si>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</si>
  <si>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</si>
  <si>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</si>
  <si>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</si>
  <si>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</si>
  <si>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</si>
  <si>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</si>
  <si>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</si>
  <si>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</si>
  <si>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</si>
  <si>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</si>
  <si>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</si>
  <si>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</si>
  <si>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</si>
  <si>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</si>
  <si>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</si>
  <si>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AAAAAAAAABB&amp;</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</si>
  <si>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</si>
  <si>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</si>
  <si>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</si>
  <si>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Insulating Oil for 125 MVAR, 420kV 3-phase Bus Reactor</t>
  </si>
  <si>
    <t>A</t>
  </si>
  <si>
    <t>B</t>
  </si>
  <si>
    <t>C</t>
  </si>
  <si>
    <t>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t>
  </si>
  <si>
    <t>RT21</t>
  </si>
  <si>
    <t xml:space="preserve">80MVAR 400kV LR at Allahabad end </t>
  </si>
  <si>
    <t xml:space="preserve">420kV SHUNT REACTOR                     </t>
  </si>
  <si>
    <t xml:space="preserve">SPARES FOR 420KV SHUNT REACTOR          </t>
  </si>
  <si>
    <t>80 MVAR,420kV,3-phase Shunt Reactor excluding Insulating Oil</t>
  </si>
  <si>
    <t>Insulating Oil for 80 MVAR,420kV ,3-phase Shunt Reactor withassociated NGR</t>
  </si>
  <si>
    <t>Oil filled Neutral Grounding Reactor (NGR) along with supportstructure &amp; terminal connector</t>
  </si>
  <si>
    <t>120kV Surge Arrester along with support structure &amp; terminal</t>
  </si>
  <si>
    <t>420KV, 800A RIP BUSHING WITH METAL PARTS AND GASKETS</t>
  </si>
  <si>
    <t>145KV, 800A RIP BUSHING WITH METAL PARTS AND GASKETS</t>
  </si>
  <si>
    <t>Buchholz Relay (Main Tank) complete with float and  contacts forReactor</t>
  </si>
  <si>
    <t>Local winding temperature indicator (WTI) with contact</t>
  </si>
  <si>
    <t>OTI complete with contacts &amp; sensing device</t>
  </si>
  <si>
    <t>SPARES INSULATING OIL TO BE HANDED OVER TO OWNER AFTER COMMISSIONING</t>
  </si>
  <si>
    <t xml:space="preserve">KL </t>
  </si>
  <si>
    <t>Magnetic Oil Level Gauge</t>
  </si>
  <si>
    <t>80MVAR 400kV LR at Bhiwadi end</t>
  </si>
  <si>
    <t xml:space="preserve">125MVAR 400kV BR at Jamshedpur </t>
  </si>
  <si>
    <t>125 MVAR, 420kV, 3-phase Bus Reactor excluding Insulating Oil</t>
  </si>
  <si>
    <t>Insulating Oil for 80 MVAR,420kV ,3-phase Shunt Reactor with associated NGR</t>
  </si>
  <si>
    <t>Oil filled Neutral Grounding Reactor (NGR) along with support structure &amp; terminal connector</t>
  </si>
  <si>
    <t>120kV Surge Arrester(1-phase)</t>
  </si>
  <si>
    <t>Spec. No: CC/NT/W-RT/DOM/A00/23/02849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</si>
</sst>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3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69"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0" fillId="0" borderId="0" xfId="114" applyFont="1" applyAlignment="1" applyProtection="1">
      <alignment vertical="top"/>
      <protection hidden="1"/>
    </xf>
    <xf numFmtId="0" fontId="71" fillId="0" borderId="0" xfId="114" applyFont="1" applyAlignment="1" applyProtection="1">
      <alignment vertical="top"/>
      <protection hidden="1"/>
    </xf>
    <xf numFmtId="2" fontId="71" fillId="0" borderId="0" xfId="114" applyNumberFormat="1" applyFont="1" applyAlignment="1" applyProtection="1">
      <alignment vertical="top"/>
      <protection hidden="1"/>
    </xf>
    <xf numFmtId="174" fontId="70"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lignment horizontal="center" vertical="center"/>
    </xf>
    <xf numFmtId="0" fontId="3" fillId="0" borderId="0" xfId="0" applyFont="1" applyAlignment="1">
      <alignment vertical="center" wrapText="1"/>
    </xf>
    <xf numFmtId="0" fontId="72" fillId="10" borderId="9" xfId="0" applyFont="1" applyFill="1" applyBorder="1" applyAlignment="1">
      <alignment vertical="center" wrapText="1"/>
    </xf>
    <xf numFmtId="0" fontId="72" fillId="10" borderId="9" xfId="0" applyFont="1" applyFill="1" applyBorder="1" applyAlignment="1">
      <alignment horizontal="left" vertical="center" wrapText="1"/>
    </xf>
    <xf numFmtId="0" fontId="72" fillId="10" borderId="9" xfId="0" applyFont="1" applyFill="1" applyBorder="1" applyAlignment="1">
      <alignment horizontal="center" vertical="center" wrapText="1"/>
    </xf>
    <xf numFmtId="0" fontId="72" fillId="0" borderId="0" xfId="0" applyFont="1" applyAlignment="1">
      <alignment vertical="center" wrapText="1"/>
    </xf>
    <xf numFmtId="0" fontId="72" fillId="0" borderId="0" xfId="0" applyFont="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Border="1" applyAlignment="1">
      <alignment horizontal="center" vertical="center" wrapText="1"/>
    </xf>
    <xf numFmtId="0" fontId="74"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Font="1" applyBorder="1" applyAlignment="1">
      <alignment horizontal="center" vertical="center"/>
    </xf>
    <xf numFmtId="0" fontId="70" fillId="0" borderId="0" xfId="0" applyFont="1" applyAlignment="1">
      <alignment horizontal="center" vertical="center"/>
    </xf>
    <xf numFmtId="0" fontId="75" fillId="0" borderId="0" xfId="0" applyFont="1" applyAlignment="1">
      <alignment horizontal="center" vertical="center"/>
    </xf>
    <xf numFmtId="0" fontId="72" fillId="0" borderId="9" xfId="0" applyFont="1" applyBorder="1" applyAlignment="1">
      <alignment horizontal="center" vertical="center"/>
    </xf>
    <xf numFmtId="0" fontId="72" fillId="0" borderId="0" xfId="0" applyFont="1" applyAlignment="1">
      <alignment vertical="center"/>
    </xf>
    <xf numFmtId="0" fontId="72" fillId="0" borderId="0" xfId="0" applyFont="1" applyAlignment="1">
      <alignment horizontal="center" vertical="center" wrapText="1"/>
    </xf>
    <xf numFmtId="0" fontId="72" fillId="0" borderId="0" xfId="0" applyFont="1" applyAlignment="1">
      <alignment horizontal="left" vertical="center"/>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5" fillId="0" borderId="9" xfId="0" applyFont="1" applyBorder="1" applyAlignment="1">
      <alignment horizontal="right" vertical="center"/>
    </xf>
    <xf numFmtId="0" fontId="77"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left" vertical="center"/>
    </xf>
    <xf numFmtId="0" fontId="54" fillId="11" borderId="9" xfId="0" applyFont="1" applyFill="1" applyBorder="1" applyAlignment="1">
      <alignment horizontal="center" vertical="center"/>
    </xf>
    <xf numFmtId="0" fontId="78"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2"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2" fontId="33" fillId="10" borderId="18" xfId="0" applyNumberFormat="1" applyFont="1" applyFill="1" applyBorder="1" applyAlignment="1">
      <alignment horizontal="center" vertical="center" wrapText="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164" fontId="72" fillId="0" borderId="9" xfId="8" applyFont="1" applyBorder="1" applyAlignment="1">
      <alignment horizontal="right" vertical="center"/>
    </xf>
    <xf numFmtId="164" fontId="75" fillId="0" borderId="9" xfId="8" applyFont="1" applyBorder="1" applyAlignment="1">
      <alignment horizontal="right" vertical="center"/>
    </xf>
    <xf numFmtId="164" fontId="72" fillId="0" borderId="9" xfId="8" applyFont="1" applyBorder="1" applyAlignment="1" applyProtection="1">
      <alignment horizontal="right" vertical="center"/>
      <protection locked="0"/>
    </xf>
    <xf numFmtId="164"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Alignment="1">
      <alignment horizontal="right" vertical="center"/>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4" fontId="75" fillId="10" borderId="9" xfId="8" applyNumberFormat="1" applyFont="1" applyFill="1" applyBorder="1" applyAlignment="1" applyProtection="1">
      <alignment horizontal="right" vertical="center" wrapText="1"/>
    </xf>
    <xf numFmtId="0" fontId="72" fillId="0" borderId="16" xfId="0" applyFont="1" applyBorder="1"/>
    <xf numFmtId="0" fontId="73" fillId="0" borderId="16" xfId="0" applyFont="1" applyBorder="1"/>
    <xf numFmtId="0" fontId="74" fillId="0" borderId="0" xfId="0" applyFont="1" applyAlignment="1">
      <alignment vertical="center"/>
    </xf>
    <xf numFmtId="0" fontId="7" fillId="0" borderId="9" xfId="114" applyFont="1" applyBorder="1" applyAlignment="1" applyProtection="1">
      <alignment horizontal="left" vertical="center" wrapText="1"/>
      <protection hidden="1"/>
    </xf>
    <xf numFmtId="43" fontId="72" fillId="0" borderId="0" xfId="0" applyNumberFormat="1" applyFont="1" applyAlignment="1">
      <alignment horizontal="center" vertical="center"/>
    </xf>
    <xf numFmtId="43" fontId="5" fillId="0" borderId="0" xfId="0" applyNumberFormat="1" applyFont="1" applyAlignment="1" applyProtection="1">
      <alignment vertical="center"/>
      <protection locked="0"/>
    </xf>
    <xf numFmtId="2" fontId="72" fillId="0" borderId="0" xfId="0" applyNumberFormat="1" applyFont="1" applyAlignment="1">
      <alignment horizontal="center" vertical="center"/>
    </xf>
    <xf numFmtId="165" fontId="1" fillId="0" borderId="0" xfId="115" applyNumberFormat="1" applyFont="1" applyAlignment="1" applyProtection="1">
      <alignment horizontal="left" vertical="center"/>
      <protection hidden="1"/>
    </xf>
    <xf numFmtId="0" fontId="72" fillId="0" borderId="9" xfId="0" applyFont="1" applyBorder="1" applyAlignment="1">
      <alignment horizontal="center" vertical="center" wrapText="1"/>
    </xf>
    <xf numFmtId="0" fontId="72" fillId="3" borderId="14" xfId="109" applyFont="1" applyFill="1" applyBorder="1" applyAlignment="1" applyProtection="1">
      <alignment vertical="center" wrapText="1"/>
      <protection locked="0"/>
    </xf>
    <xf numFmtId="10" fontId="2" fillId="0" borderId="18" xfId="111" applyNumberFormat="1" applyFont="1" applyFill="1" applyBorder="1" applyAlignment="1" applyProtection="1">
      <alignment horizontal="center" vertical="center" wrapText="1"/>
      <protection locked="0" hidden="1"/>
    </xf>
    <xf numFmtId="164"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13" borderId="18" xfId="0" applyFont="1" applyFill="1" applyBorder="1" applyAlignment="1">
      <alignment horizontal="center" vertical="center"/>
    </xf>
    <xf numFmtId="0" fontId="1" fillId="13" borderId="24" xfId="0" applyFont="1" applyFill="1" applyBorder="1" applyAlignment="1">
      <alignment vertical="center"/>
    </xf>
    <xf numFmtId="0" fontId="1" fillId="13" borderId="3" xfId="0" applyFont="1" applyFill="1" applyBorder="1" applyAlignment="1">
      <alignment vertical="center"/>
    </xf>
    <xf numFmtId="0" fontId="1" fillId="13" borderId="25" xfId="0" applyFont="1" applyFill="1" applyBorder="1" applyAlignment="1">
      <alignment vertical="center"/>
    </xf>
    <xf numFmtId="0" fontId="1" fillId="13" borderId="9" xfId="0" applyFont="1" applyFill="1" applyBorder="1" applyAlignment="1">
      <alignment horizontal="center" vertical="center" wrapText="1"/>
    </xf>
    <xf numFmtId="0" fontId="1" fillId="13" borderId="3" xfId="0" applyFont="1" applyFill="1" applyBorder="1" applyAlignment="1">
      <alignment vertical="center" wrapText="1"/>
    </xf>
    <xf numFmtId="0" fontId="1" fillId="13" borderId="25" xfId="0" applyFont="1" applyFill="1" applyBorder="1" applyAlignment="1">
      <alignment vertical="center" wrapText="1"/>
    </xf>
    <xf numFmtId="0" fontId="1" fillId="13" borderId="9" xfId="0" applyFont="1" applyFill="1" applyBorder="1" applyAlignment="1">
      <alignment horizontal="center" vertical="center"/>
    </xf>
    <xf numFmtId="0" fontId="5" fillId="13" borderId="0" xfId="0" applyFont="1" applyFill="1" applyAlignment="1">
      <alignment vertical="center"/>
    </xf>
    <xf numFmtId="0" fontId="2" fillId="13" borderId="0" xfId="0" applyFont="1" applyFill="1" applyAlignment="1">
      <alignment vertical="center"/>
    </xf>
    <xf numFmtId="0" fontId="72" fillId="0" borderId="9" xfId="0" applyFont="1" applyBorder="1" applyAlignment="1">
      <alignment horizontal="left" vertical="top"/>
    </xf>
    <xf numFmtId="0" fontId="72" fillId="0" borderId="9" xfId="0" applyFont="1" applyBorder="1" applyAlignment="1">
      <alignment horizontal="left" vertical="top" wrapText="1"/>
    </xf>
    <xf numFmtId="164" fontId="72" fillId="9" borderId="9" xfId="8" applyFont="1" applyFill="1" applyBorder="1" applyAlignment="1" applyProtection="1">
      <alignment horizontal="left" vertical="top" wrapText="1"/>
    </xf>
    <xf numFmtId="0" fontId="72" fillId="0" borderId="9" xfId="0" applyFont="1" applyBorder="1" applyAlignment="1">
      <alignment horizontal="lef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72"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72" fillId="0" borderId="0" xfId="0" applyFont="1" applyAlignment="1">
      <alignment horizontal="left" vertical="center"/>
    </xf>
    <xf numFmtId="0" fontId="75" fillId="12" borderId="9" xfId="0" applyFont="1" applyFill="1" applyBorder="1" applyAlignment="1">
      <alignment horizontal="left" vertical="center"/>
    </xf>
    <xf numFmtId="0" fontId="75" fillId="9" borderId="0" xfId="109" applyFont="1" applyFill="1" applyAlignment="1">
      <alignment horizontal="left" vertical="center" wrapText="1"/>
    </xf>
    <xf numFmtId="0" fontId="1" fillId="0" borderId="16" xfId="0" applyFont="1" applyBorder="1" applyAlignment="1">
      <alignment horizontal="left" vertical="top" wrapText="1"/>
    </xf>
    <xf numFmtId="0" fontId="75" fillId="0" borderId="0" xfId="0" applyFont="1" applyAlignment="1">
      <alignment horizontal="left" vertical="center"/>
    </xf>
    <xf numFmtId="1" fontId="75" fillId="9" borderId="0" xfId="109" applyNumberFormat="1" applyFont="1" applyFill="1" applyAlignment="1">
      <alignment horizontal="left" vertical="center" wrapText="1"/>
    </xf>
    <xf numFmtId="0" fontId="1" fillId="0" borderId="0" xfId="115" applyFont="1" applyAlignment="1" applyProtection="1">
      <alignment vertical="center" wrapText="1"/>
      <protection hidden="1"/>
    </xf>
    <xf numFmtId="0" fontId="72" fillId="0" borderId="0" xfId="0" applyFont="1" applyAlignment="1">
      <alignment horizontal="righ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75" fillId="10" borderId="9" xfId="0" applyFont="1" applyFill="1" applyBorder="1" applyAlignment="1">
      <alignment horizontal="left"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58" fillId="0" borderId="0" xfId="0" applyFont="1" applyAlignment="1">
      <alignment horizontal="center" vertical="center"/>
    </xf>
    <xf numFmtId="165" fontId="1" fillId="0" borderId="0" xfId="0" applyNumberFormat="1" applyFont="1" applyAlignment="1">
      <alignment horizontal="left" vertical="center"/>
    </xf>
    <xf numFmtId="0" fontId="74" fillId="0" borderId="0" xfId="0" applyFont="1" applyAlignment="1">
      <alignment horizontal="left" vertical="center"/>
    </xf>
    <xf numFmtId="0" fontId="74" fillId="9" borderId="0" xfId="109" applyFont="1" applyFill="1" applyAlignment="1">
      <alignment horizontal="left" vertical="center" wrapText="1"/>
    </xf>
    <xf numFmtId="1" fontId="74" fillId="9" borderId="0" xfId="109" applyNumberFormat="1" applyFont="1" applyFill="1" applyAlignment="1">
      <alignment horizontal="left" vertical="center" wrapText="1"/>
    </xf>
    <xf numFmtId="0" fontId="74" fillId="9" borderId="0" xfId="109" applyFont="1" applyFill="1" applyAlignment="1">
      <alignment horizontal="left" vertical="center"/>
    </xf>
    <xf numFmtId="2" fontId="33" fillId="10" borderId="24" xfId="0" applyNumberFormat="1" applyFont="1" applyFill="1" applyBorder="1" applyAlignment="1">
      <alignment horizontal="center" vertical="center" wrapText="1"/>
    </xf>
    <xf numFmtId="2" fontId="33" fillId="10" borderId="3" xfId="0" applyNumberFormat="1" applyFont="1" applyFill="1" applyBorder="1" applyAlignment="1">
      <alignment horizontal="center" vertical="center" wrapText="1"/>
    </xf>
    <xf numFmtId="2" fontId="33" fillId="10" borderId="15" xfId="0" applyNumberFormat="1" applyFont="1" applyFill="1" applyBorder="1" applyAlignment="1">
      <alignment horizontal="center" vertical="center" wrapText="1"/>
    </xf>
    <xf numFmtId="165" fontId="1" fillId="0" borderId="0" xfId="115" applyNumberFormat="1" applyFont="1" applyAlignment="1" applyProtection="1">
      <alignment horizontal="left" vertical="center"/>
      <protection hidden="1"/>
    </xf>
    <xf numFmtId="0" fontId="72" fillId="0" borderId="0" xfId="0" applyFont="1" applyAlignment="1" applyProtection="1">
      <alignment horizontal="left" vertical="center"/>
      <protection locked="0"/>
    </xf>
    <xf numFmtId="0" fontId="72" fillId="0" borderId="24" xfId="109" applyFont="1" applyBorder="1" applyAlignment="1" applyProtection="1">
      <alignment horizontal="left" vertical="center" wrapText="1"/>
      <protection hidden="1"/>
    </xf>
    <xf numFmtId="0" fontId="72" fillId="0" borderId="25" xfId="109" applyFont="1" applyBorder="1" applyAlignment="1" applyProtection="1">
      <alignment horizontal="left" vertical="center" wrapText="1"/>
      <protection hidden="1"/>
    </xf>
    <xf numFmtId="1" fontId="72" fillId="0" borderId="24" xfId="109" applyNumberFormat="1" applyFont="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Alignment="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1" fillId="0" borderId="0" xfId="114" applyFont="1" applyAlignment="1" applyProtection="1">
      <alignment horizontal="center" vertical="top"/>
      <protection hidden="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3"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Border="1" applyAlignment="1" applyProtection="1">
      <alignment horizontal="left" vertical="center"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0" xfId="73" applyAlignment="1">
      <alignment horizontal="left" vertical="center" indent="2"/>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49" fontId="4" fillId="0" borderId="0" xfId="106" applyNumberFormat="1"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7"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33">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277100" y="47625"/>
          <a:ext cx="571500" cy="150495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224500"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2469" y="47625"/>
          <a:ext cx="0" cy="597694"/>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43750" y="19050"/>
          <a:ext cx="0" cy="700768"/>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17" Type="http://schemas.openxmlformats.org/officeDocument/2006/relationships/drawing" Target="../drawings/drawing6.xml"/><Relationship Id="rId2" Type="http://schemas.openxmlformats.org/officeDocument/2006/relationships/printerSettings" Target="../printerSettings/printerSettings155.bin"/><Relationship Id="rId16" Type="http://schemas.openxmlformats.org/officeDocument/2006/relationships/printerSettings" Target="../printerSettings/printerSettings169.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printerSettings" Target="../printerSettings/printerSettings168.bin"/><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18" Type="http://schemas.openxmlformats.org/officeDocument/2006/relationships/drawing" Target="../drawings/drawing7.xml"/><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17" Type="http://schemas.openxmlformats.org/officeDocument/2006/relationships/printerSettings" Target="../printerSettings/printerSettings186.bin"/><Relationship Id="rId2" Type="http://schemas.openxmlformats.org/officeDocument/2006/relationships/printerSettings" Target="../printerSettings/printerSettings171.bin"/><Relationship Id="rId16" Type="http://schemas.openxmlformats.org/officeDocument/2006/relationships/printerSettings" Target="../printerSettings/printerSettings185.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5" Type="http://schemas.openxmlformats.org/officeDocument/2006/relationships/printerSettings" Target="../printerSettings/printerSettings18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94.bin"/><Relationship Id="rId13" Type="http://schemas.openxmlformats.org/officeDocument/2006/relationships/printerSettings" Target="../printerSettings/printerSettings199.bin"/><Relationship Id="rId18" Type="http://schemas.openxmlformats.org/officeDocument/2006/relationships/drawing" Target="../drawings/drawing8.xml"/><Relationship Id="rId3" Type="http://schemas.openxmlformats.org/officeDocument/2006/relationships/printerSettings" Target="../printerSettings/printerSettings189.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17" Type="http://schemas.openxmlformats.org/officeDocument/2006/relationships/printerSettings" Target="../printerSettings/printerSettings203.bin"/><Relationship Id="rId2" Type="http://schemas.openxmlformats.org/officeDocument/2006/relationships/printerSettings" Target="../printerSettings/printerSettings188.bin"/><Relationship Id="rId16" Type="http://schemas.openxmlformats.org/officeDocument/2006/relationships/printerSettings" Target="../printerSettings/printerSettings202.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5" Type="http://schemas.openxmlformats.org/officeDocument/2006/relationships/printerSettings" Target="../printerSettings/printerSettings191.bin"/><Relationship Id="rId15" Type="http://schemas.openxmlformats.org/officeDocument/2006/relationships/printerSettings" Target="../printerSettings/printerSettings201.bin"/><Relationship Id="rId10" Type="http://schemas.openxmlformats.org/officeDocument/2006/relationships/printerSettings" Target="../printerSettings/printerSettings196.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 Id="rId14" Type="http://schemas.openxmlformats.org/officeDocument/2006/relationships/printerSettings" Target="../printerSettings/printerSettings20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11.bin"/><Relationship Id="rId13" Type="http://schemas.openxmlformats.org/officeDocument/2006/relationships/printerSettings" Target="../printerSettings/printerSettings216.bin"/><Relationship Id="rId3" Type="http://schemas.openxmlformats.org/officeDocument/2006/relationships/printerSettings" Target="../printerSettings/printerSettings206.bin"/><Relationship Id="rId7" Type="http://schemas.openxmlformats.org/officeDocument/2006/relationships/printerSettings" Target="../printerSettings/printerSettings210.bin"/><Relationship Id="rId12" Type="http://schemas.openxmlformats.org/officeDocument/2006/relationships/printerSettings" Target="../printerSettings/printerSettings215.bin"/><Relationship Id="rId17" Type="http://schemas.openxmlformats.org/officeDocument/2006/relationships/drawing" Target="../drawings/drawing9.xml"/><Relationship Id="rId2" Type="http://schemas.openxmlformats.org/officeDocument/2006/relationships/printerSettings" Target="../printerSettings/printerSettings205.bin"/><Relationship Id="rId16" Type="http://schemas.openxmlformats.org/officeDocument/2006/relationships/printerSettings" Target="../printerSettings/printerSettings219.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11" Type="http://schemas.openxmlformats.org/officeDocument/2006/relationships/printerSettings" Target="../printerSettings/printerSettings214.bin"/><Relationship Id="rId5" Type="http://schemas.openxmlformats.org/officeDocument/2006/relationships/printerSettings" Target="../printerSettings/printerSettings208.bin"/><Relationship Id="rId15" Type="http://schemas.openxmlformats.org/officeDocument/2006/relationships/printerSettings" Target="../printerSettings/printerSettings218.bin"/><Relationship Id="rId10" Type="http://schemas.openxmlformats.org/officeDocument/2006/relationships/printerSettings" Target="../printerSettings/printerSettings213.bin"/><Relationship Id="rId4" Type="http://schemas.openxmlformats.org/officeDocument/2006/relationships/printerSettings" Target="../printerSettings/printerSettings207.bin"/><Relationship Id="rId9" Type="http://schemas.openxmlformats.org/officeDocument/2006/relationships/printerSettings" Target="../printerSettings/printerSettings212.bin"/><Relationship Id="rId14" Type="http://schemas.openxmlformats.org/officeDocument/2006/relationships/printerSettings" Target="../printerSettings/printerSettings21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17" Type="http://schemas.openxmlformats.org/officeDocument/2006/relationships/printerSettings" Target="../printerSettings/printerSettings236.bin"/><Relationship Id="rId2" Type="http://schemas.openxmlformats.org/officeDocument/2006/relationships/printerSettings" Target="../printerSettings/printerSettings221.bin"/><Relationship Id="rId16" Type="http://schemas.openxmlformats.org/officeDocument/2006/relationships/printerSettings" Target="../printerSettings/printerSettings235.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5" Type="http://schemas.openxmlformats.org/officeDocument/2006/relationships/printerSettings" Target="../printerSettings/printerSettings23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printerSettings" Target="../printerSettings/printerSettings23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17" Type="http://schemas.openxmlformats.org/officeDocument/2006/relationships/printerSettings" Target="../printerSettings/printerSettings253.bin"/><Relationship Id="rId2" Type="http://schemas.openxmlformats.org/officeDocument/2006/relationships/printerSettings" Target="../printerSettings/printerSettings238.bin"/><Relationship Id="rId16" Type="http://schemas.openxmlformats.org/officeDocument/2006/relationships/printerSettings" Target="../printerSettings/printerSettings252.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printerSettings" Target="../printerSettings/printerSettings251.bin"/><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drawing" Target="../drawings/drawing10.xml"/><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18" Type="http://schemas.openxmlformats.org/officeDocument/2006/relationships/drawing" Target="../drawings/drawing11.xml"/><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printerSettings" Target="../printerSettings/printerSettings287.bin"/><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drawing" Target="../drawings/drawing12.xml"/><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12.bin"/><Relationship Id="rId13" Type="http://schemas.openxmlformats.org/officeDocument/2006/relationships/printerSettings" Target="../printerSettings/printerSettings317.bin"/><Relationship Id="rId18" Type="http://schemas.openxmlformats.org/officeDocument/2006/relationships/drawing" Target="../drawings/drawing13.x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12" Type="http://schemas.openxmlformats.org/officeDocument/2006/relationships/printerSettings" Target="../printerSettings/printerSettings316.bin"/><Relationship Id="rId17" Type="http://schemas.openxmlformats.org/officeDocument/2006/relationships/printerSettings" Target="../printerSettings/printerSettings321.bin"/><Relationship Id="rId2" Type="http://schemas.openxmlformats.org/officeDocument/2006/relationships/printerSettings" Target="../printerSettings/printerSettings306.bin"/><Relationship Id="rId16" Type="http://schemas.openxmlformats.org/officeDocument/2006/relationships/printerSettings" Target="../printerSettings/printerSettings320.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11" Type="http://schemas.openxmlformats.org/officeDocument/2006/relationships/printerSettings" Target="../printerSettings/printerSettings315.bin"/><Relationship Id="rId5" Type="http://schemas.openxmlformats.org/officeDocument/2006/relationships/printerSettings" Target="../printerSettings/printerSettings309.bin"/><Relationship Id="rId15" Type="http://schemas.openxmlformats.org/officeDocument/2006/relationships/printerSettings" Target="../printerSettings/printerSettings319.bin"/><Relationship Id="rId10" Type="http://schemas.openxmlformats.org/officeDocument/2006/relationships/printerSettings" Target="../printerSettings/printerSettings314.bin"/><Relationship Id="rId4" Type="http://schemas.openxmlformats.org/officeDocument/2006/relationships/printerSettings" Target="../printerSettings/printerSettings308.bin"/><Relationship Id="rId9" Type="http://schemas.openxmlformats.org/officeDocument/2006/relationships/printerSettings" Target="../printerSettings/printerSettings313.bin"/><Relationship Id="rId14" Type="http://schemas.openxmlformats.org/officeDocument/2006/relationships/printerSettings" Target="../printerSettings/printerSettings3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drawing" Target="../drawings/drawing1.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29.bin"/><Relationship Id="rId3" Type="http://schemas.openxmlformats.org/officeDocument/2006/relationships/printerSettings" Target="../printerSettings/printerSettings324.bin"/><Relationship Id="rId7" Type="http://schemas.openxmlformats.org/officeDocument/2006/relationships/printerSettings" Target="../printerSettings/printerSettings328.bin"/><Relationship Id="rId2" Type="http://schemas.openxmlformats.org/officeDocument/2006/relationships/printerSettings" Target="../printerSettings/printerSettings323.bin"/><Relationship Id="rId1" Type="http://schemas.openxmlformats.org/officeDocument/2006/relationships/printerSettings" Target="../printerSettings/printerSettings322.bin"/><Relationship Id="rId6" Type="http://schemas.openxmlformats.org/officeDocument/2006/relationships/printerSettings" Target="../printerSettings/printerSettings327.bin"/><Relationship Id="rId11" Type="http://schemas.openxmlformats.org/officeDocument/2006/relationships/printerSettings" Target="../printerSettings/printerSettings332.bin"/><Relationship Id="rId5" Type="http://schemas.openxmlformats.org/officeDocument/2006/relationships/printerSettings" Target="../printerSettings/printerSettings326.bin"/><Relationship Id="rId10" Type="http://schemas.openxmlformats.org/officeDocument/2006/relationships/printerSettings" Target="../printerSettings/printerSettings331.bin"/><Relationship Id="rId4" Type="http://schemas.openxmlformats.org/officeDocument/2006/relationships/printerSettings" Target="../printerSettings/printerSettings325.bin"/><Relationship Id="rId9" Type="http://schemas.openxmlformats.org/officeDocument/2006/relationships/printerSettings" Target="../printerSettings/printerSettings33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40.bin"/><Relationship Id="rId3" Type="http://schemas.openxmlformats.org/officeDocument/2006/relationships/printerSettings" Target="../printerSettings/printerSettings335.bin"/><Relationship Id="rId7" Type="http://schemas.openxmlformats.org/officeDocument/2006/relationships/printerSettings" Target="../printerSettings/printerSettings339.bin"/><Relationship Id="rId2" Type="http://schemas.openxmlformats.org/officeDocument/2006/relationships/printerSettings" Target="../printerSettings/printerSettings334.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1" Type="http://schemas.openxmlformats.org/officeDocument/2006/relationships/printerSettings" Target="../printerSettings/printerSettings343.bin"/><Relationship Id="rId5" Type="http://schemas.openxmlformats.org/officeDocument/2006/relationships/printerSettings" Target="../printerSettings/printerSettings337.bin"/><Relationship Id="rId10" Type="http://schemas.openxmlformats.org/officeDocument/2006/relationships/printerSettings" Target="../printerSettings/printerSettings342.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51.bin"/><Relationship Id="rId13" Type="http://schemas.openxmlformats.org/officeDocument/2006/relationships/printerSettings" Target="../printerSettings/printerSettings356.bin"/><Relationship Id="rId3" Type="http://schemas.openxmlformats.org/officeDocument/2006/relationships/printerSettings" Target="../printerSettings/printerSettings346.bin"/><Relationship Id="rId7" Type="http://schemas.openxmlformats.org/officeDocument/2006/relationships/printerSettings" Target="../printerSettings/printerSettings350.bin"/><Relationship Id="rId12" Type="http://schemas.openxmlformats.org/officeDocument/2006/relationships/printerSettings" Target="../printerSettings/printerSettings355.bin"/><Relationship Id="rId2" Type="http://schemas.openxmlformats.org/officeDocument/2006/relationships/printerSettings" Target="../printerSettings/printerSettings345.bin"/><Relationship Id="rId1" Type="http://schemas.openxmlformats.org/officeDocument/2006/relationships/printerSettings" Target="../printerSettings/printerSettings344.bin"/><Relationship Id="rId6" Type="http://schemas.openxmlformats.org/officeDocument/2006/relationships/printerSettings" Target="../printerSettings/printerSettings349.bin"/><Relationship Id="rId11" Type="http://schemas.openxmlformats.org/officeDocument/2006/relationships/printerSettings" Target="../printerSettings/printerSettings354.bin"/><Relationship Id="rId5" Type="http://schemas.openxmlformats.org/officeDocument/2006/relationships/printerSettings" Target="../printerSettings/printerSettings348.bin"/><Relationship Id="rId10" Type="http://schemas.openxmlformats.org/officeDocument/2006/relationships/printerSettings" Target="../printerSettings/printerSettings353.bin"/><Relationship Id="rId4" Type="http://schemas.openxmlformats.org/officeDocument/2006/relationships/printerSettings" Target="../printerSettings/printerSettings347.bin"/><Relationship Id="rId9" Type="http://schemas.openxmlformats.org/officeDocument/2006/relationships/printerSettings" Target="../printerSettings/printerSettings352.bin"/><Relationship Id="rId14" Type="http://schemas.openxmlformats.org/officeDocument/2006/relationships/printerSettings" Target="../printerSettings/printerSettings35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drawing" Target="../drawings/drawing2.xml"/><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18" Type="http://schemas.openxmlformats.org/officeDocument/2006/relationships/drawing" Target="../drawings/drawing3.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17" Type="http://schemas.openxmlformats.org/officeDocument/2006/relationships/printerSettings" Target="../printerSettings/printerSettings68.bin"/><Relationship Id="rId2" Type="http://schemas.openxmlformats.org/officeDocument/2006/relationships/printerSettings" Target="../printerSettings/printerSettings53.bin"/><Relationship Id="rId16" Type="http://schemas.openxmlformats.org/officeDocument/2006/relationships/printerSettings" Target="../printerSettings/printerSettings67.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drawing" Target="../drawings/drawing4.xml"/><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10" Type="http://schemas.openxmlformats.org/officeDocument/2006/relationships/printerSettings" Target="../printerSettings/printerSettings78.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17" Type="http://schemas.openxmlformats.org/officeDocument/2006/relationships/printerSettings" Target="../printerSettings/printerSettings102.bin"/><Relationship Id="rId2" Type="http://schemas.openxmlformats.org/officeDocument/2006/relationships/printerSettings" Target="../printerSettings/printerSettings87.bin"/><Relationship Id="rId16" Type="http://schemas.openxmlformats.org/officeDocument/2006/relationships/printerSettings" Target="../printerSettings/printerSettings101.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5" Type="http://schemas.openxmlformats.org/officeDocument/2006/relationships/printerSettings" Target="../printerSettings/printerSettings10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printerSettings" Target="../printerSettings/printerSettings132.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17" Type="http://schemas.openxmlformats.org/officeDocument/2006/relationships/printerSettings" Target="../printerSettings/printerSettings136.bin"/><Relationship Id="rId2" Type="http://schemas.openxmlformats.org/officeDocument/2006/relationships/printerSettings" Target="../printerSettings/printerSettings121.bin"/><Relationship Id="rId16" Type="http://schemas.openxmlformats.org/officeDocument/2006/relationships/printerSettings" Target="../printerSettings/printerSettings135.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5" Type="http://schemas.openxmlformats.org/officeDocument/2006/relationships/printerSettings" Target="../printerSettings/printerSettings13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 Id="rId14" Type="http://schemas.openxmlformats.org/officeDocument/2006/relationships/printerSettings" Target="../printerSettings/printerSettings13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drawing" Target="../drawings/drawing5.xml"/><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40625" defaultRowHeight="16.5"/>
  <cols>
    <col min="1" max="1" width="20.5703125" style="33" customWidth="1"/>
    <col min="2" max="2" width="95.28515625" style="33" customWidth="1"/>
    <col min="3" max="8" width="9.140625" style="33"/>
    <col min="9" max="9" width="9.140625" style="33" hidden="1" customWidth="1"/>
    <col min="10" max="16384" width="9.140625" style="33"/>
  </cols>
  <sheetData>
    <row r="1" spans="1:9" ht="118.5" customHeight="1">
      <c r="A1" s="30" t="s">
        <v>41</v>
      </c>
      <c r="B1" s="31" t="s">
        <v>485</v>
      </c>
      <c r="C1" s="32"/>
      <c r="D1" s="32"/>
      <c r="E1" s="32"/>
      <c r="F1" s="32"/>
      <c r="G1" s="32"/>
      <c r="H1" s="32"/>
    </row>
    <row r="2" spans="1:9">
      <c r="B2" s="34"/>
      <c r="I2" s="33" t="s">
        <v>264</v>
      </c>
    </row>
    <row r="3" spans="1:9">
      <c r="A3" s="33" t="s">
        <v>42</v>
      </c>
      <c r="B3" s="375" t="s">
        <v>486</v>
      </c>
      <c r="I3" s="33" t="s">
        <v>265</v>
      </c>
    </row>
    <row r="5" spans="1:9">
      <c r="A5" s="33" t="s">
        <v>43</v>
      </c>
      <c r="B5" s="409" t="s">
        <v>508</v>
      </c>
      <c r="C5" s="32"/>
      <c r="D5" s="32"/>
      <c r="E5" s="32"/>
      <c r="F5" s="32"/>
      <c r="G5" s="32"/>
      <c r="H5" s="32"/>
    </row>
  </sheetData>
  <sheetProtection selectLockedCells="1" selectUnlockedCells="1"/>
  <customSheetViews>
    <customSheetView guid="{CCA37BAE-906F-43D5-9FD9-B13563E4B9D7}" hiddenColumns="1" state="hidden">
      <selection activeCell="B10" sqref="B10"/>
      <pageMargins left="0.75" right="0.75" top="1" bottom="1" header="0.5" footer="0.5"/>
      <pageSetup orientation="portrait" r:id="rId1"/>
      <headerFooter alignWithMargins="0"/>
    </customSheetView>
    <customSheetView guid="{84F40905-A9D3-43A5-987A-8A757D486A94}" hiddenColumns="1" state="hidden">
      <selection activeCell="B14" sqref="B14"/>
      <pageMargins left="0.75" right="0.75" top="1" bottom="1" header="0.5" footer="0.5"/>
      <pageSetup orientation="portrait" r:id="rId2"/>
      <headerFooter alignWithMargins="0"/>
    </customSheetView>
    <customSheetView guid="{C44C314C-9BEB-403F-A933-6B948E5C1171}" hiddenColumns="1" state="hidden">
      <selection activeCell="B5" sqref="B5"/>
      <pageMargins left="0.75" right="0.75" top="1" bottom="1" header="0.5" footer="0.5"/>
      <pageSetup orientation="portrait" r:id="rId3"/>
      <headerFooter alignWithMargins="0"/>
    </customSheetView>
    <customSheetView guid="{AD0333DF-5B33-49B5-B063-72505D20EFE4}" hiddenColumns="1" state="hidden">
      <selection activeCell="B5" sqref="B5"/>
      <pageMargins left="0.75" right="0.75" top="1" bottom="1" header="0.5" footer="0.5"/>
      <pageSetup orientation="portrait" r:id="rId4"/>
      <headerFooter alignWithMargins="0"/>
    </customSheetView>
    <customSheetView guid="{BE68641D-0C1E-4F8D-890A-A660C199187C}" hiddenColumns="1" state="hidden">
      <selection activeCell="B5" sqref="B5"/>
      <pageMargins left="0.75" right="0.75" top="1" bottom="1" header="0.5" footer="0.5"/>
      <pageSetup orientation="portrait" r:id="rId5"/>
      <headerFooter alignWithMargins="0"/>
    </customSheetView>
    <customSheetView guid="{F658ED72-5E54-4C5B-BB2C-7A2962080984}" hiddenColumns="1" state="hidden">
      <selection activeCell="B6" sqref="B6"/>
      <pageMargins left="0.75" right="0.75" top="1" bottom="1" header="0.5" footer="0.5"/>
      <pageSetup orientation="portrait" r:id="rId6"/>
      <headerFooter alignWithMargins="0"/>
    </customSheetView>
    <customSheetView guid="{DEF6DCE2-4A74-4BE5-B5D5-8143DC3F770A}" hiddenColumns="1" state="hidden">
      <selection activeCell="B6" sqref="B6"/>
      <pageMargins left="0.75" right="0.75" top="1" bottom="1" header="0.5" footer="0.5"/>
      <pageSetup orientation="portrait" r:id="rId7"/>
      <headerFooter alignWithMargins="0"/>
    </customSheetView>
    <customSheetView guid="{F8A50AE1-259E-429D-A506-38EB64D134EF}" hiddenColumns="1" state="hidden">
      <selection activeCell="B6" sqref="B6"/>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3C00DDA0-7DDE-4169-A739-550DAF5DCF8D}" hiddenColumns="1" state="hidden">
      <selection activeCell="B11" sqref="B11"/>
      <pageMargins left="0.75" right="0.75" top="1" bottom="1" header="0.5" footer="0.5"/>
      <pageSetup orientation="portrait" r:id="rId11"/>
      <headerFooter alignWithMargins="0"/>
    </customSheetView>
    <customSheetView guid="{99CA2F10-F926-46DC-8609-4EAE5B9F3585}" hiddenColumns="1" state="hidden">
      <selection activeCell="E14" sqref="E14"/>
      <pageMargins left="0.75" right="0.75" top="1" bottom="1" header="0.5" footer="0.5"/>
      <pageSetup orientation="portrait" r:id="rId12"/>
      <headerFooter alignWithMargins="0"/>
    </customSheetView>
    <customSheetView guid="{63D51328-7CBC-4A1E-B96D-BAE91416501B}" hiddenColumns="1" state="hidden">
      <selection activeCell="B20" sqref="B20"/>
      <pageMargins left="0.75" right="0.75" top="1" bottom="1" header="0.5" footer="0.5"/>
      <pageSetup orientation="portrait" r:id="rId13"/>
      <headerFooter alignWithMargins="0"/>
    </customSheetView>
    <customSheetView guid="{112647D2-7580-431B-99B5-DD512E2AD50E}" hiddenColumns="1" state="hidden">
      <selection activeCell="B5" sqref="B5"/>
      <pageMargins left="0.75" right="0.75" top="1" bottom="1" header="0.5" footer="0.5"/>
      <pageSetup orientation="portrait" r:id="rId14"/>
      <headerFooter alignWithMargins="0"/>
    </customSheetView>
    <customSheetView guid="{BDFA0401-0547-4E51-8BD2-84F711B066CA}" hiddenColumns="1" state="hidden">
      <selection activeCell="B9" sqref="B9"/>
      <pageMargins left="0.75" right="0.75" top="1" bottom="1" header="0.5" footer="0.5"/>
      <pageSetup orientation="portrait" r:id="rId15"/>
      <headerFooter alignWithMargins="0"/>
    </customSheetView>
    <customSheetView guid="{9E88A623-8EDB-47F0-815B-9C48385C3E73}" hiddenColumns="1" state="hidden">
      <selection activeCell="B14" sqref="B14"/>
      <pageMargins left="0.75" right="0.75" top="1" bottom="1" header="0.5" footer="0.5"/>
      <pageSetup orientation="portrait" r:id="rId16"/>
      <headerFooter alignWithMargins="0"/>
    </customSheetView>
  </customSheetViews>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8" customWidth="1"/>
    <col min="10" max="10" width="14.42578125" style="358" customWidth="1"/>
    <col min="11" max="11" width="17.140625" style="358" customWidth="1"/>
    <col min="12" max="13" width="11.42578125" style="358" customWidth="1"/>
    <col min="14" max="14" width="21.28515625" style="358" customWidth="1"/>
    <col min="15" max="15" width="18.28515625" style="80" customWidth="1"/>
    <col min="16" max="17" width="11.42578125" style="80" customWidth="1"/>
    <col min="18" max="18" width="11.42578125" style="106" customWidth="1"/>
    <col min="19" max="24" width="11.42578125" style="80" customWidth="1"/>
    <col min="25" max="16384" width="11.42578125" style="106"/>
  </cols>
  <sheetData>
    <row r="1" spans="1:15" ht="18" customHeight="1">
      <c r="A1" s="76" t="str">
        <f>Cover!B3</f>
        <v>Spec. No: CC/NT/W-RT/DOM/A00/23/02849</v>
      </c>
      <c r="B1" s="77"/>
      <c r="C1" s="78"/>
      <c r="D1" s="78"/>
      <c r="E1" s="79" t="s">
        <v>128</v>
      </c>
    </row>
    <row r="2" spans="1:15" ht="8.1" customHeight="1">
      <c r="A2" s="81"/>
      <c r="B2" s="82"/>
      <c r="C2" s="83"/>
      <c r="D2" s="83"/>
      <c r="E2" s="84"/>
      <c r="F2" s="85"/>
    </row>
    <row r="3" spans="1:15" ht="83.25" customHeight="1">
      <c r="A3" s="80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06"/>
      <c r="C3" s="806"/>
      <c r="D3" s="806"/>
      <c r="E3" s="806"/>
    </row>
    <row r="4" spans="1:15" ht="21.95" customHeight="1">
      <c r="A4" s="807" t="s">
        <v>129</v>
      </c>
      <c r="B4" s="807"/>
      <c r="C4" s="807"/>
      <c r="D4" s="807"/>
      <c r="E4" s="807"/>
    </row>
    <row r="5" spans="1:15" ht="12" customHeight="1">
      <c r="A5" s="86"/>
      <c r="B5" s="87"/>
      <c r="C5" s="87"/>
      <c r="D5" s="87"/>
      <c r="E5" s="87"/>
    </row>
    <row r="6" spans="1:15" ht="20.25" customHeight="1">
      <c r="A6" s="757" t="s">
        <v>349</v>
      </c>
      <c r="B6" s="757"/>
      <c r="C6" s="4"/>
      <c r="D6" s="87"/>
      <c r="E6" s="87"/>
    </row>
    <row r="7" spans="1:15" ht="18" customHeight="1">
      <c r="A7" s="761">
        <f>'Sch-1'!A7</f>
        <v>0</v>
      </c>
      <c r="B7" s="761"/>
      <c r="C7" s="761"/>
      <c r="D7" s="88" t="s">
        <v>1</v>
      </c>
    </row>
    <row r="8" spans="1:15" ht="18" customHeight="1">
      <c r="A8" s="758" t="str">
        <f>"Bidder’s Name and Address  (" &amp; MID('Names of Bidder'!B9,9, 20) &amp; ") :"</f>
        <v>Bidder’s Name and Address  (Sole Bidder) :</v>
      </c>
      <c r="B8" s="758"/>
      <c r="C8" s="758"/>
      <c r="D8" s="89" t="str">
        <f>'Sch-1'!K8</f>
        <v>Contract Services</v>
      </c>
    </row>
    <row r="9" spans="1:15" ht="18" customHeight="1">
      <c r="A9" s="422" t="s">
        <v>12</v>
      </c>
      <c r="B9" s="422" t="str">
        <f>IF('Names of Bidder'!D9=0, "", 'Names of Bidder'!D9)</f>
        <v/>
      </c>
      <c r="C9" s="106"/>
      <c r="D9" s="89" t="str">
        <f>'Sch-1'!K9</f>
        <v>Power Grid Corporation of India Ltd.,</v>
      </c>
    </row>
    <row r="10" spans="1:15" ht="18" customHeight="1">
      <c r="A10" s="422" t="s">
        <v>11</v>
      </c>
      <c r="B10" s="238" t="str">
        <f>IF('Names of Bidder'!D10=0, "", 'Names of Bidder'!D10)</f>
        <v/>
      </c>
      <c r="C10" s="106"/>
      <c r="D10" s="89" t="str">
        <f>'Sch-1'!K10</f>
        <v>"Saudamini", Plot No.-2</v>
      </c>
    </row>
    <row r="11" spans="1:15" ht="18" customHeight="1">
      <c r="A11" s="378"/>
      <c r="B11" s="238" t="str">
        <f>IF('Names of Bidder'!D11=0, "", 'Names of Bidder'!D11)</f>
        <v/>
      </c>
      <c r="C11" s="106"/>
      <c r="D11" s="89" t="str">
        <f>'Sch-1'!K11</f>
        <v xml:space="preserve">Sector-29, </v>
      </c>
    </row>
    <row r="12" spans="1:15" ht="18" customHeight="1">
      <c r="A12" s="378"/>
      <c r="B12" s="238" t="str">
        <f>IF('Names of Bidder'!D12=0, "", 'Names of Bidder'!D12)</f>
        <v/>
      </c>
      <c r="C12" s="106"/>
      <c r="D12" s="89" t="str">
        <f>'Sch-1'!K12</f>
        <v>Gurgaon (Haryana) - 122001</v>
      </c>
    </row>
    <row r="13" spans="1:15" ht="8.1" customHeight="1" thickBot="1"/>
    <row r="14" spans="1:15" ht="21.95" customHeight="1">
      <c r="A14" s="588" t="s">
        <v>130</v>
      </c>
      <c r="B14" s="808" t="s">
        <v>131</v>
      </c>
      <c r="C14" s="808"/>
      <c r="D14" s="809" t="s">
        <v>132</v>
      </c>
      <c r="E14" s="810"/>
      <c r="I14" s="805"/>
      <c r="J14" s="805"/>
      <c r="K14" s="805"/>
      <c r="M14" s="798"/>
      <c r="N14" s="798"/>
      <c r="O14" s="798"/>
    </row>
    <row r="15" spans="1:15" ht="24.75" customHeight="1">
      <c r="A15" s="589" t="s">
        <v>135</v>
      </c>
      <c r="B15" s="799" t="s">
        <v>326</v>
      </c>
      <c r="C15" s="799"/>
      <c r="D15" s="817">
        <f>'Sch-1'!S51</f>
        <v>0</v>
      </c>
      <c r="E15" s="818"/>
      <c r="I15" s="359"/>
      <c r="K15" s="359"/>
      <c r="M15" s="359"/>
      <c r="O15" s="91"/>
    </row>
    <row r="16" spans="1:15" ht="81" customHeight="1">
      <c r="A16" s="590"/>
      <c r="B16" s="802" t="s">
        <v>327</v>
      </c>
      <c r="C16" s="802"/>
      <c r="D16" s="819"/>
      <c r="E16" s="820"/>
      <c r="G16" s="92"/>
    </row>
    <row r="17" spans="1:15" ht="24.75" customHeight="1">
      <c r="A17" s="589" t="s">
        <v>137</v>
      </c>
      <c r="B17" s="799" t="s">
        <v>328</v>
      </c>
      <c r="C17" s="799"/>
      <c r="D17" s="800">
        <f>'Sch-3'!U31</f>
        <v>0</v>
      </c>
      <c r="E17" s="801"/>
      <c r="I17" s="359"/>
      <c r="K17" s="360"/>
      <c r="M17" s="359"/>
      <c r="O17" s="94"/>
    </row>
    <row r="18" spans="1:15" ht="81.75" customHeight="1">
      <c r="A18" s="590"/>
      <c r="B18" s="802" t="s">
        <v>329</v>
      </c>
      <c r="C18" s="802"/>
      <c r="D18" s="821"/>
      <c r="E18" s="822"/>
      <c r="G18" s="95"/>
      <c r="I18" s="361"/>
      <c r="M18" s="361"/>
    </row>
    <row r="19" spans="1:15" ht="33" customHeight="1" thickBot="1">
      <c r="A19" s="591"/>
      <c r="B19" s="592" t="s">
        <v>332</v>
      </c>
      <c r="C19" s="593"/>
      <c r="D19" s="813">
        <f>D15+D17</f>
        <v>0</v>
      </c>
      <c r="E19" s="814"/>
    </row>
    <row r="20" spans="1:15" ht="30" customHeight="1">
      <c r="A20" s="96"/>
      <c r="B20" s="96"/>
      <c r="C20" s="97"/>
      <c r="D20" s="96"/>
      <c r="E20" s="96"/>
    </row>
    <row r="21" spans="1:15" ht="30" customHeight="1">
      <c r="A21" s="98" t="s">
        <v>143</v>
      </c>
      <c r="B21" s="596" t="str">
        <f>'Sch-5'!B21</f>
        <v xml:space="preserve">  </v>
      </c>
      <c r="C21" s="97" t="s">
        <v>144</v>
      </c>
      <c r="D21" s="823" t="str">
        <f>'Sch-5'!D21</f>
        <v/>
      </c>
      <c r="E21" s="823"/>
      <c r="F21" s="99"/>
    </row>
    <row r="22" spans="1:15" ht="30" customHeight="1">
      <c r="A22" s="98" t="s">
        <v>145</v>
      </c>
      <c r="B22" s="597" t="str">
        <f>'Sch-5'!B22</f>
        <v/>
      </c>
      <c r="C22" s="97" t="s">
        <v>146</v>
      </c>
      <c r="D22" s="823" t="str">
        <f>'Sch-5'!D22</f>
        <v/>
      </c>
      <c r="E22" s="823"/>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formatColumns="0" formatRows="0" selectLockedCells="1"/>
  <dataConsolidate/>
  <customSheetViews>
    <customSheetView guid="{CCA37BAE-906F-43D5-9FD9-B13563E4B9D7}"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9E88A623-8EDB-47F0-815B-9C48385C3E73}" scale="80" showPageBreaks="1" printArea="1" state="hidden" view="pageBreakPreview">
      <selection activeCell="D18" sqref="D18:E18"/>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ignoredErrors>
    <ignoredError sqref="D15" evalError="1"/>
  </ignoredErrors>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80" zoomScaleNormal="100" zoomScaleSheetLayoutView="8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CC/NT/W-RT/DOM/A00/23/02849</v>
      </c>
      <c r="B1" s="108"/>
      <c r="C1" s="109"/>
      <c r="D1" s="110" t="s">
        <v>147</v>
      </c>
    </row>
    <row r="2" spans="1:6" ht="18" customHeight="1">
      <c r="A2" s="111"/>
      <c r="B2" s="112"/>
      <c r="C2" s="113"/>
      <c r="D2" s="113"/>
    </row>
    <row r="3" spans="1:6" ht="90.75" customHeight="1">
      <c r="A3" s="80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06"/>
      <c r="C3" s="806"/>
      <c r="D3" s="806"/>
      <c r="E3" s="114"/>
      <c r="F3" s="114"/>
    </row>
    <row r="4" spans="1:6" ht="21.95" customHeight="1">
      <c r="A4" s="807" t="s">
        <v>148</v>
      </c>
      <c r="B4" s="807"/>
      <c r="C4" s="807"/>
      <c r="D4" s="807"/>
    </row>
    <row r="5" spans="1:6" ht="18" customHeight="1">
      <c r="A5" s="115"/>
    </row>
    <row r="6" spans="1:6" ht="18" customHeight="1">
      <c r="A6" s="757" t="s">
        <v>349</v>
      </c>
      <c r="B6" s="757"/>
      <c r="C6" s="4"/>
    </row>
    <row r="7" spans="1:6" ht="18" customHeight="1">
      <c r="A7" s="761">
        <f>'Sch-1'!A7</f>
        <v>0</v>
      </c>
      <c r="B7" s="761"/>
      <c r="C7" s="761"/>
      <c r="D7" s="88" t="s">
        <v>1</v>
      </c>
    </row>
    <row r="8" spans="1:6" ht="21.75" customHeight="1">
      <c r="A8" s="758" t="str">
        <f>"Bidder’s Name and Address  (" &amp; MID('Names of Bidder'!B9,9, 20) &amp; ") :"</f>
        <v>Bidder’s Name and Address  (Sole Bidder) :</v>
      </c>
      <c r="B8" s="758"/>
      <c r="C8" s="758"/>
      <c r="D8" s="89" t="str">
        <f>'Sch-1'!K8</f>
        <v>Contract Services</v>
      </c>
    </row>
    <row r="9" spans="1:6" ht="18" customHeight="1">
      <c r="A9" s="422" t="s">
        <v>12</v>
      </c>
      <c r="B9" s="422" t="str">
        <f>IF('Names of Bidder'!D9=0, "", 'Names of Bidder'!D9)</f>
        <v/>
      </c>
      <c r="C9" s="106"/>
      <c r="D9" s="89" t="str">
        <f>'Sch-1'!K9</f>
        <v>Power Grid Corporation of India Ltd.,</v>
      </c>
    </row>
    <row r="10" spans="1:6" ht="18" customHeight="1">
      <c r="A10" s="422"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76"/>
      <c r="B13" s="576"/>
      <c r="C13" s="576"/>
      <c r="D13" s="88"/>
    </row>
    <row r="14" spans="1:6" ht="21.95" customHeight="1">
      <c r="A14" s="577" t="s">
        <v>130</v>
      </c>
      <c r="B14" s="824" t="s">
        <v>15</v>
      </c>
      <c r="C14" s="825"/>
      <c r="D14" s="578" t="s">
        <v>132</v>
      </c>
    </row>
    <row r="15" spans="1:6" ht="21.95" customHeight="1">
      <c r="A15" s="579" t="s">
        <v>135</v>
      </c>
      <c r="B15" s="826" t="s">
        <v>149</v>
      </c>
      <c r="C15" s="826"/>
      <c r="D15" s="580">
        <f>'Sch-1'!N51</f>
        <v>0</v>
      </c>
    </row>
    <row r="16" spans="1:6" ht="35.1" customHeight="1">
      <c r="A16" s="581"/>
      <c r="B16" s="827" t="s">
        <v>150</v>
      </c>
      <c r="C16" s="828"/>
      <c r="D16" s="582"/>
    </row>
    <row r="17" spans="1:6" ht="21.95" customHeight="1">
      <c r="A17" s="579" t="s">
        <v>137</v>
      </c>
      <c r="B17" s="826" t="s">
        <v>151</v>
      </c>
      <c r="C17" s="826"/>
      <c r="D17" s="580">
        <f>'Sch-2'!J51</f>
        <v>0</v>
      </c>
    </row>
    <row r="18" spans="1:6" ht="35.1" customHeight="1">
      <c r="A18" s="581"/>
      <c r="B18" s="827" t="s">
        <v>313</v>
      </c>
      <c r="C18" s="828"/>
      <c r="D18" s="582"/>
    </row>
    <row r="19" spans="1:6" ht="21.95" customHeight="1">
      <c r="A19" s="579" t="s">
        <v>139</v>
      </c>
      <c r="B19" s="826" t="s">
        <v>153</v>
      </c>
      <c r="C19" s="826"/>
      <c r="D19" s="580">
        <f>'Sch-3'!P31</f>
        <v>0</v>
      </c>
    </row>
    <row r="20" spans="1:6" ht="30" customHeight="1">
      <c r="A20" s="581"/>
      <c r="B20" s="827" t="s">
        <v>154</v>
      </c>
      <c r="C20" s="828"/>
      <c r="D20" s="582"/>
    </row>
    <row r="21" spans="1:6" ht="21.95" customHeight="1">
      <c r="A21" s="579" t="s">
        <v>140</v>
      </c>
      <c r="B21" s="826" t="s">
        <v>155</v>
      </c>
      <c r="C21" s="826"/>
      <c r="D21" s="583" t="s">
        <v>339</v>
      </c>
    </row>
    <row r="22" spans="1:6" ht="30" customHeight="1">
      <c r="A22" s="581"/>
      <c r="B22" s="827" t="s">
        <v>156</v>
      </c>
      <c r="C22" s="828"/>
      <c r="D22" s="582"/>
    </row>
    <row r="23" spans="1:6" ht="30" customHeight="1">
      <c r="A23" s="579">
        <v>5</v>
      </c>
      <c r="B23" s="826" t="s">
        <v>157</v>
      </c>
      <c r="C23" s="826"/>
      <c r="D23" s="580">
        <f>'Sch-5'!D19:E19</f>
        <v>0</v>
      </c>
    </row>
    <row r="24" spans="1:6" ht="23.25" customHeight="1">
      <c r="A24" s="581"/>
      <c r="B24" s="827" t="s">
        <v>158</v>
      </c>
      <c r="C24" s="828"/>
      <c r="D24" s="584"/>
    </row>
    <row r="25" spans="1:6" ht="21.95" customHeight="1">
      <c r="A25" s="579" t="s">
        <v>142</v>
      </c>
      <c r="B25" s="826" t="s">
        <v>159</v>
      </c>
      <c r="C25" s="826"/>
      <c r="D25" s="583" t="s">
        <v>339</v>
      </c>
    </row>
    <row r="26" spans="1:6" ht="35.1" customHeight="1">
      <c r="A26" s="581"/>
      <c r="B26" s="827" t="s">
        <v>160</v>
      </c>
      <c r="C26" s="828"/>
      <c r="D26" s="582"/>
    </row>
    <row r="27" spans="1:6" ht="18.75" customHeight="1">
      <c r="A27" s="829"/>
      <c r="B27" s="831" t="s">
        <v>347</v>
      </c>
      <c r="C27" s="831"/>
      <c r="D27" s="585"/>
    </row>
    <row r="28" spans="1:6" ht="18.75" customHeight="1" thickBot="1">
      <c r="A28" s="830"/>
      <c r="B28" s="832"/>
      <c r="C28" s="832"/>
      <c r="D28" s="586">
        <f>D15+D17+D19+D23</f>
        <v>0</v>
      </c>
    </row>
    <row r="29" spans="1:6" ht="18.75" customHeight="1">
      <c r="A29" s="125"/>
      <c r="B29" s="126"/>
      <c r="C29" s="126"/>
      <c r="D29" s="127"/>
    </row>
    <row r="30" spans="1:6" ht="27.95" customHeight="1">
      <c r="A30" s="125"/>
      <c r="B30" s="128"/>
      <c r="C30" s="128"/>
      <c r="D30" s="127"/>
    </row>
    <row r="31" spans="1:6" ht="27.95" customHeight="1">
      <c r="A31" s="129" t="s">
        <v>162</v>
      </c>
      <c r="B31" s="596" t="str">
        <f>'Sch-5 after discount'!B21</f>
        <v xml:space="preserve">  </v>
      </c>
      <c r="C31" s="128" t="s">
        <v>144</v>
      </c>
      <c r="D31" s="649" t="str">
        <f>'Sch-5 after discount'!D21</f>
        <v/>
      </c>
      <c r="F31" s="130"/>
    </row>
    <row r="32" spans="1:6" ht="27.95" customHeight="1">
      <c r="A32" s="129" t="s">
        <v>163</v>
      </c>
      <c r="B32" s="597" t="str">
        <f>'Sch-5 after discount'!B22</f>
        <v/>
      </c>
      <c r="C32" s="128" t="s">
        <v>146</v>
      </c>
      <c r="D32" s="649" t="str">
        <f>'Sch-5 after discount'!D22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CCA37BAE-906F-43D5-9FD9-B13563E4B9D7}" scale="80" showPageBreaks="1" printArea="1" view="pageBreakPreview" topLeftCell="A4">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4F40905-A9D3-43A5-987A-8A757D486A94}" scale="80"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9E88A623-8EDB-47F0-815B-9C48385C3E73}" scale="80" showPageBreaks="1" printArea="1" view="pageBreakPreview">
      <selection activeCell="A3" sqref="A3:D3"/>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CC/NT/W-RT/DOM/A00/23/02849</v>
      </c>
      <c r="B1" s="108"/>
      <c r="C1" s="109"/>
      <c r="D1" s="110" t="s">
        <v>164</v>
      </c>
    </row>
    <row r="2" spans="1:6" ht="18" customHeight="1">
      <c r="A2" s="111"/>
      <c r="B2" s="112"/>
      <c r="C2" s="113"/>
      <c r="D2" s="113"/>
    </row>
    <row r="3" spans="1:6" ht="73.5" customHeight="1">
      <c r="A3" s="838"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38"/>
      <c r="C3" s="838"/>
      <c r="D3" s="838"/>
      <c r="E3" s="114"/>
      <c r="F3" s="114"/>
    </row>
    <row r="4" spans="1:6" ht="21.95" customHeight="1">
      <c r="A4" s="807" t="s">
        <v>148</v>
      </c>
      <c r="B4" s="807"/>
      <c r="C4" s="807"/>
      <c r="D4" s="807"/>
    </row>
    <row r="5" spans="1:6" ht="18" customHeight="1">
      <c r="A5" s="115"/>
    </row>
    <row r="6" spans="1:6" ht="18" customHeight="1">
      <c r="A6" s="24" t="e">
        <f>'Sch-1'!#REF!</f>
        <v>#REF!</v>
      </c>
      <c r="D6" s="88" t="s">
        <v>1</v>
      </c>
    </row>
    <row r="7" spans="1:6" ht="36" customHeight="1">
      <c r="A7" s="839" t="str">
        <f>'Sch-1'!A8</f>
        <v>Bidder’s Name and Address  (Sole Bidder) :</v>
      </c>
      <c r="B7" s="839"/>
      <c r="C7" s="839"/>
      <c r="D7" s="89" t="str">
        <f>'Sch-1'!K8</f>
        <v>Contract Services</v>
      </c>
    </row>
    <row r="8" spans="1:6" ht="18" customHeight="1">
      <c r="A8" s="28" t="s">
        <v>31</v>
      </c>
      <c r="B8" s="837" t="str">
        <f>IF('Sch-1'!C9=0, "", 'Sch-1'!C9)</f>
        <v/>
      </c>
      <c r="C8" s="837"/>
      <c r="D8" s="89" t="str">
        <f>'Sch-1'!K9</f>
        <v>Power Grid Corporation of India Ltd.,</v>
      </c>
    </row>
    <row r="9" spans="1:6" ht="18" customHeight="1">
      <c r="A9" s="28" t="s">
        <v>32</v>
      </c>
      <c r="B9" s="837" t="str">
        <f>IF('Sch-1'!C10=0, "", 'Sch-1'!C10)</f>
        <v/>
      </c>
      <c r="C9" s="837"/>
      <c r="D9" s="89" t="str">
        <f>'Sch-1'!K10</f>
        <v>"Saudamini", Plot No.-2</v>
      </c>
    </row>
    <row r="10" spans="1:6" ht="18" customHeight="1">
      <c r="A10" s="29"/>
      <c r="B10" s="837" t="str">
        <f>IF('Sch-1'!C11=0, "", 'Sch-1'!C11)</f>
        <v/>
      </c>
      <c r="C10" s="837"/>
      <c r="D10" s="89" t="str">
        <f>'Sch-1'!K11</f>
        <v xml:space="preserve">Sector-29, </v>
      </c>
    </row>
    <row r="11" spans="1:6" ht="18" customHeight="1">
      <c r="A11" s="29"/>
      <c r="B11" s="837" t="str">
        <f>IF('Sch-1'!C12=0, "", 'Sch-1'!C12)</f>
        <v/>
      </c>
      <c r="C11" s="837"/>
      <c r="D11" s="89" t="str">
        <f>'Sch-1'!K12</f>
        <v>Gurgaon (Haryana) - 122001</v>
      </c>
    </row>
    <row r="12" spans="1:6" ht="18" customHeight="1">
      <c r="A12" s="116"/>
      <c r="B12" s="116"/>
      <c r="C12" s="116"/>
      <c r="D12" s="88"/>
    </row>
    <row r="13" spans="1:6" ht="21.95" customHeight="1">
      <c r="A13" s="117" t="s">
        <v>130</v>
      </c>
      <c r="B13" s="833" t="s">
        <v>15</v>
      </c>
      <c r="C13" s="834"/>
      <c r="D13" s="118" t="s">
        <v>132</v>
      </c>
    </row>
    <row r="14" spans="1:6" ht="21.95" customHeight="1">
      <c r="A14" s="90" t="s">
        <v>135</v>
      </c>
      <c r="B14" s="826" t="s">
        <v>149</v>
      </c>
      <c r="C14" s="826"/>
      <c r="D14" s="119"/>
    </row>
    <row r="15" spans="1:6" ht="35.1" customHeight="1">
      <c r="A15" s="120"/>
      <c r="B15" s="827" t="s">
        <v>150</v>
      </c>
      <c r="C15" s="828"/>
      <c r="D15" s="121"/>
    </row>
    <row r="16" spans="1:6" ht="21.95" customHeight="1">
      <c r="A16" s="90" t="s">
        <v>137</v>
      </c>
      <c r="B16" s="826" t="s">
        <v>151</v>
      </c>
      <c r="C16" s="826"/>
      <c r="D16" s="119"/>
    </row>
    <row r="17" spans="1:6" ht="35.1" customHeight="1">
      <c r="A17" s="120"/>
      <c r="B17" s="827" t="s">
        <v>152</v>
      </c>
      <c r="C17" s="828"/>
      <c r="D17" s="121"/>
    </row>
    <row r="18" spans="1:6" ht="21.95" customHeight="1">
      <c r="A18" s="90" t="s">
        <v>139</v>
      </c>
      <c r="B18" s="826" t="s">
        <v>153</v>
      </c>
      <c r="C18" s="826"/>
      <c r="D18" s="119"/>
    </row>
    <row r="19" spans="1:6" ht="30" customHeight="1">
      <c r="A19" s="120"/>
      <c r="B19" s="827" t="s">
        <v>154</v>
      </c>
      <c r="C19" s="828"/>
      <c r="D19" s="121"/>
    </row>
    <row r="20" spans="1:6" ht="21.95" customHeight="1">
      <c r="A20" s="90" t="s">
        <v>140</v>
      </c>
      <c r="B20" s="826" t="s">
        <v>155</v>
      </c>
      <c r="C20" s="826"/>
      <c r="D20" s="122"/>
    </row>
    <row r="21" spans="1:6" ht="30" customHeight="1">
      <c r="A21" s="120"/>
      <c r="B21" s="827" t="s">
        <v>156</v>
      </c>
      <c r="C21" s="828"/>
      <c r="D21" s="121"/>
    </row>
    <row r="22" spans="1:6" ht="30" customHeight="1">
      <c r="A22" s="90">
        <v>5</v>
      </c>
      <c r="B22" s="826" t="s">
        <v>157</v>
      </c>
      <c r="C22" s="826"/>
      <c r="D22" s="119"/>
    </row>
    <row r="23" spans="1:6" ht="33" customHeight="1">
      <c r="A23" s="120"/>
      <c r="B23" s="827" t="s">
        <v>158</v>
      </c>
      <c r="C23" s="828"/>
      <c r="D23" s="135"/>
    </row>
    <row r="24" spans="1:6" ht="21.95" customHeight="1">
      <c r="A24" s="90" t="s">
        <v>142</v>
      </c>
      <c r="B24" s="826" t="s">
        <v>159</v>
      </c>
      <c r="C24" s="826"/>
      <c r="D24" s="122"/>
    </row>
    <row r="25" spans="1:6" ht="35.1" customHeight="1">
      <c r="A25" s="120"/>
      <c r="B25" s="827" t="s">
        <v>160</v>
      </c>
      <c r="C25" s="828"/>
      <c r="D25" s="121"/>
    </row>
    <row r="26" spans="1:6" ht="24" customHeight="1">
      <c r="A26" s="835"/>
      <c r="B26" s="836" t="s">
        <v>161</v>
      </c>
      <c r="C26" s="836"/>
      <c r="D26" s="123"/>
    </row>
    <row r="27" spans="1:6" ht="25.5" customHeight="1">
      <c r="A27" s="835"/>
      <c r="B27" s="836"/>
      <c r="C27" s="836"/>
      <c r="D27" s="124"/>
    </row>
    <row r="28" spans="1:6" ht="18.75" customHeight="1">
      <c r="A28" s="125"/>
      <c r="B28" s="126"/>
      <c r="C28" s="126"/>
      <c r="D28" s="127"/>
    </row>
    <row r="29" spans="1:6" ht="27.95" customHeight="1">
      <c r="A29" s="125"/>
      <c r="B29" s="126"/>
      <c r="C29" s="128"/>
      <c r="D29" s="127"/>
    </row>
    <row r="30" spans="1:6" ht="27.95" customHeight="1">
      <c r="A30" s="129" t="s">
        <v>162</v>
      </c>
      <c r="B30" s="93"/>
      <c r="C30" s="128" t="s">
        <v>144</v>
      </c>
      <c r="D30" s="93"/>
      <c r="F30" s="130"/>
    </row>
    <row r="31" spans="1:6" ht="27.95" customHeight="1">
      <c r="A31" s="129" t="s">
        <v>163</v>
      </c>
      <c r="B31" s="93"/>
      <c r="C31" s="128" t="s">
        <v>146</v>
      </c>
      <c r="D31" s="93"/>
      <c r="F31" s="111"/>
    </row>
    <row r="32" spans="1:6" ht="27.95" customHeight="1">
      <c r="A32" s="131"/>
      <c r="B32" s="112"/>
      <c r="C32" s="128"/>
      <c r="F32" s="111"/>
    </row>
    <row r="33" spans="1:6" ht="30" customHeight="1">
      <c r="A33" s="131"/>
      <c r="B33" s="112"/>
      <c r="C33" s="128"/>
      <c r="D33" s="131"/>
      <c r="F33" s="130"/>
    </row>
    <row r="34" spans="1:6" ht="30" customHeight="1">
      <c r="A34" s="132"/>
      <c r="B34" s="132"/>
      <c r="C34" s="133"/>
      <c r="E34" s="134"/>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9E88A623-8EDB-47F0-815B-9C48385C3E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7" zoomScale="70" zoomScaleNormal="100" zoomScaleSheetLayoutView="70" workbookViewId="0">
      <selection activeCell="E1" sqref="E1:F6553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5" width="18.42578125" style="106" hidden="1" customWidth="1"/>
    <col min="6" max="6" width="18.7109375" style="106" hidden="1" customWidth="1"/>
    <col min="7" max="16384" width="11.42578125" style="106"/>
  </cols>
  <sheetData>
    <row r="1" spans="1:6" ht="18" customHeight="1">
      <c r="A1" s="107" t="str">
        <f>Cover!B3</f>
        <v>Spec. No: CC/NT/W-RT/DOM/A00/23/02849</v>
      </c>
      <c r="B1" s="108"/>
      <c r="C1" s="109"/>
      <c r="D1" s="110" t="s">
        <v>147</v>
      </c>
    </row>
    <row r="2" spans="1:6" ht="18" customHeight="1">
      <c r="A2" s="111"/>
      <c r="B2" s="112"/>
      <c r="C2" s="113"/>
      <c r="D2" s="113"/>
    </row>
    <row r="3" spans="1:6" ht="97.5" customHeight="1">
      <c r="A3" s="80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06"/>
      <c r="C3" s="806"/>
      <c r="D3" s="806"/>
      <c r="E3" s="114"/>
      <c r="F3" s="114"/>
    </row>
    <row r="4" spans="1:6" ht="21.95" customHeight="1">
      <c r="A4" s="807" t="s">
        <v>148</v>
      </c>
      <c r="B4" s="807"/>
      <c r="C4" s="807"/>
      <c r="D4" s="807"/>
    </row>
    <row r="5" spans="1:6" ht="18" customHeight="1">
      <c r="A5" s="115"/>
    </row>
    <row r="6" spans="1:6" ht="18" customHeight="1">
      <c r="A6" s="757" t="s">
        <v>349</v>
      </c>
      <c r="B6" s="757"/>
      <c r="C6" s="4"/>
    </row>
    <row r="7" spans="1:6" ht="18" customHeight="1">
      <c r="A7" s="761">
        <f>'Sch-1'!A7</f>
        <v>0</v>
      </c>
      <c r="B7" s="761"/>
      <c r="C7" s="761"/>
      <c r="D7" s="88" t="s">
        <v>1</v>
      </c>
    </row>
    <row r="8" spans="1:6" ht="22.5" customHeight="1">
      <c r="A8" s="758" t="str">
        <f>"Bidder’s Name and Address  (" &amp; MID('Names of Bidder'!B9,9, 20) &amp; ") :"</f>
        <v>Bidder’s Name and Address  (Sole Bidder) :</v>
      </c>
      <c r="B8" s="758"/>
      <c r="C8" s="758"/>
      <c r="D8" s="89" t="str">
        <f>'Sch-1'!K8</f>
        <v>Contract Services</v>
      </c>
    </row>
    <row r="9" spans="1:6" ht="18" customHeight="1">
      <c r="A9" s="422" t="s">
        <v>12</v>
      </c>
      <c r="B9" s="422" t="str">
        <f>IF('Names of Bidder'!D9=0, "", 'Names of Bidder'!D9)</f>
        <v/>
      </c>
      <c r="C9" s="106"/>
      <c r="D9" s="89" t="str">
        <f>'Sch-1'!K9</f>
        <v>Power Grid Corporation of India Ltd.,</v>
      </c>
    </row>
    <row r="10" spans="1:6" ht="18" customHeight="1">
      <c r="A10" s="422"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76"/>
      <c r="B13" s="576"/>
      <c r="C13" s="576"/>
      <c r="D13" s="88"/>
    </row>
    <row r="14" spans="1:6" ht="21.95" customHeight="1">
      <c r="A14" s="577" t="s">
        <v>130</v>
      </c>
      <c r="B14" s="824" t="s">
        <v>15</v>
      </c>
      <c r="C14" s="825"/>
      <c r="D14" s="578" t="s">
        <v>132</v>
      </c>
      <c r="E14" s="550" t="s">
        <v>360</v>
      </c>
      <c r="F14" s="551" t="s">
        <v>359</v>
      </c>
    </row>
    <row r="15" spans="1:6" ht="21.95" customHeight="1">
      <c r="A15" s="579" t="s">
        <v>135</v>
      </c>
      <c r="B15" s="826" t="s">
        <v>149</v>
      </c>
      <c r="C15" s="826"/>
      <c r="D15" s="580">
        <f>E15*F15</f>
        <v>0</v>
      </c>
      <c r="E15" s="552">
        <f>'Sch-6'!D15</f>
        <v>0</v>
      </c>
      <c r="F15" s="573">
        <f>IF(Discount!H36&lt;0,0,Discount!H36)</f>
        <v>0</v>
      </c>
    </row>
    <row r="16" spans="1:6" ht="35.1" customHeight="1">
      <c r="A16" s="581"/>
      <c r="B16" s="827" t="s">
        <v>150</v>
      </c>
      <c r="C16" s="828"/>
      <c r="D16" s="582"/>
      <c r="E16" s="554"/>
      <c r="F16" s="573"/>
    </row>
    <row r="17" spans="1:6" ht="21.95" customHeight="1">
      <c r="A17" s="579" t="s">
        <v>137</v>
      </c>
      <c r="B17" s="826" t="s">
        <v>151</v>
      </c>
      <c r="C17" s="826"/>
      <c r="D17" s="580">
        <f>E17*F17</f>
        <v>0</v>
      </c>
      <c r="E17" s="552">
        <f>'Sch-6'!D17</f>
        <v>0</v>
      </c>
      <c r="F17" s="573">
        <f>IF(Discount!I36&lt;0,0,Discount!I36)</f>
        <v>0</v>
      </c>
    </row>
    <row r="18" spans="1:6" ht="35.1" customHeight="1">
      <c r="A18" s="581"/>
      <c r="B18" s="827" t="s">
        <v>313</v>
      </c>
      <c r="C18" s="828"/>
      <c r="D18" s="582"/>
      <c r="E18" s="554"/>
      <c r="F18" s="573"/>
    </row>
    <row r="19" spans="1:6" ht="21.95" customHeight="1">
      <c r="A19" s="579" t="s">
        <v>139</v>
      </c>
      <c r="B19" s="826" t="s">
        <v>153</v>
      </c>
      <c r="C19" s="826"/>
      <c r="D19" s="580">
        <f>E19*F19</f>
        <v>0</v>
      </c>
      <c r="E19" s="552">
        <f>'Sch-6'!D19</f>
        <v>0</v>
      </c>
      <c r="F19" s="573">
        <f>IF(Discount!J36&lt;0,0,Discount!J36)</f>
        <v>0</v>
      </c>
    </row>
    <row r="20" spans="1:6" ht="30" customHeight="1">
      <c r="A20" s="581"/>
      <c r="B20" s="827" t="s">
        <v>154</v>
      </c>
      <c r="C20" s="828"/>
      <c r="D20" s="582"/>
      <c r="E20" s="554"/>
      <c r="F20" s="553"/>
    </row>
    <row r="21" spans="1:6" ht="21.95" customHeight="1">
      <c r="A21" s="579" t="s">
        <v>140</v>
      </c>
      <c r="B21" s="826" t="s">
        <v>155</v>
      </c>
      <c r="C21" s="826"/>
      <c r="D21" s="583" t="s">
        <v>339</v>
      </c>
      <c r="E21" s="554"/>
      <c r="F21" s="553"/>
    </row>
    <row r="22" spans="1:6" ht="30" customHeight="1">
      <c r="A22" s="581"/>
      <c r="B22" s="827" t="s">
        <v>156</v>
      </c>
      <c r="C22" s="828"/>
      <c r="D22" s="582"/>
      <c r="E22" s="554"/>
      <c r="F22" s="553"/>
    </row>
    <row r="23" spans="1:6" ht="30" customHeight="1">
      <c r="A23" s="579">
        <v>5</v>
      </c>
      <c r="B23" s="826" t="s">
        <v>157</v>
      </c>
      <c r="C23" s="826"/>
      <c r="D23" s="580">
        <f>IF('Sch-5 after discount'!D19&lt;0,0,'Sch-5 after discount'!D19)</f>
        <v>0</v>
      </c>
      <c r="E23" s="554"/>
      <c r="F23" s="553"/>
    </row>
    <row r="24" spans="1:6" ht="25.5" customHeight="1">
      <c r="A24" s="581"/>
      <c r="B24" s="827" t="s">
        <v>158</v>
      </c>
      <c r="C24" s="828"/>
      <c r="D24" s="584"/>
      <c r="E24" s="554"/>
      <c r="F24" s="553"/>
    </row>
    <row r="25" spans="1:6" ht="21.95" customHeight="1">
      <c r="A25" s="579" t="s">
        <v>142</v>
      </c>
      <c r="B25" s="826" t="s">
        <v>159</v>
      </c>
      <c r="C25" s="826"/>
      <c r="D25" s="583" t="s">
        <v>339</v>
      </c>
      <c r="E25" s="554"/>
      <c r="F25" s="553"/>
    </row>
    <row r="26" spans="1:6" ht="35.1" customHeight="1">
      <c r="A26" s="581"/>
      <c r="B26" s="827" t="s">
        <v>160</v>
      </c>
      <c r="C26" s="828"/>
      <c r="D26" s="582"/>
      <c r="E26" s="554"/>
      <c r="F26" s="553"/>
    </row>
    <row r="27" spans="1:6" ht="18.75" customHeight="1">
      <c r="A27" s="829"/>
      <c r="B27" s="831" t="s">
        <v>347</v>
      </c>
      <c r="C27" s="831"/>
      <c r="D27" s="587"/>
      <c r="E27" s="554"/>
      <c r="F27" s="553"/>
    </row>
    <row r="28" spans="1:6" ht="18.75" customHeight="1" thickBot="1">
      <c r="A28" s="830"/>
      <c r="B28" s="832"/>
      <c r="C28" s="832"/>
      <c r="D28" s="586">
        <f>SUM(D15:D26)</f>
        <v>0</v>
      </c>
      <c r="E28" s="555"/>
      <c r="F28" s="556"/>
    </row>
    <row r="29" spans="1:6" ht="18.75" customHeight="1">
      <c r="A29" s="125"/>
      <c r="B29" s="126"/>
      <c r="C29" s="126"/>
      <c r="D29" s="127"/>
    </row>
    <row r="30" spans="1:6" ht="27.95" customHeight="1">
      <c r="A30" s="125"/>
      <c r="B30" s="128"/>
      <c r="C30" s="128"/>
      <c r="D30" s="127"/>
    </row>
    <row r="31" spans="1:6" ht="27.95" customHeight="1">
      <c r="A31" s="129" t="s">
        <v>162</v>
      </c>
      <c r="B31" s="596" t="str">
        <f>'Sch-6'!B31</f>
        <v xml:space="preserve">  </v>
      </c>
      <c r="C31" s="128" t="s">
        <v>144</v>
      </c>
      <c r="D31" s="650" t="str">
        <f>'Sch-6'!D31</f>
        <v/>
      </c>
      <c r="F31" s="130"/>
    </row>
    <row r="32" spans="1:6" ht="27.95" customHeight="1">
      <c r="A32" s="129" t="s">
        <v>163</v>
      </c>
      <c r="B32" s="597" t="str">
        <f>'Sch-6'!B32</f>
        <v/>
      </c>
      <c r="C32" s="128" t="s">
        <v>146</v>
      </c>
      <c r="D32" s="650" t="str">
        <f>'Sch-6'!D32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CCA37BAE-906F-43D5-9FD9-B13563E4B9D7}" scale="70" showPageBreaks="1" printArea="1" hiddenColumns="1" view="pageBreakPreview" topLeftCell="A7">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9E88A623-8EDB-47F0-815B-9C48385C3E73}"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55" customWidth="1"/>
    <col min="2" max="2" width="11.42578125" style="255" customWidth="1"/>
    <col min="3" max="3" width="15" style="255" customWidth="1"/>
    <col min="4" max="4" width="10.28515625" style="255" customWidth="1"/>
    <col min="5" max="8" width="15.140625" style="255" customWidth="1"/>
    <col min="9" max="9" width="22.85546875" style="374" customWidth="1"/>
    <col min="10" max="10" width="8.7109375" style="245" customWidth="1"/>
    <col min="11" max="11" width="10.28515625" style="245" customWidth="1"/>
    <col min="12" max="12" width="13.5703125" style="245" customWidth="1"/>
    <col min="13" max="13" width="14.28515625" style="245" customWidth="1"/>
    <col min="14" max="26" width="9.140625" style="277" customWidth="1"/>
    <col min="27" max="27" width="0" style="277" hidden="1" customWidth="1"/>
    <col min="28" max="28" width="15.85546875" style="277" hidden="1" customWidth="1"/>
    <col min="29" max="29" width="15.5703125" style="277" hidden="1" customWidth="1"/>
    <col min="30" max="30" width="24.42578125" style="277" hidden="1" customWidth="1"/>
    <col min="31" max="31" width="13.7109375" style="277" hidden="1" customWidth="1"/>
    <col min="32" max="33" width="0" style="277" hidden="1" customWidth="1"/>
    <col min="34" max="100" width="9.140625" style="277" customWidth="1"/>
    <col min="101" max="253" width="9.140625" style="242" customWidth="1"/>
    <col min="254" max="254" width="13" style="242" customWidth="1"/>
    <col min="255" max="255" width="35.85546875" style="242" customWidth="1"/>
    <col min="256" max="16384" width="8.7109375" style="242"/>
  </cols>
  <sheetData>
    <row r="1" spans="1:100" s="277" customFormat="1" ht="18" customHeight="1">
      <c r="A1" s="273" t="str">
        <f>Cover!B3</f>
        <v>Spec. No: CC/NT/W-RT/DOM/A00/23/02849</v>
      </c>
      <c r="B1" s="273"/>
      <c r="C1" s="273"/>
      <c r="D1" s="273"/>
      <c r="E1" s="273"/>
      <c r="F1" s="273"/>
      <c r="G1" s="273"/>
      <c r="H1" s="273"/>
      <c r="I1" s="366"/>
      <c r="J1" s="274"/>
      <c r="K1" s="274"/>
      <c r="L1" s="274"/>
      <c r="M1" s="275" t="s">
        <v>30</v>
      </c>
    </row>
    <row r="2" spans="1:100" s="277" customFormat="1" ht="12.75" customHeight="1">
      <c r="A2" s="278"/>
      <c r="B2" s="278"/>
      <c r="C2" s="278"/>
      <c r="D2" s="278"/>
      <c r="E2" s="278"/>
      <c r="F2" s="278"/>
      <c r="G2" s="278"/>
      <c r="H2" s="278"/>
      <c r="I2" s="367"/>
      <c r="J2" s="279"/>
      <c r="K2" s="279"/>
      <c r="L2" s="279"/>
      <c r="M2" s="279"/>
    </row>
    <row r="3" spans="1:100" s="277" customFormat="1" ht="79.5" customHeight="1">
      <c r="A3" s="85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56"/>
      <c r="C3" s="856"/>
      <c r="D3" s="856"/>
      <c r="E3" s="856"/>
      <c r="F3" s="856"/>
      <c r="G3" s="856"/>
      <c r="H3" s="856"/>
      <c r="I3" s="856"/>
      <c r="J3" s="856"/>
      <c r="K3" s="856"/>
      <c r="L3" s="856"/>
      <c r="M3" s="856"/>
      <c r="AA3" s="277" t="s">
        <v>18</v>
      </c>
      <c r="AC3" s="277">
        <f>IF(ISERROR(#REF!/('[6]Sch-6'!D14+'[6]Sch-6'!D16+'[6]Sch-6'!D18)),0,#REF!/( '[6]Sch-6'!D14+'[6]Sch-6'!D16+'[6]Sch-6'!D18))</f>
        <v>0</v>
      </c>
    </row>
    <row r="4" spans="1:100" s="277" customFormat="1" ht="21.95" customHeight="1">
      <c r="A4" s="857" t="s">
        <v>19</v>
      </c>
      <c r="B4" s="857"/>
      <c r="C4" s="857"/>
      <c r="D4" s="857"/>
      <c r="E4" s="857"/>
      <c r="F4" s="857"/>
      <c r="G4" s="857"/>
      <c r="H4" s="857"/>
      <c r="I4" s="857"/>
      <c r="J4" s="857"/>
      <c r="K4" s="857"/>
      <c r="L4" s="857"/>
      <c r="M4" s="857"/>
      <c r="AA4" s="277" t="s">
        <v>20</v>
      </c>
      <c r="AC4" s="277" t="e">
        <f>#REF!</f>
        <v>#REF!</v>
      </c>
    </row>
    <row r="5" spans="1:100" s="277" customFormat="1" ht="27.95" customHeight="1">
      <c r="A5" s="282"/>
      <c r="B5" s="282"/>
      <c r="C5" s="282"/>
      <c r="D5" s="282"/>
      <c r="E5" s="426"/>
      <c r="F5" s="426"/>
      <c r="G5" s="426"/>
      <c r="H5" s="426"/>
      <c r="I5" s="368"/>
      <c r="K5" s="281"/>
      <c r="L5" s="280"/>
      <c r="M5" s="426"/>
    </row>
    <row r="6" spans="1:100" s="277" customFormat="1" ht="27.95" customHeight="1">
      <c r="A6" s="535"/>
      <c r="B6" s="757" t="s">
        <v>349</v>
      </c>
      <c r="C6" s="757"/>
      <c r="D6" s="4"/>
      <c r="E6" s="426"/>
      <c r="F6" s="426"/>
      <c r="G6" s="426"/>
      <c r="H6" s="426"/>
      <c r="I6" s="368"/>
      <c r="K6" s="281"/>
      <c r="L6" s="280"/>
      <c r="M6" s="426"/>
    </row>
    <row r="7" spans="1:100" s="277" customFormat="1" ht="27.95" customHeight="1">
      <c r="A7" s="532"/>
      <c r="B7" s="761">
        <f>'Sch-1'!A7</f>
        <v>0</v>
      </c>
      <c r="C7" s="761"/>
      <c r="D7" s="761"/>
      <c r="E7" s="761"/>
      <c r="F7" s="761"/>
      <c r="G7" s="761"/>
      <c r="H7" s="761"/>
      <c r="I7" s="368"/>
      <c r="K7" s="281"/>
      <c r="L7" s="280"/>
      <c r="M7" s="426"/>
    </row>
    <row r="8" spans="1:100" s="480" customFormat="1" ht="16.5" customHeight="1">
      <c r="A8" s="534"/>
      <c r="B8" s="758" t="str">
        <f>'Sch-1'!A8</f>
        <v>Bidder’s Name and Address  (Sole Bidder) :</v>
      </c>
      <c r="C8" s="758"/>
      <c r="D8" s="758"/>
      <c r="E8" s="758"/>
      <c r="F8" s="758"/>
      <c r="G8" s="758"/>
      <c r="H8" s="758"/>
      <c r="I8" s="25"/>
      <c r="J8" s="25"/>
      <c r="K8" s="88" t="s">
        <v>1</v>
      </c>
      <c r="L8" s="23"/>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row>
    <row r="9" spans="1:100" s="480" customFormat="1">
      <c r="A9" s="422"/>
      <c r="B9" s="422" t="s">
        <v>12</v>
      </c>
      <c r="C9" s="761" t="str">
        <f>'Sch-1'!C9</f>
        <v/>
      </c>
      <c r="D9" s="761"/>
      <c r="E9" s="761"/>
      <c r="F9" s="761"/>
      <c r="G9" s="238"/>
      <c r="H9" s="238"/>
      <c r="I9" s="238"/>
      <c r="J9" s="238"/>
      <c r="K9" s="89" t="s">
        <v>2</v>
      </c>
      <c r="L9" s="23"/>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row>
    <row r="10" spans="1:100" s="480" customFormat="1">
      <c r="A10" s="422"/>
      <c r="B10" s="422" t="s">
        <v>11</v>
      </c>
      <c r="C10" s="760" t="str">
        <f>'Sch-1'!C10</f>
        <v/>
      </c>
      <c r="D10" s="760"/>
      <c r="E10" s="760"/>
      <c r="F10" s="760"/>
      <c r="G10" s="238"/>
      <c r="H10" s="238"/>
      <c r="I10" s="238"/>
      <c r="J10" s="238"/>
      <c r="K10" s="89" t="s">
        <v>3</v>
      </c>
      <c r="L10" s="23"/>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row>
    <row r="11" spans="1:100" s="480" customFormat="1">
      <c r="A11" s="378"/>
      <c r="B11" s="378"/>
      <c r="C11" s="760" t="str">
        <f>'Sch-1'!C11</f>
        <v/>
      </c>
      <c r="D11" s="760"/>
      <c r="E11" s="760"/>
      <c r="F11" s="760"/>
      <c r="G11" s="238"/>
      <c r="H11" s="238"/>
      <c r="I11" s="238"/>
      <c r="J11" s="238"/>
      <c r="K11" s="89" t="s">
        <v>4</v>
      </c>
      <c r="L11" s="23"/>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row>
    <row r="12" spans="1:100" s="480" customFormat="1">
      <c r="A12" s="378"/>
      <c r="B12" s="378"/>
      <c r="C12" s="760" t="str">
        <f>'Sch-1'!C12</f>
        <v/>
      </c>
      <c r="D12" s="760"/>
      <c r="E12" s="760"/>
      <c r="F12" s="760"/>
      <c r="G12" s="238"/>
      <c r="H12" s="238"/>
      <c r="I12" s="238"/>
      <c r="J12" s="238"/>
      <c r="K12" s="89" t="s">
        <v>5</v>
      </c>
      <c r="L12" s="23"/>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row>
    <row r="13" spans="1:100" s="277" customFormat="1" ht="21" customHeight="1">
      <c r="A13" s="282"/>
      <c r="B13" s="282"/>
      <c r="C13" s="282"/>
      <c r="D13" s="282"/>
      <c r="E13" s="282"/>
      <c r="F13" s="282"/>
      <c r="G13" s="282"/>
      <c r="H13" s="282"/>
      <c r="I13" s="369"/>
      <c r="J13" s="426"/>
      <c r="K13" s="89" t="s">
        <v>6</v>
      </c>
      <c r="L13" s="276"/>
      <c r="M13" s="276"/>
    </row>
    <row r="14" spans="1:100" s="277" customFormat="1" ht="27.95" customHeight="1">
      <c r="A14" s="847" t="s">
        <v>33</v>
      </c>
      <c r="B14" s="847"/>
      <c r="C14" s="847"/>
      <c r="D14" s="847"/>
      <c r="E14" s="847"/>
      <c r="F14" s="847"/>
      <c r="G14" s="847"/>
      <c r="H14" s="847"/>
      <c r="I14" s="847"/>
      <c r="J14" s="847"/>
      <c r="K14" s="847"/>
      <c r="L14" s="847"/>
      <c r="M14" s="847"/>
    </row>
    <row r="15" spans="1:100" s="277" customFormat="1" ht="115.5" customHeight="1">
      <c r="A15" s="477" t="s">
        <v>34</v>
      </c>
      <c r="B15" s="362" t="s">
        <v>266</v>
      </c>
      <c r="C15" s="362" t="s">
        <v>267</v>
      </c>
      <c r="D15" s="477" t="s">
        <v>40</v>
      </c>
      <c r="E15" s="481" t="s">
        <v>330</v>
      </c>
      <c r="F15" s="482" t="s">
        <v>331</v>
      </c>
      <c r="G15" s="482" t="s">
        <v>309</v>
      </c>
      <c r="H15" s="482" t="s">
        <v>319</v>
      </c>
      <c r="I15" s="478" t="s">
        <v>35</v>
      </c>
      <c r="J15" s="478" t="s">
        <v>9</v>
      </c>
      <c r="K15" s="478" t="s">
        <v>16</v>
      </c>
      <c r="L15" s="478" t="s">
        <v>36</v>
      </c>
      <c r="M15" s="479" t="s">
        <v>37</v>
      </c>
      <c r="AB15" s="277" t="s">
        <v>38</v>
      </c>
      <c r="AD15" s="277" t="s">
        <v>22</v>
      </c>
      <c r="AE15" s="277" t="s">
        <v>39</v>
      </c>
    </row>
    <row r="16" spans="1:100">
      <c r="A16" s="484"/>
      <c r="B16" s="484"/>
      <c r="C16" s="484"/>
      <c r="D16" s="484"/>
      <c r="E16" s="484"/>
      <c r="F16" s="484"/>
      <c r="G16" s="484"/>
      <c r="H16" s="484"/>
      <c r="I16" s="485"/>
      <c r="J16" s="486"/>
      <c r="K16" s="486"/>
      <c r="L16" s="486"/>
      <c r="M16" s="486"/>
    </row>
    <row r="17" spans="1:100" s="385" customFormat="1" ht="23.25" customHeight="1">
      <c r="A17" s="428"/>
      <c r="B17" s="428"/>
      <c r="C17" s="428"/>
      <c r="D17" s="428"/>
      <c r="F17" s="428"/>
      <c r="G17" s="487" t="s">
        <v>338</v>
      </c>
      <c r="H17" s="428"/>
      <c r="I17" s="428"/>
      <c r="J17" s="428"/>
      <c r="K17" s="428"/>
      <c r="L17" s="428"/>
      <c r="M17" s="428"/>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row>
    <row r="18" spans="1:100" ht="22.5" customHeight="1">
      <c r="A18" s="848"/>
      <c r="B18" s="848"/>
      <c r="C18" s="848"/>
      <c r="D18" s="848"/>
      <c r="E18" s="848"/>
      <c r="F18" s="848"/>
      <c r="G18" s="848"/>
      <c r="H18" s="848"/>
      <c r="I18" s="848"/>
      <c r="J18" s="488"/>
      <c r="K18" s="488"/>
      <c r="L18" s="488"/>
      <c r="M18" s="488"/>
    </row>
    <row r="19" spans="1:100" ht="26.25" customHeight="1">
      <c r="B19" s="345"/>
      <c r="C19" s="346"/>
      <c r="D19" s="346"/>
      <c r="E19" s="346"/>
      <c r="F19" s="346"/>
      <c r="G19" s="346"/>
      <c r="H19" s="346"/>
      <c r="I19" s="346"/>
      <c r="J19" s="346"/>
      <c r="K19" s="346"/>
      <c r="L19" s="347"/>
      <c r="M19" s="483"/>
    </row>
    <row r="20" spans="1:100">
      <c r="B20" s="346"/>
      <c r="C20" s="346"/>
      <c r="D20" s="346"/>
      <c r="E20" s="346"/>
      <c r="F20" s="346"/>
      <c r="G20" s="346"/>
      <c r="H20" s="346"/>
      <c r="I20" s="346"/>
      <c r="J20" s="346"/>
      <c r="K20" s="346"/>
      <c r="L20" s="348"/>
      <c r="M20" s="483"/>
    </row>
    <row r="21" spans="1:100" s="436" customFormat="1">
      <c r="B21" s="436" t="s">
        <v>316</v>
      </c>
      <c r="C21" s="849" t="str">
        <f>'Sch-6 (After Discount)'!B31</f>
        <v xml:space="preserve">  </v>
      </c>
      <c r="D21" s="850"/>
      <c r="H21" s="853" t="s">
        <v>318</v>
      </c>
      <c r="I21" s="853"/>
      <c r="J21" s="858" t="str">
        <f>'Sch-6 (After Discount)'!D31</f>
        <v/>
      </c>
      <c r="K21" s="858"/>
      <c r="L21" s="858"/>
      <c r="M21" s="858"/>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row>
    <row r="22" spans="1:100" s="436" customFormat="1" ht="16.5" customHeight="1">
      <c r="B22" s="436" t="s">
        <v>317</v>
      </c>
      <c r="C22" s="859" t="str">
        <f>'Sch-6'!B32</f>
        <v/>
      </c>
      <c r="D22" s="850"/>
      <c r="H22" s="853" t="s">
        <v>125</v>
      </c>
      <c r="I22" s="853"/>
      <c r="J22" s="858" t="str">
        <f>'Sch-6 (After Discount)'!D32</f>
        <v/>
      </c>
      <c r="K22" s="858"/>
      <c r="L22" s="858"/>
      <c r="M22" s="858"/>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row>
    <row r="23" spans="1:100">
      <c r="B23" s="851"/>
      <c r="C23" s="851"/>
      <c r="D23" s="851"/>
      <c r="E23" s="851"/>
      <c r="F23" s="851"/>
      <c r="G23" s="851"/>
      <c r="H23" s="851"/>
      <c r="I23" s="851"/>
      <c r="J23" s="851"/>
      <c r="K23" s="851"/>
      <c r="L23" s="851"/>
      <c r="M23" s="483"/>
    </row>
    <row r="24" spans="1:100">
      <c r="B24" s="349"/>
      <c r="C24" s="349"/>
      <c r="D24" s="852"/>
      <c r="E24" s="852"/>
      <c r="F24" s="852"/>
      <c r="G24" s="852"/>
      <c r="H24" s="852"/>
      <c r="I24" s="852"/>
      <c r="J24" s="852"/>
      <c r="K24" s="852"/>
      <c r="L24" s="852"/>
      <c r="M24" s="483"/>
    </row>
    <row r="25" spans="1:100">
      <c r="B25" s="350"/>
      <c r="C25" s="351"/>
      <c r="D25" s="852"/>
      <c r="E25" s="852"/>
      <c r="F25" s="852"/>
      <c r="G25" s="852"/>
      <c r="H25" s="852"/>
      <c r="I25" s="852"/>
      <c r="J25" s="852"/>
      <c r="K25" s="852"/>
      <c r="L25" s="852"/>
      <c r="M25" s="483"/>
    </row>
    <row r="26" spans="1:100">
      <c r="B26" s="350"/>
      <c r="C26" s="352"/>
      <c r="D26" s="852"/>
      <c r="E26" s="852"/>
      <c r="F26" s="852"/>
      <c r="G26" s="852"/>
      <c r="H26" s="852"/>
      <c r="I26" s="852"/>
      <c r="J26" s="852"/>
      <c r="K26" s="852"/>
      <c r="L26" s="852"/>
      <c r="M26" s="483"/>
    </row>
    <row r="27" spans="1:100">
      <c r="B27" s="22"/>
      <c r="C27" s="21"/>
      <c r="D27" s="852"/>
      <c r="E27" s="852"/>
      <c r="F27" s="852"/>
      <c r="G27" s="852"/>
      <c r="H27" s="852"/>
      <c r="I27" s="852"/>
      <c r="J27" s="852"/>
      <c r="K27" s="852"/>
      <c r="L27" s="852"/>
      <c r="M27" s="483"/>
    </row>
    <row r="28" spans="1:100">
      <c r="B28" s="22"/>
      <c r="C28" s="21"/>
      <c r="D28" s="346"/>
      <c r="E28" s="346"/>
      <c r="F28" s="346"/>
      <c r="G28" s="346"/>
      <c r="H28" s="346"/>
      <c r="I28" s="346"/>
      <c r="J28" s="346"/>
      <c r="K28" s="346"/>
      <c r="L28" s="346"/>
      <c r="M28" s="483"/>
    </row>
    <row r="29" spans="1:100">
      <c r="B29" s="353"/>
      <c r="C29" s="854"/>
      <c r="D29" s="854"/>
      <c r="E29" s="854"/>
      <c r="F29" s="854"/>
      <c r="G29" s="854"/>
      <c r="H29" s="854"/>
      <c r="I29" s="854"/>
      <c r="J29" s="854"/>
      <c r="K29" s="854"/>
      <c r="L29" s="354"/>
      <c r="M29" s="483"/>
    </row>
    <row r="59" spans="1:100" s="241" customFormat="1">
      <c r="A59" s="246"/>
      <c r="B59" s="246"/>
      <c r="C59" s="246"/>
      <c r="D59" s="246"/>
      <c r="E59" s="246"/>
      <c r="F59" s="246"/>
      <c r="G59" s="246"/>
      <c r="H59" s="246"/>
      <c r="I59" s="370"/>
      <c r="J59" s="247"/>
      <c r="K59" s="247"/>
      <c r="L59" s="247"/>
      <c r="M59" s="24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row>
    <row r="60" spans="1:100" s="241" customFormat="1">
      <c r="A60" s="246"/>
      <c r="B60" s="246"/>
      <c r="C60" s="246"/>
      <c r="D60" s="246"/>
      <c r="E60" s="246"/>
      <c r="F60" s="246"/>
      <c r="G60" s="246"/>
      <c r="H60" s="246"/>
      <c r="I60" s="370"/>
      <c r="J60" s="247"/>
      <c r="K60" s="247"/>
      <c r="L60" s="247"/>
      <c r="M60" s="24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row>
    <row r="61" spans="1:100" s="241" customFormat="1">
      <c r="A61" s="246"/>
      <c r="B61" s="246"/>
      <c r="C61" s="246"/>
      <c r="D61" s="246"/>
      <c r="E61" s="246"/>
      <c r="F61" s="246"/>
      <c r="G61" s="246"/>
      <c r="H61" s="246"/>
      <c r="I61" s="370"/>
      <c r="J61" s="247"/>
      <c r="K61" s="247"/>
      <c r="L61" s="247"/>
      <c r="M61" s="24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row>
    <row r="62" spans="1:100" ht="16.5" hidden="1" customHeight="1">
      <c r="A62" s="248" t="str">
        <f>A1</f>
        <v>Spec. No: CC/NT/W-RT/DOM/A00/23/02849</v>
      </c>
      <c r="B62" s="248"/>
      <c r="C62" s="248"/>
      <c r="D62" s="248"/>
      <c r="E62" s="248"/>
      <c r="F62" s="248"/>
      <c r="G62" s="248"/>
      <c r="H62" s="248"/>
      <c r="I62" s="371"/>
      <c r="J62" s="249"/>
      <c r="K62" s="249"/>
      <c r="L62" s="249"/>
      <c r="M62" s="249"/>
    </row>
    <row r="63" spans="1:100" ht="16.5" hidden="1" customHeight="1">
      <c r="A63" s="243"/>
      <c r="B63" s="243"/>
      <c r="C63" s="243"/>
      <c r="D63" s="243"/>
      <c r="E63" s="243"/>
      <c r="F63" s="243"/>
      <c r="G63" s="243"/>
      <c r="H63" s="243"/>
      <c r="I63" s="372"/>
      <c r="J63" s="244"/>
      <c r="K63" s="244"/>
      <c r="L63" s="244"/>
      <c r="M63" s="244"/>
    </row>
    <row r="64" spans="1:100" ht="35.25" hidden="1" customHeight="1">
      <c r="A64" s="855" t="str">
        <f>A3</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64" s="855"/>
      <c r="C64" s="855"/>
      <c r="D64" s="855"/>
      <c r="E64" s="855"/>
      <c r="F64" s="855"/>
      <c r="G64" s="855"/>
      <c r="H64" s="855"/>
      <c r="I64" s="855">
        <f>I3</f>
        <v>0</v>
      </c>
      <c r="J64" s="855">
        <f>J3</f>
        <v>0</v>
      </c>
      <c r="K64" s="855"/>
      <c r="L64" s="855"/>
      <c r="M64" s="855"/>
    </row>
    <row r="65" spans="1:13" ht="16.5" hidden="1" customHeight="1">
      <c r="A65" s="846" t="str">
        <f>A4</f>
        <v>(SCHEDULE OF RATES AND PRICES )</v>
      </c>
      <c r="B65" s="846"/>
      <c r="C65" s="846"/>
      <c r="D65" s="846"/>
      <c r="E65" s="846"/>
      <c r="F65" s="846"/>
      <c r="G65" s="846"/>
      <c r="H65" s="846"/>
      <c r="I65" s="846">
        <f>I4</f>
        <v>0</v>
      </c>
      <c r="J65" s="846">
        <f>J4</f>
        <v>0</v>
      </c>
      <c r="K65" s="846"/>
      <c r="L65" s="846"/>
      <c r="M65" s="846"/>
    </row>
    <row r="66" spans="1:13" ht="16.5" hidden="1" customHeight="1">
      <c r="A66" s="250"/>
      <c r="B66" s="250"/>
      <c r="C66" s="250"/>
      <c r="D66" s="250"/>
      <c r="E66" s="250"/>
      <c r="F66" s="250"/>
      <c r="G66" s="250"/>
      <c r="H66" s="250"/>
      <c r="I66" s="425"/>
      <c r="J66" s="427"/>
      <c r="K66" s="427"/>
      <c r="L66" s="427"/>
      <c r="M66" s="427"/>
    </row>
    <row r="67" spans="1:13" ht="16.5" hidden="1" customHeight="1">
      <c r="A67" s="251" t="e">
        <f>#REF!</f>
        <v>#REF!</v>
      </c>
      <c r="B67" s="251"/>
      <c r="C67" s="251"/>
      <c r="D67" s="251"/>
      <c r="E67" s="251"/>
      <c r="F67" s="251"/>
      <c r="G67" s="251"/>
      <c r="H67" s="251"/>
      <c r="I67" s="373"/>
      <c r="J67" s="252"/>
      <c r="K67" s="252"/>
      <c r="L67" s="252"/>
      <c r="M67" s="252"/>
    </row>
    <row r="68" spans="1:13" ht="16.5" hidden="1" customHeight="1">
      <c r="A68" s="843" t="e">
        <f>#REF!</f>
        <v>#REF!</v>
      </c>
      <c r="B68" s="843"/>
      <c r="C68" s="843"/>
      <c r="D68" s="843"/>
      <c r="E68" s="843"/>
      <c r="F68" s="843"/>
      <c r="G68" s="843"/>
      <c r="H68" s="843"/>
      <c r="I68" s="843" t="e">
        <f>#REF!</f>
        <v>#REF!</v>
      </c>
      <c r="J68" s="843" t="e">
        <f>#REF!</f>
        <v>#REF!</v>
      </c>
      <c r="K68" s="423"/>
      <c r="L68" s="423"/>
      <c r="M68" s="423"/>
    </row>
    <row r="69" spans="1:13" ht="16.5" hidden="1" customHeight="1">
      <c r="A69" s="253" t="e">
        <f>#REF!</f>
        <v>#REF!</v>
      </c>
      <c r="B69" s="253"/>
      <c r="C69" s="253"/>
      <c r="D69" s="253"/>
      <c r="E69" s="253"/>
      <c r="F69" s="253"/>
      <c r="G69" s="253"/>
      <c r="H69" s="253"/>
      <c r="I69" s="842" t="e">
        <f>#REF!</f>
        <v>#REF!</v>
      </c>
      <c r="J69" s="842" t="e">
        <f>#REF!</f>
        <v>#REF!</v>
      </c>
      <c r="K69" s="424"/>
      <c r="L69" s="424"/>
      <c r="M69" s="424"/>
    </row>
    <row r="70" spans="1:13" ht="16.5" hidden="1" customHeight="1">
      <c r="A70" s="253" t="e">
        <f>#REF!</f>
        <v>#REF!</v>
      </c>
      <c r="B70" s="253"/>
      <c r="C70" s="253"/>
      <c r="D70" s="253"/>
      <c r="E70" s="253"/>
      <c r="F70" s="253"/>
      <c r="G70" s="253"/>
      <c r="H70" s="253"/>
      <c r="I70" s="842" t="e">
        <f>#REF!</f>
        <v>#REF!</v>
      </c>
      <c r="J70" s="842" t="e">
        <f>#REF!</f>
        <v>#REF!</v>
      </c>
      <c r="K70" s="424"/>
      <c r="L70" s="424"/>
      <c r="M70" s="424"/>
    </row>
    <row r="71" spans="1:13" ht="16.5" hidden="1" customHeight="1">
      <c r="A71" s="254"/>
      <c r="B71" s="254"/>
      <c r="C71" s="254"/>
      <c r="D71" s="254"/>
      <c r="E71" s="254"/>
      <c r="F71" s="254"/>
      <c r="G71" s="254"/>
      <c r="H71" s="254"/>
      <c r="I71" s="842" t="e">
        <f>#REF!</f>
        <v>#REF!</v>
      </c>
      <c r="J71" s="842" t="e">
        <f>#REF!</f>
        <v>#REF!</v>
      </c>
      <c r="K71" s="424"/>
      <c r="L71" s="424"/>
      <c r="M71" s="424"/>
    </row>
    <row r="72" spans="1:13" ht="16.5" hidden="1" customHeight="1">
      <c r="A72" s="254"/>
      <c r="B72" s="254"/>
      <c r="C72" s="254"/>
      <c r="D72" s="254"/>
      <c r="E72" s="254"/>
      <c r="F72" s="254"/>
      <c r="G72" s="254"/>
      <c r="H72" s="254"/>
      <c r="I72" s="842">
        <f>C5</f>
        <v>0</v>
      </c>
      <c r="J72" s="842">
        <f>D5</f>
        <v>0</v>
      </c>
      <c r="K72" s="424"/>
      <c r="L72" s="424"/>
      <c r="M72" s="424"/>
    </row>
    <row r="73" spans="1:13" ht="16.5" hidden="1" customHeight="1"/>
    <row r="74" spans="1:13" ht="33.75" hidden="1" customHeight="1">
      <c r="A74" s="256" t="str">
        <f>A15</f>
        <v>SL. NO.</v>
      </c>
      <c r="B74" s="256"/>
      <c r="C74" s="256"/>
      <c r="D74" s="256"/>
      <c r="E74" s="256"/>
      <c r="F74" s="256"/>
      <c r="G74" s="256"/>
      <c r="H74" s="256"/>
      <c r="I74" s="257" t="str">
        <f>I15</f>
        <v>Description of Test</v>
      </c>
      <c r="J74" s="844" t="e">
        <f>#REF!</f>
        <v>#REF!</v>
      </c>
      <c r="K74" s="844"/>
      <c r="L74" s="844"/>
      <c r="M74" s="844"/>
    </row>
    <row r="75" spans="1:13" ht="16.5" hidden="1" customHeight="1">
      <c r="A75" s="427" t="e">
        <f>#REF!</f>
        <v>#REF!</v>
      </c>
      <c r="B75" s="427"/>
      <c r="C75" s="427"/>
      <c r="D75" s="427"/>
      <c r="E75" s="427"/>
      <c r="F75" s="427"/>
      <c r="G75" s="427"/>
      <c r="H75" s="427"/>
      <c r="I75" s="425" t="e">
        <f>#REF!</f>
        <v>#REF!</v>
      </c>
      <c r="J75" s="845" t="e">
        <f>#REF!</f>
        <v>#REF!</v>
      </c>
      <c r="K75" s="845"/>
      <c r="L75" s="845"/>
      <c r="M75" s="845"/>
    </row>
    <row r="76" spans="1:13" ht="16.5" hidden="1" customHeight="1">
      <c r="A76" s="258" t="e">
        <f>#REF!</f>
        <v>#REF!</v>
      </c>
      <c r="B76" s="258"/>
      <c r="C76" s="258"/>
      <c r="D76" s="258"/>
      <c r="E76" s="258"/>
      <c r="F76" s="258"/>
      <c r="G76" s="258"/>
      <c r="H76" s="258"/>
      <c r="I76" s="259" t="e">
        <f>#REF!</f>
        <v>#REF!</v>
      </c>
      <c r="J76" s="845"/>
      <c r="K76" s="845"/>
      <c r="L76" s="845"/>
      <c r="M76" s="845"/>
    </row>
    <row r="77" spans="1:13" ht="16.5" hidden="1" customHeight="1">
      <c r="A77" s="260" t="e">
        <f>#REF!</f>
        <v>#REF!</v>
      </c>
      <c r="B77" s="260"/>
      <c r="C77" s="260"/>
      <c r="D77" s="260"/>
      <c r="E77" s="260"/>
      <c r="F77" s="260"/>
      <c r="G77" s="260"/>
      <c r="H77" s="260"/>
      <c r="I77" s="261" t="e">
        <f>#REF!</f>
        <v>#REF!</v>
      </c>
      <c r="J77" s="840" t="e">
        <f>#REF!</f>
        <v>#REF!</v>
      </c>
      <c r="K77" s="840"/>
      <c r="L77" s="840"/>
      <c r="M77" s="840"/>
    </row>
    <row r="78" spans="1:13" ht="16.5" hidden="1" customHeight="1">
      <c r="A78" s="260" t="e">
        <f>#REF!</f>
        <v>#REF!</v>
      </c>
      <c r="B78" s="260"/>
      <c r="C78" s="260"/>
      <c r="D78" s="260"/>
      <c r="E78" s="260"/>
      <c r="F78" s="260"/>
      <c r="G78" s="260"/>
      <c r="H78" s="260"/>
      <c r="I78" s="261" t="e">
        <f>#REF!</f>
        <v>#REF!</v>
      </c>
      <c r="J78" s="840" t="e">
        <f>#REF!</f>
        <v>#REF!</v>
      </c>
      <c r="K78" s="840"/>
      <c r="L78" s="840"/>
      <c r="M78" s="840"/>
    </row>
    <row r="79" spans="1:13" ht="20.100000000000001" hidden="1" customHeight="1">
      <c r="A79" s="262"/>
      <c r="B79" s="262"/>
      <c r="C79" s="262"/>
      <c r="D79" s="262"/>
      <c r="E79" s="262"/>
      <c r="F79" s="262"/>
      <c r="G79" s="262"/>
      <c r="H79" s="262"/>
      <c r="I79" s="259" t="e">
        <f>#REF!</f>
        <v>#REF!</v>
      </c>
      <c r="J79" s="840" t="e">
        <f>#REF!</f>
        <v>#REF!</v>
      </c>
      <c r="K79" s="840"/>
      <c r="L79" s="840"/>
      <c r="M79" s="840"/>
    </row>
    <row r="80" spans="1:13" ht="16.5" hidden="1" customHeight="1">
      <c r="A80" s="258" t="e">
        <f>#REF!</f>
        <v>#REF!</v>
      </c>
      <c r="B80" s="258"/>
      <c r="C80" s="258"/>
      <c r="D80" s="258"/>
      <c r="E80" s="258"/>
      <c r="F80" s="258"/>
      <c r="G80" s="258"/>
      <c r="H80" s="258"/>
      <c r="I80" s="259" t="e">
        <f>#REF!</f>
        <v>#REF!</v>
      </c>
      <c r="J80" s="840"/>
      <c r="K80" s="840"/>
      <c r="L80" s="840"/>
      <c r="M80" s="840"/>
    </row>
    <row r="81" spans="1:100" ht="16.5" hidden="1" customHeight="1">
      <c r="A81" s="263" t="e">
        <f>#REF!</f>
        <v>#REF!</v>
      </c>
      <c r="B81" s="263"/>
      <c r="C81" s="263"/>
      <c r="D81" s="263"/>
      <c r="E81" s="263"/>
      <c r="F81" s="263"/>
      <c r="G81" s="263"/>
      <c r="H81" s="263"/>
      <c r="I81" s="259" t="e">
        <f>#REF!</f>
        <v>#REF!</v>
      </c>
      <c r="J81" s="840"/>
      <c r="K81" s="840"/>
      <c r="L81" s="840"/>
      <c r="M81" s="840"/>
    </row>
    <row r="82" spans="1:100" ht="16.5" hidden="1" customHeight="1">
      <c r="A82" s="264" t="e">
        <f>#REF!</f>
        <v>#REF!</v>
      </c>
      <c r="B82" s="264"/>
      <c r="C82" s="264"/>
      <c r="D82" s="264"/>
      <c r="E82" s="264"/>
      <c r="F82" s="264"/>
      <c r="G82" s="264"/>
      <c r="H82" s="264"/>
      <c r="I82" s="259" t="e">
        <f>#REF!</f>
        <v>#REF!</v>
      </c>
      <c r="J82" s="840"/>
      <c r="K82" s="840"/>
      <c r="L82" s="840"/>
      <c r="M82" s="840"/>
    </row>
    <row r="83" spans="1:100" ht="16.5" hidden="1" customHeight="1">
      <c r="A83" s="260" t="e">
        <f>#REF!</f>
        <v>#REF!</v>
      </c>
      <c r="B83" s="260"/>
      <c r="C83" s="260"/>
      <c r="D83" s="260"/>
      <c r="E83" s="260"/>
      <c r="F83" s="260"/>
      <c r="G83" s="260"/>
      <c r="H83" s="260"/>
      <c r="I83" s="261" t="e">
        <f>#REF!</f>
        <v>#REF!</v>
      </c>
      <c r="J83" s="840" t="e">
        <f>#REF!</f>
        <v>#REF!</v>
      </c>
      <c r="K83" s="840"/>
      <c r="L83" s="840"/>
      <c r="M83" s="840"/>
    </row>
    <row r="84" spans="1:100" ht="16.5" hidden="1" customHeight="1">
      <c r="A84" s="260" t="e">
        <f>#REF!</f>
        <v>#REF!</v>
      </c>
      <c r="B84" s="260"/>
      <c r="C84" s="260"/>
      <c r="D84" s="260"/>
      <c r="E84" s="260"/>
      <c r="F84" s="260"/>
      <c r="G84" s="260"/>
      <c r="H84" s="260"/>
      <c r="I84" s="261" t="e">
        <f>#REF!</f>
        <v>#REF!</v>
      </c>
      <c r="J84" s="840" t="e">
        <f>#REF!</f>
        <v>#REF!</v>
      </c>
      <c r="K84" s="840"/>
      <c r="L84" s="840"/>
      <c r="M84" s="840"/>
    </row>
    <row r="85" spans="1:100" ht="16.5" hidden="1" customHeight="1">
      <c r="A85" s="260" t="e">
        <f>#REF!</f>
        <v>#REF!</v>
      </c>
      <c r="B85" s="260"/>
      <c r="C85" s="260"/>
      <c r="D85" s="260"/>
      <c r="E85" s="260"/>
      <c r="F85" s="260"/>
      <c r="G85" s="260"/>
      <c r="H85" s="260"/>
      <c r="I85" s="261" t="e">
        <f>#REF!</f>
        <v>#REF!</v>
      </c>
      <c r="J85" s="840" t="e">
        <f>#REF!</f>
        <v>#REF!</v>
      </c>
      <c r="K85" s="840"/>
      <c r="L85" s="840"/>
      <c r="M85" s="840"/>
    </row>
    <row r="86" spans="1:100" ht="16.5" hidden="1" customHeight="1">
      <c r="A86" s="260" t="e">
        <f>#REF!</f>
        <v>#REF!</v>
      </c>
      <c r="B86" s="260"/>
      <c r="C86" s="260"/>
      <c r="D86" s="260"/>
      <c r="E86" s="260"/>
      <c r="F86" s="260"/>
      <c r="G86" s="260"/>
      <c r="H86" s="260"/>
      <c r="I86" s="261" t="e">
        <f>#REF!</f>
        <v>#REF!</v>
      </c>
      <c r="J86" s="840" t="e">
        <f>#REF!</f>
        <v>#REF!</v>
      </c>
      <c r="K86" s="840"/>
      <c r="L86" s="840"/>
      <c r="M86" s="840"/>
    </row>
    <row r="87" spans="1:100" ht="16.5" hidden="1" customHeight="1">
      <c r="A87" s="260"/>
      <c r="B87" s="260"/>
      <c r="C87" s="260"/>
      <c r="D87" s="260"/>
      <c r="E87" s="260"/>
      <c r="F87" s="260"/>
      <c r="G87" s="260"/>
      <c r="H87" s="260"/>
      <c r="I87" s="259" t="e">
        <f>#REF!</f>
        <v>#REF!</v>
      </c>
      <c r="J87" s="840" t="e">
        <f>#REF!</f>
        <v>#REF!</v>
      </c>
      <c r="K87" s="840"/>
      <c r="L87" s="840"/>
      <c r="M87" s="840"/>
    </row>
    <row r="88" spans="1:100" ht="20.100000000000001" hidden="1" customHeight="1">
      <c r="A88" s="264" t="e">
        <f>#REF!</f>
        <v>#REF!</v>
      </c>
      <c r="B88" s="264"/>
      <c r="C88" s="264"/>
      <c r="D88" s="264"/>
      <c r="E88" s="264"/>
      <c r="F88" s="264"/>
      <c r="G88" s="264"/>
      <c r="H88" s="264"/>
      <c r="I88" s="259" t="e">
        <f>#REF!</f>
        <v>#REF!</v>
      </c>
      <c r="J88" s="840"/>
      <c r="K88" s="840"/>
      <c r="L88" s="840"/>
      <c r="M88" s="840"/>
    </row>
    <row r="89" spans="1:100" ht="16.5" hidden="1" customHeight="1">
      <c r="A89" s="260" t="e">
        <f>#REF!</f>
        <v>#REF!</v>
      </c>
      <c r="B89" s="260"/>
      <c r="C89" s="260"/>
      <c r="D89" s="260"/>
      <c r="E89" s="260"/>
      <c r="F89" s="260"/>
      <c r="G89" s="260"/>
      <c r="H89" s="260"/>
      <c r="I89" s="261" t="e">
        <f>#REF!</f>
        <v>#REF!</v>
      </c>
      <c r="J89" s="840" t="e">
        <f>#REF!</f>
        <v>#REF!</v>
      </c>
      <c r="K89" s="840"/>
      <c r="L89" s="840"/>
      <c r="M89" s="840"/>
    </row>
    <row r="90" spans="1:100" ht="16.5" hidden="1" customHeight="1">
      <c r="A90" s="260" t="e">
        <f>#REF!</f>
        <v>#REF!</v>
      </c>
      <c r="B90" s="260"/>
      <c r="C90" s="260"/>
      <c r="D90" s="260"/>
      <c r="E90" s="260"/>
      <c r="F90" s="260"/>
      <c r="G90" s="260"/>
      <c r="H90" s="260"/>
      <c r="I90" s="261" t="e">
        <f>#REF!</f>
        <v>#REF!</v>
      </c>
      <c r="J90" s="840" t="e">
        <f>#REF!</f>
        <v>#REF!</v>
      </c>
      <c r="K90" s="840"/>
      <c r="L90" s="840"/>
      <c r="M90" s="840"/>
    </row>
    <row r="91" spans="1:100" ht="20.100000000000001" hidden="1" customHeight="1">
      <c r="A91" s="260" t="e">
        <f>#REF!</f>
        <v>#REF!</v>
      </c>
      <c r="B91" s="260"/>
      <c r="C91" s="260"/>
      <c r="D91" s="260"/>
      <c r="E91" s="260"/>
      <c r="F91" s="260"/>
      <c r="G91" s="260"/>
      <c r="H91" s="260"/>
      <c r="I91" s="261" t="e">
        <f>#REF!</f>
        <v>#REF!</v>
      </c>
      <c r="J91" s="840" t="e">
        <f>#REF!</f>
        <v>#REF!</v>
      </c>
      <c r="K91" s="840"/>
      <c r="L91" s="840"/>
      <c r="M91" s="840"/>
    </row>
    <row r="92" spans="1:100" ht="16.5" hidden="1" customHeight="1">
      <c r="A92" s="260" t="e">
        <f>#REF!</f>
        <v>#REF!</v>
      </c>
      <c r="B92" s="260"/>
      <c r="C92" s="260"/>
      <c r="D92" s="260"/>
      <c r="E92" s="260"/>
      <c r="F92" s="260"/>
      <c r="G92" s="260"/>
      <c r="H92" s="260"/>
      <c r="I92" s="261" t="e">
        <f>#REF!</f>
        <v>#REF!</v>
      </c>
      <c r="J92" s="840" t="e">
        <f>#REF!</f>
        <v>#REF!</v>
      </c>
      <c r="K92" s="840"/>
      <c r="L92" s="840"/>
      <c r="M92" s="840"/>
    </row>
    <row r="93" spans="1:100" s="266" customFormat="1" ht="20.100000000000001" hidden="1" customHeight="1">
      <c r="A93" s="265"/>
      <c r="B93" s="265"/>
      <c r="C93" s="265"/>
      <c r="D93" s="265"/>
      <c r="E93" s="265"/>
      <c r="F93" s="265"/>
      <c r="G93" s="265"/>
      <c r="H93" s="265"/>
      <c r="I93" s="259" t="e">
        <f>#REF!</f>
        <v>#REF!</v>
      </c>
      <c r="J93" s="840" t="e">
        <f>#REF!</f>
        <v>#REF!</v>
      </c>
      <c r="K93" s="840"/>
      <c r="L93" s="840"/>
      <c r="M93" s="840"/>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row>
    <row r="94" spans="1:100" ht="24" hidden="1" customHeight="1">
      <c r="A94" s="264" t="e">
        <f>#REF!</f>
        <v>#REF!</v>
      </c>
      <c r="B94" s="264"/>
      <c r="C94" s="264"/>
      <c r="D94" s="264"/>
      <c r="E94" s="264"/>
      <c r="F94" s="264"/>
      <c r="G94" s="264"/>
      <c r="H94" s="264"/>
      <c r="I94" s="259" t="e">
        <f>#REF!</f>
        <v>#REF!</v>
      </c>
      <c r="J94" s="840"/>
      <c r="K94" s="840"/>
      <c r="L94" s="840"/>
      <c r="M94" s="840"/>
    </row>
    <row r="95" spans="1:100" ht="16.5" hidden="1" customHeight="1">
      <c r="A95" s="260" t="e">
        <f>#REF!</f>
        <v>#REF!</v>
      </c>
      <c r="B95" s="260"/>
      <c r="C95" s="260"/>
      <c r="D95" s="260"/>
      <c r="E95" s="260"/>
      <c r="F95" s="260"/>
      <c r="G95" s="260"/>
      <c r="H95" s="260"/>
      <c r="I95" s="261" t="e">
        <f>#REF!</f>
        <v>#REF!</v>
      </c>
      <c r="J95" s="840" t="e">
        <f>#REF!</f>
        <v>#REF!</v>
      </c>
      <c r="K95" s="840"/>
      <c r="L95" s="840"/>
      <c r="M95" s="840"/>
    </row>
    <row r="96" spans="1:100" ht="16.5" hidden="1" customHeight="1">
      <c r="A96" s="260" t="e">
        <f>#REF!</f>
        <v>#REF!</v>
      </c>
      <c r="B96" s="260"/>
      <c r="C96" s="260"/>
      <c r="D96" s="260"/>
      <c r="E96" s="260"/>
      <c r="F96" s="260"/>
      <c r="G96" s="260"/>
      <c r="H96" s="260"/>
      <c r="I96" s="261" t="e">
        <f>#REF!</f>
        <v>#REF!</v>
      </c>
      <c r="J96" s="840" t="e">
        <f>#REF!</f>
        <v>#REF!</v>
      </c>
      <c r="K96" s="840"/>
      <c r="L96" s="840"/>
      <c r="M96" s="840"/>
    </row>
    <row r="97" spans="1:100" ht="33" hidden="1" customHeight="1">
      <c r="A97" s="260" t="e">
        <f>#REF!</f>
        <v>#REF!</v>
      </c>
      <c r="B97" s="260"/>
      <c r="C97" s="260"/>
      <c r="D97" s="260"/>
      <c r="E97" s="260"/>
      <c r="F97" s="260"/>
      <c r="G97" s="260"/>
      <c r="H97" s="260"/>
      <c r="I97" s="261" t="e">
        <f>#REF!</f>
        <v>#REF!</v>
      </c>
      <c r="J97" s="840" t="e">
        <f>#REF!</f>
        <v>#REF!</v>
      </c>
      <c r="K97" s="840"/>
      <c r="L97" s="840"/>
      <c r="M97" s="840"/>
    </row>
    <row r="98" spans="1:100" s="266" customFormat="1" ht="20.100000000000001" hidden="1" customHeight="1">
      <c r="A98" s="260"/>
      <c r="B98" s="260"/>
      <c r="C98" s="260"/>
      <c r="D98" s="260"/>
      <c r="E98" s="260"/>
      <c r="F98" s="260"/>
      <c r="G98" s="260"/>
      <c r="H98" s="260"/>
      <c r="I98" s="259" t="e">
        <f>#REF!</f>
        <v>#REF!</v>
      </c>
      <c r="J98" s="840" t="e">
        <f>#REF!</f>
        <v>#REF!</v>
      </c>
      <c r="K98" s="840"/>
      <c r="L98" s="840"/>
      <c r="M98" s="840"/>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row>
    <row r="99" spans="1:100" ht="20.100000000000001" hidden="1" customHeight="1">
      <c r="A99" s="264" t="e">
        <f>#REF!</f>
        <v>#REF!</v>
      </c>
      <c r="B99" s="264"/>
      <c r="C99" s="264"/>
      <c r="D99" s="264"/>
      <c r="E99" s="264"/>
      <c r="F99" s="264"/>
      <c r="G99" s="264"/>
      <c r="H99" s="264"/>
      <c r="I99" s="259" t="e">
        <f>#REF!</f>
        <v>#REF!</v>
      </c>
      <c r="J99" s="840"/>
      <c r="K99" s="840"/>
      <c r="L99" s="840"/>
      <c r="M99" s="840"/>
    </row>
    <row r="100" spans="1:100" ht="16.5" hidden="1" customHeight="1">
      <c r="A100" s="260" t="e">
        <f>#REF!</f>
        <v>#REF!</v>
      </c>
      <c r="B100" s="260"/>
      <c r="C100" s="260"/>
      <c r="D100" s="260"/>
      <c r="E100" s="260"/>
      <c r="F100" s="260"/>
      <c r="G100" s="260"/>
      <c r="H100" s="260"/>
      <c r="I100" s="261" t="e">
        <f>#REF!</f>
        <v>#REF!</v>
      </c>
      <c r="J100" s="840" t="e">
        <f>#REF!</f>
        <v>#REF!</v>
      </c>
      <c r="K100" s="840"/>
      <c r="L100" s="840"/>
      <c r="M100" s="840"/>
    </row>
    <row r="101" spans="1:100" ht="16.5" hidden="1" customHeight="1">
      <c r="A101" s="260" t="e">
        <f>#REF!</f>
        <v>#REF!</v>
      </c>
      <c r="B101" s="260"/>
      <c r="C101" s="260"/>
      <c r="D101" s="260"/>
      <c r="E101" s="260"/>
      <c r="F101" s="260"/>
      <c r="G101" s="260"/>
      <c r="H101" s="260"/>
      <c r="I101" s="261" t="e">
        <f>#REF!</f>
        <v>#REF!</v>
      </c>
      <c r="J101" s="840" t="e">
        <f>#REF!</f>
        <v>#REF!</v>
      </c>
      <c r="K101" s="840"/>
      <c r="L101" s="840"/>
      <c r="M101" s="840"/>
    </row>
    <row r="102" spans="1:100" ht="16.5" hidden="1" customHeight="1">
      <c r="A102" s="260" t="e">
        <f>#REF!</f>
        <v>#REF!</v>
      </c>
      <c r="B102" s="260"/>
      <c r="C102" s="260"/>
      <c r="D102" s="260"/>
      <c r="E102" s="260"/>
      <c r="F102" s="260"/>
      <c r="G102" s="260"/>
      <c r="H102" s="260"/>
      <c r="I102" s="261" t="e">
        <f>#REF!</f>
        <v>#REF!</v>
      </c>
      <c r="J102" s="840" t="e">
        <f>#REF!</f>
        <v>#REF!</v>
      </c>
      <c r="K102" s="840"/>
      <c r="L102" s="840"/>
      <c r="M102" s="840"/>
    </row>
    <row r="103" spans="1:100" ht="16.5" hidden="1" customHeight="1">
      <c r="A103" s="260"/>
      <c r="B103" s="260"/>
      <c r="C103" s="260"/>
      <c r="D103" s="260"/>
      <c r="E103" s="260"/>
      <c r="F103" s="260"/>
      <c r="G103" s="260"/>
      <c r="H103" s="260"/>
      <c r="I103" s="259" t="e">
        <f>#REF!</f>
        <v>#REF!</v>
      </c>
      <c r="J103" s="840" t="e">
        <f>#REF!</f>
        <v>#REF!</v>
      </c>
      <c r="K103" s="840"/>
      <c r="L103" s="840"/>
      <c r="M103" s="840"/>
    </row>
    <row r="104" spans="1:100" ht="20.100000000000001" hidden="1" customHeight="1">
      <c r="A104" s="264" t="e">
        <f>#REF!</f>
        <v>#REF!</v>
      </c>
      <c r="B104" s="264"/>
      <c r="C104" s="264"/>
      <c r="D104" s="264"/>
      <c r="E104" s="264"/>
      <c r="F104" s="264"/>
      <c r="G104" s="264"/>
      <c r="H104" s="264"/>
      <c r="I104" s="259" t="e">
        <f>#REF!</f>
        <v>#REF!</v>
      </c>
      <c r="J104" s="840"/>
      <c r="K104" s="840"/>
      <c r="L104" s="840"/>
      <c r="M104" s="840"/>
    </row>
    <row r="105" spans="1:100" ht="16.5" hidden="1" customHeight="1">
      <c r="A105" s="260" t="e">
        <f>#REF!</f>
        <v>#REF!</v>
      </c>
      <c r="B105" s="260"/>
      <c r="C105" s="260"/>
      <c r="D105" s="260"/>
      <c r="E105" s="260"/>
      <c r="F105" s="260"/>
      <c r="G105" s="260"/>
      <c r="H105" s="260"/>
      <c r="I105" s="261" t="e">
        <f>#REF!</f>
        <v>#REF!</v>
      </c>
      <c r="J105" s="840" t="e">
        <f>#REF!</f>
        <v>#REF!</v>
      </c>
      <c r="K105" s="840"/>
      <c r="L105" s="840"/>
      <c r="M105" s="840"/>
    </row>
    <row r="106" spans="1:100" ht="16.5" hidden="1" customHeight="1">
      <c r="A106" s="260" t="e">
        <f>#REF!</f>
        <v>#REF!</v>
      </c>
      <c r="B106" s="260"/>
      <c r="C106" s="260"/>
      <c r="D106" s="260"/>
      <c r="E106" s="260"/>
      <c r="F106" s="260"/>
      <c r="G106" s="260"/>
      <c r="H106" s="260"/>
      <c r="I106" s="261" t="e">
        <f>#REF!</f>
        <v>#REF!</v>
      </c>
      <c r="J106" s="840" t="e">
        <f>#REF!</f>
        <v>#REF!</v>
      </c>
      <c r="K106" s="840"/>
      <c r="L106" s="840"/>
      <c r="M106" s="840"/>
    </row>
    <row r="107" spans="1:100" ht="16.5" hidden="1" customHeight="1">
      <c r="A107" s="260" t="e">
        <f>#REF!</f>
        <v>#REF!</v>
      </c>
      <c r="B107" s="260"/>
      <c r="C107" s="260"/>
      <c r="D107" s="260"/>
      <c r="E107" s="260"/>
      <c r="F107" s="260"/>
      <c r="G107" s="260"/>
      <c r="H107" s="260"/>
      <c r="I107" s="261" t="e">
        <f>#REF!</f>
        <v>#REF!</v>
      </c>
      <c r="J107" s="840" t="e">
        <f>#REF!</f>
        <v>#REF!</v>
      </c>
      <c r="K107" s="840"/>
      <c r="L107" s="840"/>
      <c r="M107" s="840"/>
    </row>
    <row r="108" spans="1:100" ht="16.5" hidden="1" customHeight="1">
      <c r="A108" s="260" t="e">
        <f>#REF!</f>
        <v>#REF!</v>
      </c>
      <c r="B108" s="260"/>
      <c r="C108" s="260"/>
      <c r="D108" s="260"/>
      <c r="E108" s="260"/>
      <c r="F108" s="260"/>
      <c r="G108" s="260"/>
      <c r="H108" s="260"/>
      <c r="I108" s="261" t="e">
        <f>#REF!</f>
        <v>#REF!</v>
      </c>
      <c r="J108" s="840" t="e">
        <f>#REF!</f>
        <v>#REF!</v>
      </c>
      <c r="K108" s="840"/>
      <c r="L108" s="840"/>
      <c r="M108" s="840"/>
    </row>
    <row r="109" spans="1:100" s="266" customFormat="1" ht="20.100000000000001" hidden="1" customHeight="1">
      <c r="A109" s="260"/>
      <c r="B109" s="260"/>
      <c r="C109" s="260"/>
      <c r="D109" s="260"/>
      <c r="E109" s="260"/>
      <c r="F109" s="260"/>
      <c r="G109" s="260"/>
      <c r="H109" s="260"/>
      <c r="I109" s="259" t="e">
        <f>#REF!</f>
        <v>#REF!</v>
      </c>
      <c r="J109" s="840" t="e">
        <f>#REF!</f>
        <v>#REF!</v>
      </c>
      <c r="K109" s="840"/>
      <c r="L109" s="840"/>
      <c r="M109" s="840"/>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row>
    <row r="110" spans="1:100" ht="20.100000000000001" hidden="1" customHeight="1">
      <c r="A110" s="267"/>
      <c r="B110" s="267"/>
      <c r="C110" s="267"/>
      <c r="D110" s="267"/>
      <c r="E110" s="267"/>
      <c r="F110" s="267"/>
      <c r="G110" s="267"/>
      <c r="H110" s="267"/>
      <c r="I110" s="259" t="e">
        <f>#REF!</f>
        <v>#REF!</v>
      </c>
      <c r="J110" s="840" t="e">
        <f>#REF!</f>
        <v>#REF!</v>
      </c>
      <c r="K110" s="840"/>
      <c r="L110" s="840"/>
      <c r="M110" s="840"/>
    </row>
    <row r="111" spans="1:100" ht="16.5" hidden="1" customHeight="1">
      <c r="A111" s="267"/>
      <c r="B111" s="267"/>
      <c r="C111" s="267"/>
      <c r="D111" s="267"/>
      <c r="E111" s="267"/>
      <c r="F111" s="267"/>
      <c r="G111" s="267"/>
      <c r="H111" s="267"/>
      <c r="I111" s="259"/>
      <c r="J111" s="840"/>
      <c r="K111" s="840"/>
      <c r="L111" s="840"/>
      <c r="M111" s="840"/>
    </row>
    <row r="112" spans="1:100" ht="20.100000000000001" hidden="1" customHeight="1">
      <c r="A112" s="263" t="e">
        <f>#REF!</f>
        <v>#REF!</v>
      </c>
      <c r="B112" s="263"/>
      <c r="C112" s="263"/>
      <c r="D112" s="263"/>
      <c r="E112" s="263"/>
      <c r="F112" s="263"/>
      <c r="G112" s="263"/>
      <c r="H112" s="263"/>
      <c r="I112" s="259" t="e">
        <f>#REF!</f>
        <v>#REF!</v>
      </c>
      <c r="J112" s="840"/>
      <c r="K112" s="840"/>
      <c r="L112" s="840"/>
      <c r="M112" s="840"/>
    </row>
    <row r="113" spans="1:13" ht="30" hidden="1" customHeight="1">
      <c r="A113" s="264" t="e">
        <f>#REF!</f>
        <v>#REF!</v>
      </c>
      <c r="B113" s="264"/>
      <c r="C113" s="264"/>
      <c r="D113" s="264"/>
      <c r="E113" s="264"/>
      <c r="F113" s="264"/>
      <c r="G113" s="264"/>
      <c r="H113" s="264"/>
      <c r="I113" s="259" t="e">
        <f>#REF!</f>
        <v>#REF!</v>
      </c>
      <c r="J113" s="840"/>
      <c r="K113" s="840"/>
      <c r="L113" s="840"/>
      <c r="M113" s="840"/>
    </row>
    <row r="114" spans="1:13" ht="16.5" hidden="1" customHeight="1">
      <c r="A114" s="260" t="e">
        <f>#REF!</f>
        <v>#REF!</v>
      </c>
      <c r="B114" s="260"/>
      <c r="C114" s="260"/>
      <c r="D114" s="260"/>
      <c r="E114" s="260"/>
      <c r="F114" s="260"/>
      <c r="G114" s="260"/>
      <c r="H114" s="260"/>
      <c r="I114" s="261" t="e">
        <f>#REF!</f>
        <v>#REF!</v>
      </c>
      <c r="J114" s="840" t="e">
        <f>#REF!</f>
        <v>#REF!</v>
      </c>
      <c r="K114" s="840"/>
      <c r="L114" s="840"/>
      <c r="M114" s="840"/>
    </row>
    <row r="115" spans="1:13" ht="16.5" hidden="1" customHeight="1">
      <c r="A115" s="260" t="e">
        <f>#REF!</f>
        <v>#REF!</v>
      </c>
      <c r="B115" s="260"/>
      <c r="C115" s="260"/>
      <c r="D115" s="260"/>
      <c r="E115" s="260"/>
      <c r="F115" s="260"/>
      <c r="G115" s="260"/>
      <c r="H115" s="260"/>
      <c r="I115" s="261" t="e">
        <f>#REF!</f>
        <v>#REF!</v>
      </c>
      <c r="J115" s="840" t="e">
        <f>#REF!</f>
        <v>#REF!</v>
      </c>
      <c r="K115" s="840"/>
      <c r="L115" s="840"/>
      <c r="M115" s="840"/>
    </row>
    <row r="116" spans="1:13" ht="16.5" hidden="1" customHeight="1">
      <c r="A116" s="260" t="e">
        <f>#REF!</f>
        <v>#REF!</v>
      </c>
      <c r="B116" s="260"/>
      <c r="C116" s="260"/>
      <c r="D116" s="260"/>
      <c r="E116" s="260"/>
      <c r="F116" s="260"/>
      <c r="G116" s="260"/>
      <c r="H116" s="260"/>
      <c r="I116" s="261" t="e">
        <f>#REF!</f>
        <v>#REF!</v>
      </c>
      <c r="J116" s="840" t="e">
        <f>#REF!</f>
        <v>#REF!</v>
      </c>
      <c r="K116" s="840"/>
      <c r="L116" s="840"/>
      <c r="M116" s="840"/>
    </row>
    <row r="117" spans="1:13" ht="20.100000000000001" hidden="1" customHeight="1">
      <c r="A117" s="268"/>
      <c r="B117" s="268"/>
      <c r="C117" s="268"/>
      <c r="D117" s="268"/>
      <c r="E117" s="268"/>
      <c r="F117" s="268"/>
      <c r="G117" s="268"/>
      <c r="H117" s="268"/>
      <c r="I117" s="259" t="e">
        <f>#REF!</f>
        <v>#REF!</v>
      </c>
      <c r="J117" s="840" t="e">
        <f>#REF!</f>
        <v>#REF!</v>
      </c>
      <c r="K117" s="840"/>
      <c r="L117" s="840"/>
      <c r="M117" s="840"/>
    </row>
    <row r="118" spans="1:13" ht="20.100000000000001" hidden="1" customHeight="1">
      <c r="A118" s="267"/>
      <c r="B118" s="267"/>
      <c r="C118" s="267"/>
      <c r="D118" s="267"/>
      <c r="E118" s="267"/>
      <c r="F118" s="267"/>
      <c r="G118" s="267"/>
      <c r="H118" s="267"/>
      <c r="I118" s="259" t="e">
        <f>#REF!</f>
        <v>#REF!</v>
      </c>
      <c r="J118" s="840" t="e">
        <f>#REF!</f>
        <v>#REF!</v>
      </c>
      <c r="K118" s="840"/>
      <c r="L118" s="840"/>
      <c r="M118" s="840"/>
    </row>
    <row r="119" spans="1:13" ht="20.100000000000001" hidden="1" customHeight="1">
      <c r="A119" s="258" t="e">
        <f>#REF!</f>
        <v>#REF!</v>
      </c>
      <c r="B119" s="258"/>
      <c r="C119" s="258"/>
      <c r="D119" s="258"/>
      <c r="E119" s="258"/>
      <c r="F119" s="258"/>
      <c r="G119" s="258"/>
      <c r="H119" s="258"/>
      <c r="I119" s="259" t="e">
        <f>#REF!</f>
        <v>#REF!</v>
      </c>
      <c r="J119" s="840"/>
      <c r="K119" s="840"/>
      <c r="L119" s="840"/>
      <c r="M119" s="840"/>
    </row>
    <row r="120" spans="1:13" ht="30" hidden="1" customHeight="1">
      <c r="A120" s="263" t="e">
        <f>#REF!</f>
        <v>#REF!</v>
      </c>
      <c r="B120" s="263"/>
      <c r="C120" s="263"/>
      <c r="D120" s="263"/>
      <c r="E120" s="263"/>
      <c r="F120" s="263"/>
      <c r="G120" s="263"/>
      <c r="H120" s="263"/>
      <c r="I120" s="259" t="e">
        <f>#REF!</f>
        <v>#REF!</v>
      </c>
      <c r="J120" s="840"/>
      <c r="K120" s="840"/>
      <c r="L120" s="840"/>
      <c r="M120" s="840"/>
    </row>
    <row r="121" spans="1:13" ht="20.100000000000001" hidden="1" customHeight="1">
      <c r="A121" s="260" t="e">
        <f>#REF!</f>
        <v>#REF!</v>
      </c>
      <c r="B121" s="260"/>
      <c r="C121" s="260"/>
      <c r="D121" s="260"/>
      <c r="E121" s="260"/>
      <c r="F121" s="260"/>
      <c r="G121" s="260"/>
      <c r="H121" s="260"/>
      <c r="I121" s="261" t="e">
        <f>#REF!</f>
        <v>#REF!</v>
      </c>
      <c r="J121" s="840" t="e">
        <f>#REF!</f>
        <v>#REF!</v>
      </c>
      <c r="K121" s="840"/>
      <c r="L121" s="840"/>
      <c r="M121" s="840"/>
    </row>
    <row r="122" spans="1:13" ht="20.100000000000001" hidden="1" customHeight="1">
      <c r="A122" s="260" t="e">
        <f>#REF!</f>
        <v>#REF!</v>
      </c>
      <c r="B122" s="260"/>
      <c r="C122" s="260"/>
      <c r="D122" s="260"/>
      <c r="E122" s="260"/>
      <c r="F122" s="260"/>
      <c r="G122" s="260"/>
      <c r="H122" s="260"/>
      <c r="I122" s="261" t="e">
        <f>#REF!</f>
        <v>#REF!</v>
      </c>
      <c r="J122" s="840" t="e">
        <f>#REF!</f>
        <v>#REF!</v>
      </c>
      <c r="K122" s="840"/>
      <c r="L122" s="840"/>
      <c r="M122" s="840"/>
    </row>
    <row r="123" spans="1:13" ht="20.100000000000001" hidden="1" customHeight="1">
      <c r="A123" s="260" t="e">
        <f>#REF!</f>
        <v>#REF!</v>
      </c>
      <c r="B123" s="260"/>
      <c r="C123" s="260"/>
      <c r="D123" s="260"/>
      <c r="E123" s="260"/>
      <c r="F123" s="260"/>
      <c r="G123" s="260"/>
      <c r="H123" s="260"/>
      <c r="I123" s="261" t="e">
        <f>#REF!</f>
        <v>#REF!</v>
      </c>
      <c r="J123" s="840" t="e">
        <f>#REF!</f>
        <v>#REF!</v>
      </c>
      <c r="K123" s="840"/>
      <c r="L123" s="840"/>
      <c r="M123" s="840"/>
    </row>
    <row r="124" spans="1:13" ht="20.100000000000001" hidden="1" customHeight="1">
      <c r="A124" s="260" t="e">
        <f>#REF!</f>
        <v>#REF!</v>
      </c>
      <c r="B124" s="260"/>
      <c r="C124" s="260"/>
      <c r="D124" s="260"/>
      <c r="E124" s="260"/>
      <c r="F124" s="260"/>
      <c r="G124" s="260"/>
      <c r="H124" s="260"/>
      <c r="I124" s="261" t="e">
        <f>#REF!</f>
        <v>#REF!</v>
      </c>
      <c r="J124" s="840" t="e">
        <f>#REF!</f>
        <v>#REF!</v>
      </c>
      <c r="K124" s="840"/>
      <c r="L124" s="840"/>
      <c r="M124" s="840"/>
    </row>
    <row r="125" spans="1:13" ht="20.100000000000001" hidden="1" customHeight="1">
      <c r="A125" s="260" t="e">
        <f>#REF!</f>
        <v>#REF!</v>
      </c>
      <c r="B125" s="260"/>
      <c r="C125" s="260"/>
      <c r="D125" s="260"/>
      <c r="E125" s="260"/>
      <c r="F125" s="260"/>
      <c r="G125" s="260"/>
      <c r="H125" s="260"/>
      <c r="I125" s="261" t="e">
        <f>#REF!</f>
        <v>#REF!</v>
      </c>
      <c r="J125" s="840" t="e">
        <f>#REF!</f>
        <v>#REF!</v>
      </c>
      <c r="K125" s="840"/>
      <c r="L125" s="840"/>
      <c r="M125" s="840"/>
    </row>
    <row r="126" spans="1:13" ht="20.100000000000001" hidden="1" customHeight="1">
      <c r="A126" s="262"/>
      <c r="B126" s="262"/>
      <c r="C126" s="262"/>
      <c r="D126" s="262"/>
      <c r="E126" s="262"/>
      <c r="F126" s="262"/>
      <c r="G126" s="262"/>
      <c r="H126" s="262"/>
      <c r="I126" s="259" t="e">
        <f>#REF!</f>
        <v>#REF!</v>
      </c>
      <c r="J126" s="840" t="e">
        <f>#REF!</f>
        <v>#REF!</v>
      </c>
      <c r="K126" s="840"/>
      <c r="L126" s="840"/>
      <c r="M126" s="840"/>
    </row>
    <row r="127" spans="1:13" ht="20.100000000000001" hidden="1" customHeight="1">
      <c r="A127" s="263" t="e">
        <f>#REF!</f>
        <v>#REF!</v>
      </c>
      <c r="B127" s="263"/>
      <c r="C127" s="263"/>
      <c r="D127" s="263"/>
      <c r="E127" s="263"/>
      <c r="F127" s="263"/>
      <c r="G127" s="263"/>
      <c r="H127" s="263"/>
      <c r="I127" s="259" t="e">
        <f>#REF!</f>
        <v>#REF!</v>
      </c>
      <c r="J127" s="840"/>
      <c r="K127" s="840"/>
      <c r="L127" s="840"/>
      <c r="M127" s="840"/>
    </row>
    <row r="128" spans="1:13" ht="20.100000000000001" hidden="1" customHeight="1">
      <c r="A128" s="260" t="e">
        <f>#REF!</f>
        <v>#REF!</v>
      </c>
      <c r="B128" s="260"/>
      <c r="C128" s="260"/>
      <c r="D128" s="260"/>
      <c r="E128" s="260"/>
      <c r="F128" s="260"/>
      <c r="G128" s="260"/>
      <c r="H128" s="260"/>
      <c r="I128" s="269" t="e">
        <f>#REF!</f>
        <v>#REF!</v>
      </c>
      <c r="J128" s="840" t="e">
        <f>#REF!</f>
        <v>#REF!</v>
      </c>
      <c r="K128" s="840"/>
      <c r="L128" s="840"/>
      <c r="M128" s="840"/>
    </row>
    <row r="129" spans="1:13" ht="20.100000000000001" hidden="1" customHeight="1">
      <c r="A129" s="260" t="e">
        <f>#REF!</f>
        <v>#REF!</v>
      </c>
      <c r="B129" s="260"/>
      <c r="C129" s="260"/>
      <c r="D129" s="260"/>
      <c r="E129" s="260"/>
      <c r="F129" s="260"/>
      <c r="G129" s="260"/>
      <c r="H129" s="260"/>
      <c r="I129" s="269" t="e">
        <f>#REF!</f>
        <v>#REF!</v>
      </c>
      <c r="J129" s="840" t="e">
        <f>#REF!</f>
        <v>#REF!</v>
      </c>
      <c r="K129" s="840"/>
      <c r="L129" s="840"/>
      <c r="M129" s="840"/>
    </row>
    <row r="130" spans="1:13" ht="20.100000000000001" hidden="1" customHeight="1">
      <c r="A130" s="260" t="e">
        <f>#REF!</f>
        <v>#REF!</v>
      </c>
      <c r="B130" s="260"/>
      <c r="C130" s="260"/>
      <c r="D130" s="260"/>
      <c r="E130" s="260"/>
      <c r="F130" s="260"/>
      <c r="G130" s="260"/>
      <c r="H130" s="260"/>
      <c r="I130" s="269" t="e">
        <f>#REF!</f>
        <v>#REF!</v>
      </c>
      <c r="J130" s="840" t="e">
        <f>#REF!</f>
        <v>#REF!</v>
      </c>
      <c r="K130" s="840"/>
      <c r="L130" s="840"/>
      <c r="M130" s="840"/>
    </row>
    <row r="131" spans="1:13" ht="20.100000000000001" hidden="1" customHeight="1">
      <c r="A131" s="260" t="e">
        <f>#REF!</f>
        <v>#REF!</v>
      </c>
      <c r="B131" s="260"/>
      <c r="C131" s="260"/>
      <c r="D131" s="260"/>
      <c r="E131" s="260"/>
      <c r="F131" s="260"/>
      <c r="G131" s="260"/>
      <c r="H131" s="260"/>
      <c r="I131" s="269" t="e">
        <f>#REF!</f>
        <v>#REF!</v>
      </c>
      <c r="J131" s="840" t="e">
        <f>#REF!</f>
        <v>#REF!</v>
      </c>
      <c r="K131" s="840"/>
      <c r="L131" s="840"/>
      <c r="M131" s="840"/>
    </row>
    <row r="132" spans="1:13" ht="20.100000000000001" hidden="1" customHeight="1">
      <c r="A132" s="260" t="e">
        <f>#REF!</f>
        <v>#REF!</v>
      </c>
      <c r="B132" s="260"/>
      <c r="C132" s="260"/>
      <c r="D132" s="260"/>
      <c r="E132" s="260"/>
      <c r="F132" s="260"/>
      <c r="G132" s="260"/>
      <c r="H132" s="260"/>
      <c r="I132" s="269" t="e">
        <f>#REF!</f>
        <v>#REF!</v>
      </c>
      <c r="J132" s="840" t="e">
        <f>#REF!</f>
        <v>#REF!</v>
      </c>
      <c r="K132" s="840"/>
      <c r="L132" s="840"/>
      <c r="M132" s="840"/>
    </row>
    <row r="133" spans="1:13" ht="20.100000000000001" hidden="1" customHeight="1">
      <c r="A133" s="260" t="e">
        <f>#REF!</f>
        <v>#REF!</v>
      </c>
      <c r="B133" s="260"/>
      <c r="C133" s="260"/>
      <c r="D133" s="260"/>
      <c r="E133" s="260"/>
      <c r="F133" s="260"/>
      <c r="G133" s="260"/>
      <c r="H133" s="260"/>
      <c r="I133" s="269" t="e">
        <f>#REF!</f>
        <v>#REF!</v>
      </c>
      <c r="J133" s="840" t="e">
        <f>#REF!</f>
        <v>#REF!</v>
      </c>
      <c r="K133" s="840"/>
      <c r="L133" s="840"/>
      <c r="M133" s="840"/>
    </row>
    <row r="134" spans="1:13" ht="20.100000000000001" hidden="1" customHeight="1">
      <c r="A134" s="270"/>
      <c r="B134" s="270"/>
      <c r="C134" s="270"/>
      <c r="D134" s="270"/>
      <c r="E134" s="270"/>
      <c r="F134" s="270"/>
      <c r="G134" s="270"/>
      <c r="H134" s="270"/>
      <c r="I134" s="259" t="e">
        <f>#REF!</f>
        <v>#REF!</v>
      </c>
      <c r="J134" s="840" t="e">
        <f>#REF!</f>
        <v>#REF!</v>
      </c>
      <c r="K134" s="840"/>
      <c r="L134" s="840"/>
      <c r="M134" s="840"/>
    </row>
    <row r="135" spans="1:13" ht="35.25" hidden="1" customHeight="1">
      <c r="A135" s="263" t="e">
        <f>#REF!</f>
        <v>#REF!</v>
      </c>
      <c r="B135" s="263"/>
      <c r="C135" s="263"/>
      <c r="D135" s="263"/>
      <c r="E135" s="263"/>
      <c r="F135" s="263"/>
      <c r="G135" s="263"/>
      <c r="H135" s="263"/>
      <c r="I135" s="259" t="e">
        <f>#REF!</f>
        <v>#REF!</v>
      </c>
      <c r="J135" s="840"/>
      <c r="K135" s="840"/>
      <c r="L135" s="840"/>
      <c r="M135" s="840"/>
    </row>
    <row r="136" spans="1:13" ht="19.5" hidden="1" customHeight="1">
      <c r="A136" s="260" t="e">
        <f>#REF!</f>
        <v>#REF!</v>
      </c>
      <c r="B136" s="260"/>
      <c r="C136" s="260"/>
      <c r="D136" s="260"/>
      <c r="E136" s="260"/>
      <c r="F136" s="260"/>
      <c r="G136" s="260"/>
      <c r="H136" s="260"/>
      <c r="I136" s="269" t="e">
        <f>#REF!</f>
        <v>#REF!</v>
      </c>
      <c r="J136" s="840" t="e">
        <f>#REF!</f>
        <v>#REF!</v>
      </c>
      <c r="K136" s="840"/>
      <c r="L136" s="840"/>
      <c r="M136" s="840"/>
    </row>
    <row r="137" spans="1:13" ht="19.5" hidden="1" customHeight="1">
      <c r="A137" s="260" t="e">
        <f>#REF!</f>
        <v>#REF!</v>
      </c>
      <c r="B137" s="260"/>
      <c r="C137" s="260"/>
      <c r="D137" s="260"/>
      <c r="E137" s="260"/>
      <c r="F137" s="260"/>
      <c r="G137" s="260"/>
      <c r="H137" s="260"/>
      <c r="I137" s="269" t="e">
        <f>#REF!</f>
        <v>#REF!</v>
      </c>
      <c r="J137" s="840" t="e">
        <f>#REF!</f>
        <v>#REF!</v>
      </c>
      <c r="K137" s="840"/>
      <c r="L137" s="840"/>
      <c r="M137" s="840"/>
    </row>
    <row r="138" spans="1:13" ht="19.5" hidden="1" customHeight="1">
      <c r="A138" s="260" t="e">
        <f>#REF!</f>
        <v>#REF!</v>
      </c>
      <c r="B138" s="260"/>
      <c r="C138" s="260"/>
      <c r="D138" s="260"/>
      <c r="E138" s="260"/>
      <c r="F138" s="260"/>
      <c r="G138" s="260"/>
      <c r="H138" s="260"/>
      <c r="I138" s="269" t="e">
        <f>#REF!</f>
        <v>#REF!</v>
      </c>
      <c r="J138" s="840" t="e">
        <f>#REF!</f>
        <v>#REF!</v>
      </c>
      <c r="K138" s="840"/>
      <c r="L138" s="840"/>
      <c r="M138" s="840"/>
    </row>
    <row r="139" spans="1:13" ht="19.5" hidden="1" customHeight="1">
      <c r="A139" s="260" t="e">
        <f>#REF!</f>
        <v>#REF!</v>
      </c>
      <c r="B139" s="260"/>
      <c r="C139" s="260"/>
      <c r="D139" s="260"/>
      <c r="E139" s="260"/>
      <c r="F139" s="260"/>
      <c r="G139" s="260"/>
      <c r="H139" s="260"/>
      <c r="I139" s="269" t="e">
        <f>#REF!</f>
        <v>#REF!</v>
      </c>
      <c r="J139" s="840" t="e">
        <f>#REF!</f>
        <v>#REF!</v>
      </c>
      <c r="K139" s="840"/>
      <c r="L139" s="840"/>
      <c r="M139" s="840"/>
    </row>
    <row r="140" spans="1:13" ht="33" hidden="1" customHeight="1">
      <c r="A140" s="260" t="e">
        <f>#REF!</f>
        <v>#REF!</v>
      </c>
      <c r="B140" s="260"/>
      <c r="C140" s="260"/>
      <c r="D140" s="260"/>
      <c r="E140" s="260"/>
      <c r="F140" s="260"/>
      <c r="G140" s="260"/>
      <c r="H140" s="260"/>
      <c r="I140" s="269" t="e">
        <f>#REF!</f>
        <v>#REF!</v>
      </c>
      <c r="J140" s="840" t="e">
        <f>#REF!</f>
        <v>#REF!</v>
      </c>
      <c r="K140" s="840"/>
      <c r="L140" s="840"/>
      <c r="M140" s="840"/>
    </row>
    <row r="141" spans="1:13" ht="19.5" hidden="1" customHeight="1">
      <c r="A141" s="260" t="e">
        <f>#REF!</f>
        <v>#REF!</v>
      </c>
      <c r="B141" s="260"/>
      <c r="C141" s="260"/>
      <c r="D141" s="260"/>
      <c r="E141" s="260"/>
      <c r="F141" s="260"/>
      <c r="G141" s="260"/>
      <c r="H141" s="260"/>
      <c r="I141" s="269" t="e">
        <f>#REF!</f>
        <v>#REF!</v>
      </c>
      <c r="J141" s="840" t="e">
        <f>#REF!</f>
        <v>#REF!</v>
      </c>
      <c r="K141" s="840"/>
      <c r="L141" s="840"/>
      <c r="M141" s="840"/>
    </row>
    <row r="142" spans="1:13" ht="19.5" hidden="1" customHeight="1">
      <c r="A142" s="260" t="e">
        <f>#REF!</f>
        <v>#REF!</v>
      </c>
      <c r="B142" s="260"/>
      <c r="C142" s="260"/>
      <c r="D142" s="260"/>
      <c r="E142" s="260"/>
      <c r="F142" s="260"/>
      <c r="G142" s="260"/>
      <c r="H142" s="260"/>
      <c r="I142" s="269" t="e">
        <f>#REF!</f>
        <v>#REF!</v>
      </c>
      <c r="J142" s="840" t="e">
        <f>#REF!</f>
        <v>#REF!</v>
      </c>
      <c r="K142" s="840"/>
      <c r="L142" s="840"/>
      <c r="M142" s="840"/>
    </row>
    <row r="143" spans="1:13" ht="19.5" hidden="1" customHeight="1">
      <c r="A143" s="260" t="e">
        <f>#REF!</f>
        <v>#REF!</v>
      </c>
      <c r="B143" s="260"/>
      <c r="C143" s="260"/>
      <c r="D143" s="260"/>
      <c r="E143" s="260"/>
      <c r="F143" s="260"/>
      <c r="G143" s="260"/>
      <c r="H143" s="260"/>
      <c r="I143" s="269" t="e">
        <f>#REF!</f>
        <v>#REF!</v>
      </c>
      <c r="J143" s="840" t="e">
        <f>#REF!</f>
        <v>#REF!</v>
      </c>
      <c r="K143" s="840"/>
      <c r="L143" s="840"/>
      <c r="M143" s="840"/>
    </row>
    <row r="144" spans="1:13" ht="19.5" hidden="1" customHeight="1">
      <c r="A144" s="260" t="e">
        <f>#REF!</f>
        <v>#REF!</v>
      </c>
      <c r="B144" s="260"/>
      <c r="C144" s="260"/>
      <c r="D144" s="260"/>
      <c r="E144" s="260"/>
      <c r="F144" s="260"/>
      <c r="G144" s="260"/>
      <c r="H144" s="260"/>
      <c r="I144" s="269" t="e">
        <f>#REF!</f>
        <v>#REF!</v>
      </c>
      <c r="J144" s="840" t="e">
        <f>#REF!</f>
        <v>#REF!</v>
      </c>
      <c r="K144" s="840"/>
      <c r="L144" s="840"/>
      <c r="M144" s="840"/>
    </row>
    <row r="145" spans="1:13" ht="19.5" hidden="1" customHeight="1">
      <c r="A145" s="270"/>
      <c r="B145" s="270"/>
      <c r="C145" s="270"/>
      <c r="D145" s="270"/>
      <c r="E145" s="270"/>
      <c r="F145" s="270"/>
      <c r="G145" s="270"/>
      <c r="H145" s="270"/>
      <c r="I145" s="259" t="e">
        <f>#REF!</f>
        <v>#REF!</v>
      </c>
      <c r="J145" s="840" t="e">
        <f>#REF!</f>
        <v>#REF!</v>
      </c>
      <c r="K145" s="840"/>
      <c r="L145" s="840"/>
      <c r="M145" s="840"/>
    </row>
    <row r="146" spans="1:13" ht="19.5" hidden="1" customHeight="1">
      <c r="A146" s="263" t="e">
        <f>#REF!</f>
        <v>#REF!</v>
      </c>
      <c r="B146" s="263"/>
      <c r="C146" s="263"/>
      <c r="D146" s="263"/>
      <c r="E146" s="263"/>
      <c r="F146" s="263"/>
      <c r="G146" s="263"/>
      <c r="H146" s="263"/>
      <c r="I146" s="259" t="e">
        <f>#REF!</f>
        <v>#REF!</v>
      </c>
      <c r="J146" s="840"/>
      <c r="K146" s="840"/>
      <c r="L146" s="840"/>
      <c r="M146" s="840"/>
    </row>
    <row r="147" spans="1:13" ht="19.5" hidden="1" customHeight="1">
      <c r="A147" s="260" t="e">
        <f>#REF!</f>
        <v>#REF!</v>
      </c>
      <c r="B147" s="260"/>
      <c r="C147" s="260"/>
      <c r="D147" s="260"/>
      <c r="E147" s="260"/>
      <c r="F147" s="260"/>
      <c r="G147" s="260"/>
      <c r="H147" s="260"/>
      <c r="I147" s="261" t="e">
        <f>#REF!</f>
        <v>#REF!</v>
      </c>
      <c r="J147" s="840" t="e">
        <f>#REF!</f>
        <v>#REF!</v>
      </c>
      <c r="K147" s="840"/>
      <c r="L147" s="840"/>
      <c r="M147" s="840"/>
    </row>
    <row r="148" spans="1:13" ht="19.5" hidden="1" customHeight="1">
      <c r="A148" s="260" t="e">
        <f>#REF!</f>
        <v>#REF!</v>
      </c>
      <c r="B148" s="260"/>
      <c r="C148" s="260"/>
      <c r="D148" s="260"/>
      <c r="E148" s="260"/>
      <c r="F148" s="260"/>
      <c r="G148" s="260"/>
      <c r="H148" s="260"/>
      <c r="I148" s="261" t="e">
        <f>#REF!</f>
        <v>#REF!</v>
      </c>
      <c r="J148" s="840" t="e">
        <f>#REF!</f>
        <v>#REF!</v>
      </c>
      <c r="K148" s="840"/>
      <c r="L148" s="840"/>
      <c r="M148" s="840"/>
    </row>
    <row r="149" spans="1:13" ht="19.5" hidden="1" customHeight="1">
      <c r="A149" s="260" t="e">
        <f>#REF!</f>
        <v>#REF!</v>
      </c>
      <c r="B149" s="260"/>
      <c r="C149" s="260"/>
      <c r="D149" s="260"/>
      <c r="E149" s="260"/>
      <c r="F149" s="260"/>
      <c r="G149" s="260"/>
      <c r="H149" s="260"/>
      <c r="I149" s="261" t="e">
        <f>#REF!</f>
        <v>#REF!</v>
      </c>
      <c r="J149" s="840" t="e">
        <f>#REF!</f>
        <v>#REF!</v>
      </c>
      <c r="K149" s="840"/>
      <c r="L149" s="840"/>
      <c r="M149" s="840"/>
    </row>
    <row r="150" spans="1:13" ht="19.5" hidden="1" customHeight="1">
      <c r="A150" s="270"/>
      <c r="B150" s="270"/>
      <c r="C150" s="270"/>
      <c r="D150" s="270"/>
      <c r="E150" s="270"/>
      <c r="F150" s="270"/>
      <c r="G150" s="270"/>
      <c r="H150" s="270"/>
      <c r="I150" s="259" t="e">
        <f>#REF!</f>
        <v>#REF!</v>
      </c>
      <c r="J150" s="840" t="e">
        <f>#REF!</f>
        <v>#REF!</v>
      </c>
      <c r="K150" s="840"/>
      <c r="L150" s="840"/>
      <c r="M150" s="840"/>
    </row>
    <row r="151" spans="1:13" ht="33" hidden="1" customHeight="1">
      <c r="A151" s="263" t="e">
        <f>#REF!</f>
        <v>#REF!</v>
      </c>
      <c r="B151" s="263"/>
      <c r="C151" s="263"/>
      <c r="D151" s="263"/>
      <c r="E151" s="263"/>
      <c r="F151" s="263"/>
      <c r="G151" s="263"/>
      <c r="H151" s="263"/>
      <c r="I151" s="259" t="e">
        <f>#REF!</f>
        <v>#REF!</v>
      </c>
      <c r="J151" s="840"/>
      <c r="K151" s="840"/>
      <c r="L151" s="840"/>
      <c r="M151" s="840"/>
    </row>
    <row r="152" spans="1:13" ht="19.5" hidden="1" customHeight="1">
      <c r="A152" s="270" t="e">
        <f>#REF!</f>
        <v>#REF!</v>
      </c>
      <c r="B152" s="270"/>
      <c r="C152" s="270"/>
      <c r="D152" s="270"/>
      <c r="E152" s="270"/>
      <c r="F152" s="270"/>
      <c r="G152" s="270"/>
      <c r="H152" s="270"/>
      <c r="I152" s="261" t="e">
        <f>#REF!</f>
        <v>#REF!</v>
      </c>
      <c r="J152" s="840" t="e">
        <f>#REF!</f>
        <v>#REF!</v>
      </c>
      <c r="K152" s="840"/>
      <c r="L152" s="840"/>
      <c r="M152" s="840"/>
    </row>
    <row r="153" spans="1:13" ht="19.5" hidden="1" customHeight="1">
      <c r="A153" s="270" t="e">
        <f>#REF!</f>
        <v>#REF!</v>
      </c>
      <c r="B153" s="270"/>
      <c r="C153" s="270"/>
      <c r="D153" s="270"/>
      <c r="E153" s="270"/>
      <c r="F153" s="270"/>
      <c r="G153" s="270"/>
      <c r="H153" s="270"/>
      <c r="I153" s="261" t="e">
        <f>#REF!</f>
        <v>#REF!</v>
      </c>
      <c r="J153" s="840" t="e">
        <f>#REF!</f>
        <v>#REF!</v>
      </c>
      <c r="K153" s="840"/>
      <c r="L153" s="840"/>
      <c r="M153" s="840"/>
    </row>
    <row r="154" spans="1:13" ht="19.5" hidden="1" customHeight="1">
      <c r="A154" s="270" t="e">
        <f>#REF!</f>
        <v>#REF!</v>
      </c>
      <c r="B154" s="270"/>
      <c r="C154" s="270"/>
      <c r="D154" s="270"/>
      <c r="E154" s="270"/>
      <c r="F154" s="270"/>
      <c r="G154" s="270"/>
      <c r="H154" s="270"/>
      <c r="I154" s="261" t="e">
        <f>#REF!</f>
        <v>#REF!</v>
      </c>
      <c r="J154" s="840" t="e">
        <f>#REF!</f>
        <v>#REF!</v>
      </c>
      <c r="K154" s="840"/>
      <c r="L154" s="840"/>
      <c r="M154" s="840"/>
    </row>
    <row r="155" spans="1:13" ht="19.5" hidden="1" customHeight="1">
      <c r="A155" s="270"/>
      <c r="B155" s="270"/>
      <c r="C155" s="270"/>
      <c r="D155" s="270"/>
      <c r="E155" s="270"/>
      <c r="F155" s="270"/>
      <c r="G155" s="270"/>
      <c r="H155" s="270"/>
      <c r="I155" s="259" t="e">
        <f>#REF!</f>
        <v>#REF!</v>
      </c>
      <c r="J155" s="840" t="e">
        <f>#REF!</f>
        <v>#REF!</v>
      </c>
      <c r="K155" s="840"/>
      <c r="L155" s="840"/>
      <c r="M155" s="840"/>
    </row>
    <row r="156" spans="1:13" ht="19.5" hidden="1" customHeight="1">
      <c r="A156" s="263" t="e">
        <f>#REF!</f>
        <v>#REF!</v>
      </c>
      <c r="B156" s="263"/>
      <c r="C156" s="263"/>
      <c r="D156" s="263"/>
      <c r="E156" s="263"/>
      <c r="F156" s="263"/>
      <c r="G156" s="263"/>
      <c r="H156" s="263"/>
      <c r="I156" s="259" t="e">
        <f>#REF!</f>
        <v>#REF!</v>
      </c>
      <c r="J156" s="840"/>
      <c r="K156" s="840"/>
      <c r="L156" s="840"/>
      <c r="M156" s="840"/>
    </row>
    <row r="157" spans="1:13" ht="19.5" hidden="1" customHeight="1">
      <c r="A157" s="260" t="e">
        <f>#REF!</f>
        <v>#REF!</v>
      </c>
      <c r="B157" s="260"/>
      <c r="C157" s="260"/>
      <c r="D157" s="260"/>
      <c r="E157" s="260"/>
      <c r="F157" s="260"/>
      <c r="G157" s="260"/>
      <c r="H157" s="260"/>
      <c r="I157" s="261" t="e">
        <f>#REF!</f>
        <v>#REF!</v>
      </c>
      <c r="J157" s="840" t="e">
        <f>#REF!</f>
        <v>#REF!</v>
      </c>
      <c r="K157" s="840"/>
      <c r="L157" s="840"/>
      <c r="M157" s="840"/>
    </row>
    <row r="158" spans="1:13" ht="19.5" hidden="1" customHeight="1">
      <c r="A158" s="260" t="e">
        <f>#REF!</f>
        <v>#REF!</v>
      </c>
      <c r="B158" s="260"/>
      <c r="C158" s="260"/>
      <c r="D158" s="260"/>
      <c r="E158" s="260"/>
      <c r="F158" s="260"/>
      <c r="G158" s="260"/>
      <c r="H158" s="260"/>
      <c r="I158" s="261" t="e">
        <f>#REF!</f>
        <v>#REF!</v>
      </c>
      <c r="J158" s="840" t="e">
        <f>#REF!</f>
        <v>#REF!</v>
      </c>
      <c r="K158" s="840"/>
      <c r="L158" s="840"/>
      <c r="M158" s="840"/>
    </row>
    <row r="159" spans="1:13" ht="19.5" hidden="1" customHeight="1">
      <c r="A159" s="270"/>
      <c r="B159" s="270"/>
      <c r="C159" s="270"/>
      <c r="D159" s="270"/>
      <c r="E159" s="270"/>
      <c r="F159" s="270"/>
      <c r="G159" s="270"/>
      <c r="H159" s="270"/>
      <c r="I159" s="259" t="e">
        <f>#REF!</f>
        <v>#REF!</v>
      </c>
      <c r="J159" s="840" t="e">
        <f>#REF!</f>
        <v>#REF!</v>
      </c>
      <c r="K159" s="840"/>
      <c r="L159" s="840"/>
      <c r="M159" s="840"/>
    </row>
    <row r="160" spans="1:13" ht="33" hidden="1" customHeight="1">
      <c r="A160" s="263" t="e">
        <f>#REF!</f>
        <v>#REF!</v>
      </c>
      <c r="B160" s="263"/>
      <c r="C160" s="263"/>
      <c r="D160" s="263"/>
      <c r="E160" s="263"/>
      <c r="F160" s="263"/>
      <c r="G160" s="263"/>
      <c r="H160" s="263"/>
      <c r="I160" s="259" t="e">
        <f>#REF!</f>
        <v>#REF!</v>
      </c>
      <c r="J160" s="840"/>
      <c r="K160" s="840"/>
      <c r="L160" s="840"/>
      <c r="M160" s="840"/>
    </row>
    <row r="161" spans="1:13" ht="19.5" hidden="1" customHeight="1">
      <c r="A161" s="260" t="e">
        <f>#REF!</f>
        <v>#REF!</v>
      </c>
      <c r="B161" s="260"/>
      <c r="C161" s="260"/>
      <c r="D161" s="260"/>
      <c r="E161" s="260"/>
      <c r="F161" s="260"/>
      <c r="G161" s="260"/>
      <c r="H161" s="260"/>
      <c r="I161" s="261" t="e">
        <f>#REF!</f>
        <v>#REF!</v>
      </c>
      <c r="J161" s="840" t="e">
        <f>#REF!</f>
        <v>#REF!</v>
      </c>
      <c r="K161" s="840"/>
      <c r="L161" s="840"/>
      <c r="M161" s="840"/>
    </row>
    <row r="162" spans="1:13" ht="19.5" hidden="1" customHeight="1">
      <c r="A162" s="260" t="e">
        <f>#REF!</f>
        <v>#REF!</v>
      </c>
      <c r="B162" s="260"/>
      <c r="C162" s="260"/>
      <c r="D162" s="260"/>
      <c r="E162" s="260"/>
      <c r="F162" s="260"/>
      <c r="G162" s="260"/>
      <c r="H162" s="260"/>
      <c r="I162" s="261" t="e">
        <f>#REF!</f>
        <v>#REF!</v>
      </c>
      <c r="J162" s="840" t="e">
        <f>#REF!</f>
        <v>#REF!</v>
      </c>
      <c r="K162" s="840"/>
      <c r="L162" s="840"/>
      <c r="M162" s="840"/>
    </row>
    <row r="163" spans="1:13" ht="19.5" hidden="1" customHeight="1">
      <c r="A163" s="260" t="e">
        <f>#REF!</f>
        <v>#REF!</v>
      </c>
      <c r="B163" s="260"/>
      <c r="C163" s="260"/>
      <c r="D163" s="260"/>
      <c r="E163" s="260"/>
      <c r="F163" s="260"/>
      <c r="G163" s="260"/>
      <c r="H163" s="260"/>
      <c r="I163" s="261" t="e">
        <f>#REF!</f>
        <v>#REF!</v>
      </c>
      <c r="J163" s="840" t="e">
        <f>#REF!</f>
        <v>#REF!</v>
      </c>
      <c r="K163" s="840"/>
      <c r="L163" s="840"/>
      <c r="M163" s="840"/>
    </row>
    <row r="164" spans="1:13" ht="19.5" hidden="1" customHeight="1">
      <c r="A164" s="260" t="e">
        <f>#REF!</f>
        <v>#REF!</v>
      </c>
      <c r="B164" s="260"/>
      <c r="C164" s="260"/>
      <c r="D164" s="260"/>
      <c r="E164" s="260"/>
      <c r="F164" s="260"/>
      <c r="G164" s="260"/>
      <c r="H164" s="260"/>
      <c r="I164" s="261" t="e">
        <f>#REF!</f>
        <v>#REF!</v>
      </c>
      <c r="J164" s="840" t="e">
        <f>#REF!</f>
        <v>#REF!</v>
      </c>
      <c r="K164" s="840"/>
      <c r="L164" s="840"/>
      <c r="M164" s="840"/>
    </row>
    <row r="165" spans="1:13" ht="19.5" hidden="1" customHeight="1">
      <c r="A165" s="260" t="e">
        <f>#REF!</f>
        <v>#REF!</v>
      </c>
      <c r="B165" s="260"/>
      <c r="C165" s="260"/>
      <c r="D165" s="260"/>
      <c r="E165" s="260"/>
      <c r="F165" s="260"/>
      <c r="G165" s="260"/>
      <c r="H165" s="260"/>
      <c r="I165" s="261" t="e">
        <f>#REF!</f>
        <v>#REF!</v>
      </c>
      <c r="J165" s="840" t="e">
        <f>#REF!</f>
        <v>#REF!</v>
      </c>
      <c r="K165" s="840"/>
      <c r="L165" s="840"/>
      <c r="M165" s="840"/>
    </row>
    <row r="166" spans="1:13" ht="19.5" hidden="1" customHeight="1">
      <c r="A166" s="260" t="e">
        <f>#REF!</f>
        <v>#REF!</v>
      </c>
      <c r="B166" s="260"/>
      <c r="C166" s="260"/>
      <c r="D166" s="260"/>
      <c r="E166" s="260"/>
      <c r="F166" s="260"/>
      <c r="G166" s="260"/>
      <c r="H166" s="260"/>
      <c r="I166" s="261" t="e">
        <f>#REF!</f>
        <v>#REF!</v>
      </c>
      <c r="J166" s="840" t="e">
        <f>#REF!</f>
        <v>#REF!</v>
      </c>
      <c r="K166" s="840"/>
      <c r="L166" s="840"/>
      <c r="M166" s="840"/>
    </row>
    <row r="167" spans="1:13" ht="19.5" hidden="1" customHeight="1">
      <c r="A167" s="270"/>
      <c r="B167" s="270"/>
      <c r="C167" s="270"/>
      <c r="D167" s="270"/>
      <c r="E167" s="270"/>
      <c r="F167" s="270"/>
      <c r="G167" s="270"/>
      <c r="H167" s="270"/>
      <c r="I167" s="259" t="e">
        <f>#REF!</f>
        <v>#REF!</v>
      </c>
      <c r="J167" s="840" t="e">
        <f>#REF!</f>
        <v>#REF!</v>
      </c>
      <c r="K167" s="840"/>
      <c r="L167" s="840"/>
      <c r="M167" s="840"/>
    </row>
    <row r="168" spans="1:13" ht="33" hidden="1" customHeight="1">
      <c r="A168" s="263" t="e">
        <f>#REF!</f>
        <v>#REF!</v>
      </c>
      <c r="B168" s="263"/>
      <c r="C168" s="263"/>
      <c r="D168" s="263"/>
      <c r="E168" s="263"/>
      <c r="F168" s="263"/>
      <c r="G168" s="263"/>
      <c r="H168" s="263"/>
      <c r="I168" s="259" t="e">
        <f>#REF!</f>
        <v>#REF!</v>
      </c>
      <c r="J168" s="840"/>
      <c r="K168" s="840"/>
      <c r="L168" s="840"/>
      <c r="M168" s="840"/>
    </row>
    <row r="169" spans="1:13" ht="33" hidden="1" customHeight="1">
      <c r="A169" s="260" t="e">
        <f>#REF!</f>
        <v>#REF!</v>
      </c>
      <c r="B169" s="260"/>
      <c r="C169" s="260"/>
      <c r="D169" s="260"/>
      <c r="E169" s="260"/>
      <c r="F169" s="260"/>
      <c r="G169" s="260"/>
      <c r="H169" s="260"/>
      <c r="I169" s="261" t="e">
        <f>#REF!</f>
        <v>#REF!</v>
      </c>
      <c r="J169" s="840" t="e">
        <f>#REF!</f>
        <v>#REF!</v>
      </c>
      <c r="K169" s="840"/>
      <c r="L169" s="840"/>
      <c r="M169" s="840"/>
    </row>
    <row r="170" spans="1:13" ht="19.5" hidden="1" customHeight="1">
      <c r="A170" s="260" t="e">
        <f>#REF!</f>
        <v>#REF!</v>
      </c>
      <c r="B170" s="260"/>
      <c r="C170" s="260"/>
      <c r="D170" s="260"/>
      <c r="E170" s="260"/>
      <c r="F170" s="260"/>
      <c r="G170" s="260"/>
      <c r="H170" s="260"/>
      <c r="I170" s="261" t="e">
        <f>#REF!</f>
        <v>#REF!</v>
      </c>
      <c r="J170" s="840" t="e">
        <f>#REF!</f>
        <v>#REF!</v>
      </c>
      <c r="K170" s="840"/>
      <c r="L170" s="840"/>
      <c r="M170" s="840"/>
    </row>
    <row r="171" spans="1:13" ht="19.5" hidden="1" customHeight="1">
      <c r="A171" s="260" t="e">
        <f>#REF!</f>
        <v>#REF!</v>
      </c>
      <c r="B171" s="260"/>
      <c r="C171" s="260"/>
      <c r="D171" s="260"/>
      <c r="E171" s="260"/>
      <c r="F171" s="260"/>
      <c r="G171" s="260"/>
      <c r="H171" s="260"/>
      <c r="I171" s="261" t="e">
        <f>#REF!</f>
        <v>#REF!</v>
      </c>
      <c r="J171" s="840" t="e">
        <f>#REF!</f>
        <v>#REF!</v>
      </c>
      <c r="K171" s="840"/>
      <c r="L171" s="840"/>
      <c r="M171" s="840"/>
    </row>
    <row r="172" spans="1:13" ht="19.5" hidden="1" customHeight="1">
      <c r="A172" s="270" t="e">
        <f>#REF!</f>
        <v>#REF!</v>
      </c>
      <c r="B172" s="270"/>
      <c r="C172" s="270"/>
      <c r="D172" s="270"/>
      <c r="E172" s="270"/>
      <c r="F172" s="270"/>
      <c r="G172" s="270"/>
      <c r="H172" s="270"/>
      <c r="I172" s="259" t="e">
        <f>#REF!</f>
        <v>#REF!</v>
      </c>
      <c r="J172" s="840" t="e">
        <f>#REF!</f>
        <v>#REF!</v>
      </c>
      <c r="K172" s="840"/>
      <c r="L172" s="840"/>
      <c r="M172" s="840"/>
    </row>
    <row r="173" spans="1:13" ht="33" hidden="1" customHeight="1">
      <c r="A173" s="263" t="e">
        <f>#REF!</f>
        <v>#REF!</v>
      </c>
      <c r="B173" s="263"/>
      <c r="C173" s="263"/>
      <c r="D173" s="263"/>
      <c r="E173" s="263"/>
      <c r="F173" s="263"/>
      <c r="G173" s="263"/>
      <c r="H173" s="263"/>
      <c r="I173" s="259" t="e">
        <f>#REF!</f>
        <v>#REF!</v>
      </c>
      <c r="J173" s="840"/>
      <c r="K173" s="840"/>
      <c r="L173" s="840"/>
      <c r="M173" s="840"/>
    </row>
    <row r="174" spans="1:13" ht="19.5" hidden="1" customHeight="1">
      <c r="A174" s="260" t="e">
        <f>#REF!</f>
        <v>#REF!</v>
      </c>
      <c r="B174" s="260"/>
      <c r="C174" s="260"/>
      <c r="D174" s="260"/>
      <c r="E174" s="260"/>
      <c r="F174" s="260"/>
      <c r="G174" s="260"/>
      <c r="H174" s="260"/>
      <c r="I174" s="261" t="e">
        <f>#REF!</f>
        <v>#REF!</v>
      </c>
      <c r="J174" s="840" t="e">
        <f>#REF!</f>
        <v>#REF!</v>
      </c>
      <c r="K174" s="840"/>
      <c r="L174" s="840"/>
      <c r="M174" s="840"/>
    </row>
    <row r="175" spans="1:13" ht="19.5" hidden="1" customHeight="1">
      <c r="A175" s="260" t="e">
        <f>#REF!</f>
        <v>#REF!</v>
      </c>
      <c r="B175" s="260"/>
      <c r="C175" s="260"/>
      <c r="D175" s="260"/>
      <c r="E175" s="260"/>
      <c r="F175" s="260"/>
      <c r="G175" s="260"/>
      <c r="H175" s="260"/>
      <c r="I175" s="261" t="e">
        <f>#REF!</f>
        <v>#REF!</v>
      </c>
      <c r="J175" s="840" t="e">
        <f>#REF!</f>
        <v>#REF!</v>
      </c>
      <c r="K175" s="840"/>
      <c r="L175" s="840"/>
      <c r="M175" s="840"/>
    </row>
    <row r="176" spans="1:13" ht="32.25" hidden="1" customHeight="1">
      <c r="A176" s="260" t="e">
        <f>#REF!</f>
        <v>#REF!</v>
      </c>
      <c r="B176" s="260"/>
      <c r="C176" s="260"/>
      <c r="D176" s="260"/>
      <c r="E176" s="260"/>
      <c r="F176" s="260"/>
      <c r="G176" s="260"/>
      <c r="H176" s="260"/>
      <c r="I176" s="261" t="e">
        <f>#REF!</f>
        <v>#REF!</v>
      </c>
      <c r="J176" s="840" t="e">
        <f>#REF!</f>
        <v>#REF!</v>
      </c>
      <c r="K176" s="840"/>
      <c r="L176" s="840"/>
      <c r="M176" s="840"/>
    </row>
    <row r="177" spans="1:100" ht="19.5" hidden="1" customHeight="1">
      <c r="A177" s="260" t="e">
        <f>#REF!</f>
        <v>#REF!</v>
      </c>
      <c r="B177" s="260"/>
      <c r="C177" s="260"/>
      <c r="D177" s="260"/>
      <c r="E177" s="260"/>
      <c r="F177" s="260"/>
      <c r="G177" s="260"/>
      <c r="H177" s="260"/>
      <c r="I177" s="261" t="e">
        <f>#REF!</f>
        <v>#REF!</v>
      </c>
      <c r="J177" s="840" t="e">
        <f>#REF!</f>
        <v>#REF!</v>
      </c>
      <c r="K177" s="840"/>
      <c r="L177" s="840"/>
      <c r="M177" s="840"/>
    </row>
    <row r="178" spans="1:100" ht="19.5" hidden="1" customHeight="1">
      <c r="A178" s="262"/>
      <c r="B178" s="262"/>
      <c r="C178" s="262"/>
      <c r="D178" s="262"/>
      <c r="E178" s="262"/>
      <c r="F178" s="262"/>
      <c r="G178" s="262"/>
      <c r="H178" s="262"/>
      <c r="I178" s="259" t="e">
        <f>#REF!</f>
        <v>#REF!</v>
      </c>
      <c r="J178" s="840" t="e">
        <f>#REF!</f>
        <v>#REF!</v>
      </c>
      <c r="K178" s="840"/>
      <c r="L178" s="840"/>
      <c r="M178" s="840"/>
    </row>
    <row r="179" spans="1:100" ht="16.5" hidden="1" customHeight="1">
      <c r="A179" s="265"/>
      <c r="B179" s="265"/>
      <c r="C179" s="265"/>
      <c r="D179" s="265"/>
      <c r="E179" s="265"/>
      <c r="F179" s="265"/>
      <c r="G179" s="265"/>
      <c r="H179" s="265"/>
      <c r="I179" s="259" t="e">
        <f>#REF!</f>
        <v>#REF!</v>
      </c>
      <c r="J179" s="840" t="e">
        <f>#REF!</f>
        <v>#REF!</v>
      </c>
      <c r="K179" s="840"/>
      <c r="L179" s="840"/>
      <c r="M179" s="840"/>
    </row>
    <row r="180" spans="1:100" ht="19.5" hidden="1" customHeight="1">
      <c r="A180" s="267"/>
      <c r="B180" s="267"/>
      <c r="C180" s="267"/>
      <c r="D180" s="267"/>
      <c r="E180" s="267"/>
      <c r="F180" s="267"/>
      <c r="G180" s="267"/>
      <c r="H180" s="267"/>
      <c r="I180" s="259" t="e">
        <f>#REF!</f>
        <v>#REF!</v>
      </c>
      <c r="J180" s="840" t="e">
        <f>#REF!</f>
        <v>#REF!</v>
      </c>
      <c r="K180" s="840"/>
      <c r="L180" s="840"/>
      <c r="M180" s="840"/>
    </row>
    <row r="181" spans="1:100" s="241" customFormat="1">
      <c r="A181" s="271"/>
      <c r="B181" s="271"/>
      <c r="C181" s="271"/>
      <c r="D181" s="271"/>
      <c r="E181" s="271"/>
      <c r="F181" s="271"/>
      <c r="G181" s="271"/>
      <c r="H181" s="271"/>
      <c r="I181" s="272"/>
      <c r="J181" s="841"/>
      <c r="K181" s="841"/>
      <c r="L181" s="841"/>
      <c r="M181" s="841"/>
      <c r="N181" s="277"/>
      <c r="O181" s="277"/>
      <c r="P181" s="277"/>
      <c r="Q181" s="277"/>
      <c r="R181" s="277"/>
      <c r="S181" s="277"/>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277"/>
      <c r="BW181" s="277"/>
      <c r="BX181" s="277"/>
      <c r="BY181" s="277"/>
      <c r="BZ181" s="277"/>
      <c r="CA181" s="277"/>
      <c r="CB181" s="277"/>
      <c r="CC181" s="277"/>
      <c r="CD181" s="277"/>
      <c r="CE181" s="277"/>
      <c r="CF181" s="277"/>
      <c r="CG181" s="277"/>
      <c r="CH181" s="277"/>
      <c r="CI181" s="277"/>
      <c r="CJ181" s="277"/>
      <c r="CK181" s="277"/>
      <c r="CL181" s="277"/>
      <c r="CM181" s="277"/>
      <c r="CN181" s="277"/>
      <c r="CO181" s="277"/>
      <c r="CP181" s="277"/>
      <c r="CQ181" s="277"/>
      <c r="CR181" s="277"/>
      <c r="CS181" s="277"/>
      <c r="CT181" s="277"/>
      <c r="CU181" s="277"/>
      <c r="CV181" s="277"/>
    </row>
    <row r="182" spans="1:100" s="241" customFormat="1">
      <c r="A182" s="246"/>
      <c r="B182" s="246"/>
      <c r="C182" s="246"/>
      <c r="D182" s="246"/>
      <c r="E182" s="246"/>
      <c r="F182" s="246"/>
      <c r="G182" s="246"/>
      <c r="H182" s="246"/>
      <c r="I182" s="370"/>
      <c r="J182" s="247"/>
      <c r="K182" s="247"/>
      <c r="L182" s="247"/>
      <c r="M182" s="24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277"/>
      <c r="CD182" s="277"/>
      <c r="CE182" s="277"/>
      <c r="CF182" s="277"/>
      <c r="CG182" s="277"/>
      <c r="CH182" s="277"/>
      <c r="CI182" s="277"/>
      <c r="CJ182" s="277"/>
      <c r="CK182" s="277"/>
      <c r="CL182" s="277"/>
      <c r="CM182" s="277"/>
      <c r="CN182" s="277"/>
      <c r="CO182" s="277"/>
      <c r="CP182" s="277"/>
      <c r="CQ182" s="277"/>
      <c r="CR182" s="277"/>
      <c r="CS182" s="277"/>
      <c r="CT182" s="277"/>
      <c r="CU182" s="277"/>
      <c r="CV182" s="277"/>
    </row>
    <row r="183" spans="1:100" s="241" customFormat="1">
      <c r="A183" s="246"/>
      <c r="B183" s="246"/>
      <c r="C183" s="246"/>
      <c r="D183" s="246"/>
      <c r="E183" s="246"/>
      <c r="F183" s="246"/>
      <c r="G183" s="246"/>
      <c r="H183" s="246"/>
      <c r="I183" s="370"/>
      <c r="J183" s="247"/>
      <c r="K183" s="247"/>
      <c r="L183" s="247"/>
      <c r="M183" s="24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277"/>
      <c r="CD183" s="277"/>
      <c r="CE183" s="277"/>
      <c r="CF183" s="277"/>
      <c r="CG183" s="277"/>
      <c r="CH183" s="277"/>
      <c r="CI183" s="277"/>
      <c r="CJ183" s="277"/>
      <c r="CK183" s="277"/>
      <c r="CL183" s="277"/>
      <c r="CM183" s="277"/>
      <c r="CN183" s="277"/>
      <c r="CO183" s="277"/>
      <c r="CP183" s="277"/>
      <c r="CQ183" s="277"/>
      <c r="CR183" s="277"/>
      <c r="CS183" s="277"/>
      <c r="CT183" s="277"/>
      <c r="CU183" s="277"/>
      <c r="CV183" s="277"/>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CCA37BAE-906F-43D5-9FD9-B13563E4B9D7}" scale="70" showPageBreaks="1" printArea="1" hiddenRows="1" hiddenColumns="1" view="pageBreakPreview">
      <selection activeCell="A16" sqref="A16"/>
      <pageMargins left="0.7" right="0.7" top="0.75" bottom="0.75" header="0.3" footer="0.3"/>
      <pageSetup paperSize="9" scale="57" orientation="landscape" r:id="rId1"/>
    </customSheetView>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2"/>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3"/>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5"/>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6"/>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7"/>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11"/>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12"/>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14"/>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15"/>
    </customSheetView>
    <customSheetView guid="{9E88A623-8EDB-47F0-815B-9C48385C3E73}" scale="70" showPageBreaks="1" printArea="1" hiddenRows="1" hiddenColumns="1" view="pageBreakPreview">
      <selection activeCell="A16" sqref="A16"/>
      <pageMargins left="0.7" right="0.7" top="0.75" bottom="0.75" header="0.3" footer="0.3"/>
      <pageSetup paperSize="9" scale="57" orientation="landscape" r:id="rId16"/>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4" sqref="G24"/>
    </sheetView>
  </sheetViews>
  <sheetFormatPr defaultColWidth="9.140625" defaultRowHeight="16.5"/>
  <cols>
    <col min="1" max="2" width="5.7109375" style="156" customWidth="1"/>
    <col min="3" max="3" width="24.7109375" style="156" customWidth="1"/>
    <col min="4" max="4" width="15.28515625" style="156" customWidth="1"/>
    <col min="5" max="5" width="28.7109375" style="156" customWidth="1"/>
    <col min="6" max="6" width="14.7109375" style="156" customWidth="1"/>
    <col min="7" max="7" width="19.5703125" style="156" customWidth="1"/>
    <col min="8" max="8" width="23.7109375" style="143" hidden="1" customWidth="1"/>
    <col min="9" max="9" width="18" style="144" hidden="1" customWidth="1"/>
    <col min="10" max="10" width="16.85546875" style="145" hidden="1" customWidth="1"/>
    <col min="11" max="11" width="14.5703125" style="145" hidden="1" customWidth="1"/>
    <col min="12" max="12" width="18.5703125" style="145" hidden="1" customWidth="1"/>
    <col min="13" max="13" width="16.28515625" style="145" customWidth="1"/>
    <col min="14" max="14" width="39.7109375" style="145" customWidth="1"/>
    <col min="15" max="15" width="24.28515625" style="145" customWidth="1"/>
    <col min="16" max="17" width="16.28515625" style="145" customWidth="1"/>
    <col min="18" max="19" width="10.28515625" style="146" customWidth="1"/>
    <col min="20" max="20" width="9.140625" style="146" customWidth="1"/>
    <col min="21" max="21" width="9.140625" style="147" customWidth="1"/>
    <col min="22" max="23" width="9.140625" style="147"/>
    <col min="24" max="25" width="9.140625" style="148"/>
    <col min="26" max="16384" width="9.140625" style="149"/>
  </cols>
  <sheetData>
    <row r="1" spans="1:25" s="141" customFormat="1" ht="39.950000000000003" customHeight="1">
      <c r="A1" s="880" t="s">
        <v>165</v>
      </c>
      <c r="B1" s="880"/>
      <c r="C1" s="880"/>
      <c r="D1" s="880"/>
      <c r="E1" s="880"/>
      <c r="F1" s="880"/>
      <c r="G1" s="880"/>
      <c r="H1" s="136"/>
      <c r="I1" s="137"/>
      <c r="J1" s="138"/>
      <c r="K1" s="138"/>
      <c r="L1" s="138"/>
      <c r="M1" s="138"/>
      <c r="N1" s="138"/>
      <c r="O1" s="138"/>
      <c r="P1" s="138"/>
      <c r="Q1" s="138"/>
      <c r="R1" s="138"/>
      <c r="S1" s="138"/>
      <c r="T1" s="138"/>
      <c r="U1" s="139"/>
      <c r="V1" s="139"/>
      <c r="W1" s="139"/>
      <c r="X1" s="140"/>
      <c r="Y1" s="140"/>
    </row>
    <row r="2" spans="1:25" ht="18" customHeight="1">
      <c r="A2" s="107" t="str">
        <f>Cover!B3</f>
        <v>Spec. No: CC/NT/W-RT/DOM/A00/23/02849</v>
      </c>
      <c r="B2" s="107"/>
      <c r="C2" s="108"/>
      <c r="D2" s="142"/>
      <c r="E2" s="142"/>
      <c r="F2" s="142"/>
      <c r="G2" s="110" t="s">
        <v>166</v>
      </c>
    </row>
    <row r="3" spans="1:25" ht="12.75" customHeight="1">
      <c r="A3" s="111"/>
      <c r="B3" s="111"/>
      <c r="C3" s="112"/>
      <c r="D3" s="131"/>
      <c r="E3" s="131"/>
      <c r="F3" s="131"/>
      <c r="G3" s="113"/>
    </row>
    <row r="4" spans="1:25" ht="18.95" customHeight="1">
      <c r="A4" s="881" t="s">
        <v>167</v>
      </c>
      <c r="B4" s="881"/>
      <c r="C4" s="881"/>
      <c r="D4" s="881"/>
      <c r="E4" s="881"/>
      <c r="F4" s="881"/>
      <c r="G4" s="881"/>
    </row>
    <row r="5" spans="1:25" ht="21" customHeight="1">
      <c r="A5" s="150" t="s">
        <v>1</v>
      </c>
      <c r="B5" s="150"/>
      <c r="C5" s="151"/>
      <c r="D5" s="151"/>
      <c r="E5" s="151"/>
      <c r="F5" s="151"/>
      <c r="G5" s="151"/>
    </row>
    <row r="6" spans="1:25" ht="21" customHeight="1">
      <c r="A6" s="26" t="s">
        <v>2</v>
      </c>
      <c r="B6" s="26"/>
      <c r="C6" s="151"/>
      <c r="D6" s="151"/>
      <c r="E6" s="151"/>
      <c r="F6" s="151"/>
      <c r="G6" s="151"/>
      <c r="I6" s="558" t="s">
        <v>233</v>
      </c>
      <c r="J6" s="656">
        <f>'Sch-1'!N51</f>
        <v>0</v>
      </c>
      <c r="K6" s="557"/>
      <c r="L6" s="411"/>
    </row>
    <row r="7" spans="1:25" ht="21" customHeight="1">
      <c r="A7" s="26" t="s">
        <v>3</v>
      </c>
      <c r="B7" s="26"/>
      <c r="C7" s="151"/>
      <c r="D7" s="151"/>
      <c r="E7" s="151"/>
      <c r="F7" s="151"/>
      <c r="G7" s="151"/>
      <c r="I7" s="558" t="s">
        <v>235</v>
      </c>
      <c r="J7" s="656">
        <f>'Sch-2'!J51</f>
        <v>0</v>
      </c>
      <c r="K7" s="557"/>
    </row>
    <row r="8" spans="1:25" ht="21" customHeight="1">
      <c r="A8" s="26" t="s">
        <v>4</v>
      </c>
      <c r="B8" s="26"/>
      <c r="C8" s="151"/>
      <c r="D8" s="151"/>
      <c r="E8" s="151"/>
      <c r="F8" s="151"/>
      <c r="G8" s="151"/>
      <c r="I8" s="558" t="s">
        <v>236</v>
      </c>
      <c r="J8" s="656">
        <f>'Sch-3'!P31</f>
        <v>0</v>
      </c>
      <c r="K8" s="557"/>
    </row>
    <row r="9" spans="1:25" ht="21" customHeight="1">
      <c r="A9" s="26" t="s">
        <v>168</v>
      </c>
      <c r="B9" s="26"/>
      <c r="C9" s="151"/>
      <c r="D9" s="151"/>
      <c r="E9" s="151"/>
      <c r="F9" s="151"/>
      <c r="G9" s="151"/>
      <c r="I9" s="559" t="s">
        <v>196</v>
      </c>
      <c r="J9" s="657">
        <f>J6+J7+J8</f>
        <v>0</v>
      </c>
      <c r="K9" s="557"/>
    </row>
    <row r="10" spans="1:25" ht="21" customHeight="1">
      <c r="A10" s="26" t="s">
        <v>6</v>
      </c>
      <c r="B10" s="26"/>
      <c r="C10" s="151"/>
      <c r="D10" s="151"/>
      <c r="E10" s="151"/>
      <c r="F10" s="151"/>
      <c r="G10" s="151"/>
      <c r="J10" s="410"/>
    </row>
    <row r="11" spans="1:25" ht="14.25" customHeight="1">
      <c r="A11" s="151"/>
      <c r="B11" s="151"/>
      <c r="C11" s="151"/>
      <c r="D11" s="151"/>
      <c r="E11" s="151"/>
      <c r="F11" s="151"/>
      <c r="G11" s="151"/>
    </row>
    <row r="12" spans="1:25" ht="89.25" customHeight="1">
      <c r="A12" s="152" t="s">
        <v>169</v>
      </c>
      <c r="B12" s="489"/>
      <c r="C12" s="882"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D12" s="882"/>
      <c r="E12" s="882"/>
      <c r="F12" s="882"/>
      <c r="G12" s="882"/>
      <c r="J12" s="411"/>
    </row>
    <row r="13" spans="1:25" ht="21" customHeight="1" thickBot="1">
      <c r="A13" s="153" t="s">
        <v>170</v>
      </c>
      <c r="B13" s="153"/>
      <c r="C13" s="154"/>
      <c r="D13" s="153"/>
      <c r="E13" s="153"/>
      <c r="F13" s="153"/>
      <c r="G13" s="153"/>
      <c r="H13" s="406"/>
      <c r="K13" s="162"/>
      <c r="L13" s="162"/>
      <c r="M13" s="162"/>
    </row>
    <row r="14" spans="1:25" ht="41.25" customHeight="1" thickBot="1">
      <c r="A14" s="883" t="s">
        <v>171</v>
      </c>
      <c r="B14" s="883"/>
      <c r="C14" s="883"/>
      <c r="D14" s="883"/>
      <c r="E14" s="883"/>
      <c r="F14" s="883"/>
      <c r="G14" s="883"/>
      <c r="H14" s="571" t="s">
        <v>340</v>
      </c>
      <c r="I14" s="571" t="s">
        <v>341</v>
      </c>
      <c r="J14" s="572" t="s">
        <v>342</v>
      </c>
      <c r="K14" s="162"/>
      <c r="L14" s="162"/>
      <c r="M14" s="162"/>
      <c r="N14" s="155"/>
    </row>
    <row r="15" spans="1:25" ht="56.25" customHeight="1">
      <c r="B15" s="157">
        <v>1</v>
      </c>
      <c r="C15" s="887" t="s">
        <v>333</v>
      </c>
      <c r="D15" s="885"/>
      <c r="E15" s="885"/>
      <c r="F15" s="886"/>
      <c r="G15" s="158"/>
      <c r="H15" s="628">
        <f>IF(J6=0,0,(G15/J9)*J6)</f>
        <v>0</v>
      </c>
      <c r="I15" s="629">
        <f>IF(J7=0,0,(G15/J9)*J7)</f>
        <v>0</v>
      </c>
      <c r="J15" s="628">
        <f>IF(J8,(G15/J9)*J8,0)</f>
        <v>0</v>
      </c>
      <c r="K15" s="162"/>
      <c r="L15" s="162"/>
      <c r="M15" s="162"/>
    </row>
    <row r="16" spans="1:25" ht="55.5" customHeight="1">
      <c r="B16" s="157">
        <v>2</v>
      </c>
      <c r="C16" s="884" t="s">
        <v>479</v>
      </c>
      <c r="D16" s="885"/>
      <c r="E16" s="885"/>
      <c r="F16" s="886"/>
      <c r="G16" s="159"/>
      <c r="H16" s="630">
        <f>G16*J6</f>
        <v>0</v>
      </c>
      <c r="I16" s="631">
        <f>G16*J7</f>
        <v>0</v>
      </c>
      <c r="J16" s="630">
        <f>G16*J8</f>
        <v>0</v>
      </c>
      <c r="K16" s="162"/>
      <c r="L16" s="162"/>
      <c r="M16" s="162"/>
    </row>
    <row r="17" spans="1:25" s="160" customFormat="1" ht="39.75" customHeight="1" thickBot="1">
      <c r="B17" s="161">
        <v>3</v>
      </c>
      <c r="C17" s="877" t="s">
        <v>172</v>
      </c>
      <c r="D17" s="878"/>
      <c r="E17" s="878"/>
      <c r="F17" s="879"/>
      <c r="G17" s="403"/>
      <c r="H17" s="630"/>
      <c r="I17" s="630"/>
      <c r="J17" s="630"/>
      <c r="K17" s="162"/>
      <c r="L17" s="162"/>
      <c r="M17" s="162"/>
      <c r="N17" s="162"/>
      <c r="O17" s="162"/>
      <c r="P17" s="162"/>
      <c r="Q17" s="162"/>
      <c r="R17" s="163"/>
      <c r="S17" s="163"/>
      <c r="T17" s="163"/>
      <c r="U17" s="164"/>
      <c r="V17" s="164"/>
      <c r="W17" s="164"/>
      <c r="X17" s="165"/>
      <c r="Y17" s="165"/>
    </row>
    <row r="18" spans="1:25" s="160" customFormat="1" ht="21" customHeight="1" thickBot="1">
      <c r="B18" s="166"/>
      <c r="C18" s="873" t="s">
        <v>334</v>
      </c>
      <c r="D18" s="874"/>
      <c r="E18" s="874"/>
      <c r="F18" s="167" t="s">
        <v>173</v>
      </c>
      <c r="G18" s="404"/>
      <c r="H18" s="632">
        <f>G18</f>
        <v>0</v>
      </c>
      <c r="I18" s="633"/>
      <c r="J18" s="630"/>
      <c r="K18" s="162"/>
      <c r="L18" s="162"/>
      <c r="M18" s="162"/>
      <c r="N18" s="169"/>
      <c r="O18" s="168"/>
      <c r="P18" s="162"/>
      <c r="Q18" s="162"/>
      <c r="R18" s="163"/>
      <c r="S18" s="163"/>
      <c r="T18" s="163"/>
      <c r="U18" s="164"/>
      <c r="V18" s="164"/>
      <c r="W18" s="164"/>
      <c r="X18" s="165"/>
      <c r="Y18" s="165"/>
    </row>
    <row r="19" spans="1:25" s="160" customFormat="1" ht="33" customHeight="1" thickBot="1">
      <c r="B19" s="166"/>
      <c r="C19" s="866" t="s">
        <v>358</v>
      </c>
      <c r="D19" s="867"/>
      <c r="E19" s="867"/>
      <c r="F19" s="167" t="s">
        <v>173</v>
      </c>
      <c r="G19" s="404"/>
      <c r="H19" s="634"/>
      <c r="I19" s="632">
        <f>G19</f>
        <v>0</v>
      </c>
      <c r="J19" s="635"/>
      <c r="K19" s="162"/>
      <c r="L19" s="162"/>
      <c r="M19" s="162"/>
      <c r="N19" s="169"/>
      <c r="O19" s="168"/>
      <c r="P19" s="162"/>
      <c r="Q19" s="162"/>
      <c r="R19" s="163"/>
      <c r="S19" s="163"/>
      <c r="T19" s="163"/>
      <c r="U19" s="164"/>
      <c r="V19" s="164"/>
      <c r="W19" s="164"/>
      <c r="X19" s="165"/>
      <c r="Y19" s="165"/>
    </row>
    <row r="20" spans="1:25" s="160" customFormat="1" ht="21" customHeight="1" thickBot="1">
      <c r="B20" s="166"/>
      <c r="C20" s="873" t="s">
        <v>335</v>
      </c>
      <c r="D20" s="874"/>
      <c r="E20" s="874"/>
      <c r="F20" s="167" t="s">
        <v>173</v>
      </c>
      <c r="G20" s="404"/>
      <c r="H20" s="630"/>
      <c r="I20" s="629"/>
      <c r="J20" s="632">
        <f>G20</f>
        <v>0</v>
      </c>
      <c r="K20" s="162"/>
      <c r="L20" s="162"/>
      <c r="M20" s="162"/>
      <c r="N20" s="169"/>
      <c r="O20" s="168"/>
      <c r="P20" s="162"/>
      <c r="Q20" s="162"/>
      <c r="R20" s="163"/>
      <c r="S20" s="163"/>
      <c r="T20" s="163"/>
      <c r="U20" s="164"/>
      <c r="V20" s="164"/>
      <c r="W20" s="164"/>
      <c r="X20" s="165"/>
      <c r="Y20" s="165"/>
    </row>
    <row r="21" spans="1:25" s="160" customFormat="1" ht="21" customHeight="1">
      <c r="B21" s="166"/>
      <c r="C21" s="873" t="s">
        <v>336</v>
      </c>
      <c r="D21" s="874"/>
      <c r="E21" s="874"/>
      <c r="F21" s="167" t="s">
        <v>173</v>
      </c>
      <c r="G21" s="412"/>
      <c r="H21" s="630"/>
      <c r="I21" s="631"/>
      <c r="J21" s="628"/>
      <c r="K21" s="162"/>
      <c r="L21" s="162"/>
      <c r="M21" s="162"/>
      <c r="N21" s="169"/>
      <c r="O21" s="168"/>
      <c r="P21" s="162"/>
      <c r="Q21" s="162"/>
      <c r="R21" s="163"/>
      <c r="S21" s="163"/>
      <c r="T21" s="163"/>
      <c r="U21" s="164"/>
      <c r="V21" s="164"/>
      <c r="W21" s="164"/>
      <c r="X21" s="165"/>
      <c r="Y21" s="165"/>
    </row>
    <row r="22" spans="1:25" s="160" customFormat="1" ht="21" customHeight="1">
      <c r="B22" s="170"/>
      <c r="C22" s="873" t="s">
        <v>174</v>
      </c>
      <c r="D22" s="874"/>
      <c r="E22" s="874"/>
      <c r="F22" s="171" t="s">
        <v>173</v>
      </c>
      <c r="G22" s="412"/>
      <c r="H22" s="630"/>
      <c r="I22" s="631"/>
      <c r="J22" s="630"/>
      <c r="K22" s="162"/>
      <c r="L22" s="162"/>
      <c r="M22" s="162"/>
      <c r="N22" s="169"/>
      <c r="O22" s="168"/>
      <c r="P22" s="162"/>
      <c r="Q22" s="162"/>
      <c r="R22" s="163"/>
      <c r="S22" s="163"/>
      <c r="T22" s="163"/>
      <c r="U22" s="164"/>
      <c r="V22" s="164"/>
      <c r="W22" s="164"/>
      <c r="X22" s="165"/>
      <c r="Y22" s="165"/>
    </row>
    <row r="23" spans="1:25" s="160" customFormat="1" ht="54.95" customHeight="1" thickBot="1">
      <c r="B23" s="161">
        <v>4</v>
      </c>
      <c r="C23" s="862" t="s">
        <v>480</v>
      </c>
      <c r="D23" s="863"/>
      <c r="E23" s="863"/>
      <c r="F23" s="864"/>
      <c r="G23" s="403"/>
      <c r="H23" s="636"/>
      <c r="I23" s="631"/>
      <c r="J23" s="630"/>
      <c r="K23" s="162"/>
      <c r="L23" s="162"/>
      <c r="M23" s="162"/>
      <c r="N23" s="162"/>
      <c r="O23" s="162"/>
      <c r="P23" s="162"/>
      <c r="Q23" s="162"/>
      <c r="R23" s="163"/>
      <c r="S23" s="163"/>
      <c r="T23" s="163"/>
      <c r="U23" s="164"/>
      <c r="V23" s="164"/>
      <c r="W23" s="164"/>
      <c r="X23" s="165"/>
      <c r="Y23" s="165"/>
    </row>
    <row r="24" spans="1:25" s="160" customFormat="1" ht="21" customHeight="1" thickBot="1">
      <c r="A24" s="172"/>
      <c r="B24" s="166"/>
      <c r="C24" s="873" t="s">
        <v>334</v>
      </c>
      <c r="D24" s="874"/>
      <c r="E24" s="874"/>
      <c r="F24" s="167" t="s">
        <v>175</v>
      </c>
      <c r="G24" s="405"/>
      <c r="H24" s="637">
        <f>G24*J6</f>
        <v>0</v>
      </c>
      <c r="I24" s="633"/>
      <c r="J24" s="630"/>
      <c r="K24" s="162"/>
      <c r="L24" s="162"/>
      <c r="M24" s="162"/>
      <c r="N24" s="162"/>
      <c r="O24" s="162"/>
      <c r="P24" s="162"/>
      <c r="Q24" s="162"/>
      <c r="R24" s="163"/>
      <c r="S24" s="163"/>
      <c r="T24" s="163"/>
      <c r="U24" s="164"/>
      <c r="V24" s="164"/>
      <c r="W24" s="164"/>
      <c r="X24" s="165"/>
      <c r="Y24" s="165"/>
    </row>
    <row r="25" spans="1:25" s="160" customFormat="1" ht="33.75" customHeight="1" thickBot="1">
      <c r="A25" s="172"/>
      <c r="B25" s="166"/>
      <c r="C25" s="868" t="s">
        <v>358</v>
      </c>
      <c r="D25" s="869"/>
      <c r="E25" s="869"/>
      <c r="F25" s="167" t="s">
        <v>175</v>
      </c>
      <c r="G25" s="405"/>
      <c r="H25" s="638"/>
      <c r="I25" s="632">
        <f>G25*J7</f>
        <v>0</v>
      </c>
      <c r="J25" s="635"/>
      <c r="K25" s="162"/>
      <c r="L25" s="162"/>
      <c r="M25" s="162"/>
      <c r="N25" s="162"/>
      <c r="O25" s="162"/>
      <c r="P25" s="162"/>
      <c r="Q25" s="162"/>
      <c r="R25" s="163"/>
      <c r="S25" s="163"/>
      <c r="T25" s="163"/>
      <c r="U25" s="164"/>
      <c r="V25" s="164"/>
      <c r="W25" s="164"/>
      <c r="X25" s="165"/>
      <c r="Y25" s="165"/>
    </row>
    <row r="26" spans="1:25" s="160" customFormat="1" ht="21" customHeight="1" thickBot="1">
      <c r="A26" s="172"/>
      <c r="B26" s="166"/>
      <c r="C26" s="873" t="s">
        <v>335</v>
      </c>
      <c r="D26" s="874"/>
      <c r="E26" s="874"/>
      <c r="F26" s="167" t="s">
        <v>175</v>
      </c>
      <c r="G26" s="405"/>
      <c r="H26" s="636"/>
      <c r="I26" s="629"/>
      <c r="J26" s="632">
        <f>G26*J8</f>
        <v>0</v>
      </c>
      <c r="K26" s="162"/>
      <c r="L26" s="162"/>
      <c r="M26" s="162"/>
      <c r="N26" s="162"/>
      <c r="O26" s="162"/>
      <c r="P26" s="162"/>
      <c r="Q26" s="162"/>
      <c r="R26" s="163"/>
      <c r="S26" s="163"/>
      <c r="T26" s="163"/>
      <c r="U26" s="164"/>
      <c r="V26" s="164"/>
      <c r="W26" s="164"/>
      <c r="X26" s="165"/>
      <c r="Y26" s="165"/>
    </row>
    <row r="27" spans="1:25" s="160" customFormat="1" ht="21" customHeight="1">
      <c r="A27" s="172"/>
      <c r="B27" s="166"/>
      <c r="C27" s="873" t="s">
        <v>336</v>
      </c>
      <c r="D27" s="874"/>
      <c r="E27" s="874"/>
      <c r="F27" s="167" t="s">
        <v>175</v>
      </c>
      <c r="G27" s="413"/>
      <c r="H27" s="636"/>
      <c r="I27" s="631"/>
      <c r="J27" s="628"/>
      <c r="K27" s="162"/>
      <c r="L27" s="162"/>
      <c r="M27" s="162"/>
      <c r="N27" s="162"/>
      <c r="O27" s="162"/>
      <c r="P27" s="162"/>
      <c r="Q27" s="162"/>
      <c r="R27" s="163"/>
      <c r="S27" s="163"/>
      <c r="T27" s="163"/>
      <c r="U27" s="164"/>
      <c r="V27" s="164"/>
      <c r="W27" s="164"/>
      <c r="X27" s="165"/>
      <c r="Y27" s="165"/>
    </row>
    <row r="28" spans="1:25" s="160" customFormat="1" ht="21" customHeight="1">
      <c r="A28" s="172"/>
      <c r="B28" s="170"/>
      <c r="C28" s="875" t="s">
        <v>174</v>
      </c>
      <c r="D28" s="876"/>
      <c r="E28" s="876"/>
      <c r="F28" s="171" t="s">
        <v>175</v>
      </c>
      <c r="G28" s="413"/>
      <c r="H28" s="636"/>
      <c r="I28" s="631"/>
      <c r="J28" s="630"/>
      <c r="K28" s="162"/>
      <c r="L28" s="162"/>
      <c r="M28" s="162"/>
      <c r="N28" s="162"/>
      <c r="O28" s="162"/>
      <c r="P28" s="162"/>
      <c r="Q28" s="162"/>
      <c r="R28" s="163"/>
      <c r="S28" s="163"/>
      <c r="T28" s="163"/>
      <c r="U28" s="164"/>
      <c r="V28" s="164"/>
      <c r="W28" s="164"/>
      <c r="X28" s="165"/>
      <c r="Y28" s="165"/>
    </row>
    <row r="29" spans="1:25" s="160" customFormat="1" hidden="1">
      <c r="A29" s="172"/>
      <c r="B29" s="173"/>
      <c r="C29" s="860" t="s">
        <v>176</v>
      </c>
      <c r="D29" s="861"/>
      <c r="E29" s="861"/>
      <c r="F29" s="861"/>
      <c r="G29" s="861"/>
      <c r="H29" s="639"/>
      <c r="I29" s="639"/>
      <c r="J29" s="639"/>
      <c r="K29" s="162"/>
      <c r="L29" s="162"/>
      <c r="M29" s="162"/>
      <c r="N29" s="162"/>
      <c r="O29" s="162"/>
      <c r="P29" s="162"/>
      <c r="Q29" s="162"/>
      <c r="R29" s="163"/>
      <c r="S29" s="163"/>
      <c r="T29" s="163"/>
      <c r="U29" s="164"/>
      <c r="V29" s="164"/>
      <c r="W29" s="164"/>
      <c r="X29" s="165"/>
      <c r="Y29" s="165"/>
    </row>
    <row r="30" spans="1:25" s="160" customFormat="1" ht="48.75" hidden="1" customHeight="1">
      <c r="A30" s="172"/>
      <c r="B30" s="174">
        <v>5</v>
      </c>
      <c r="C30" s="870" t="s">
        <v>177</v>
      </c>
      <c r="D30" s="870"/>
      <c r="E30" s="870"/>
      <c r="F30" s="870"/>
      <c r="G30" s="870"/>
      <c r="H30" s="640"/>
      <c r="I30" s="640"/>
      <c r="J30" s="640"/>
      <c r="K30" s="162"/>
      <c r="L30" s="162"/>
      <c r="M30" s="162"/>
      <c r="N30" s="162"/>
      <c r="O30" s="162"/>
      <c r="P30" s="162"/>
      <c r="Q30" s="162"/>
      <c r="R30" s="163"/>
      <c r="S30" s="163"/>
      <c r="T30" s="163"/>
      <c r="U30" s="164"/>
      <c r="V30" s="164"/>
      <c r="W30" s="164"/>
      <c r="X30" s="165"/>
      <c r="Y30" s="165"/>
    </row>
    <row r="31" spans="1:25" s="160" customFormat="1" ht="48.75" hidden="1" customHeight="1">
      <c r="A31" s="172"/>
      <c r="B31" s="871"/>
      <c r="C31" s="871"/>
      <c r="D31" s="871"/>
      <c r="E31" s="871"/>
      <c r="F31" s="871"/>
      <c r="G31" s="871"/>
      <c r="H31" s="641">
        <f>SUM(H15:H28)</f>
        <v>0</v>
      </c>
      <c r="I31" s="641">
        <f>SUM(I15:I28)</f>
        <v>0</v>
      </c>
      <c r="J31" s="641">
        <f>SUM(J15:J28)</f>
        <v>0</v>
      </c>
      <c r="K31" s="162">
        <f>SUM(K15:K28)</f>
        <v>0</v>
      </c>
      <c r="L31" s="162">
        <f>SUM(L15:L28)</f>
        <v>0</v>
      </c>
      <c r="M31" s="162"/>
      <c r="N31" s="162"/>
      <c r="O31" s="162"/>
      <c r="P31" s="162"/>
      <c r="Q31" s="162"/>
      <c r="R31" s="163"/>
      <c r="S31" s="163"/>
      <c r="T31" s="163"/>
      <c r="U31" s="164"/>
      <c r="V31" s="164"/>
      <c r="W31" s="164"/>
      <c r="X31" s="165"/>
      <c r="Y31" s="165"/>
    </row>
    <row r="32" spans="1:25" s="160" customFormat="1" ht="48.75" hidden="1" customHeight="1">
      <c r="A32" s="172"/>
      <c r="B32" s="175"/>
      <c r="C32" s="870" t="s">
        <v>178</v>
      </c>
      <c r="D32" s="872"/>
      <c r="E32" s="872"/>
      <c r="F32" s="872"/>
      <c r="G32" s="872"/>
      <c r="H32" s="642" t="e">
        <f>(1-(H31/I2))</f>
        <v>#DIV/0!</v>
      </c>
      <c r="I32" s="642" t="e">
        <f>(1-(I31/I3))</f>
        <v>#DIV/0!</v>
      </c>
      <c r="J32" s="643" t="e">
        <f>1-(J31/I4)</f>
        <v>#DIV/0!</v>
      </c>
      <c r="K32" s="162" t="e">
        <f>1-(K31/I5)</f>
        <v>#DIV/0!</v>
      </c>
      <c r="L32" s="162" t="e">
        <f>1-(L31/#REF!)</f>
        <v>#REF!</v>
      </c>
      <c r="M32" s="162"/>
      <c r="N32" s="162"/>
      <c r="O32" s="162"/>
      <c r="P32" s="162"/>
      <c r="Q32" s="162"/>
      <c r="R32" s="163"/>
      <c r="S32" s="163"/>
      <c r="T32" s="163"/>
      <c r="U32" s="164"/>
      <c r="V32" s="164"/>
      <c r="W32" s="164"/>
      <c r="X32" s="165"/>
      <c r="Y32" s="165"/>
    </row>
    <row r="33" spans="1:25" s="160" customFormat="1" ht="24" customHeight="1">
      <c r="A33" s="865" t="s">
        <v>337</v>
      </c>
      <c r="B33" s="865"/>
      <c r="C33" s="865"/>
      <c r="D33" s="865"/>
      <c r="E33" s="865"/>
      <c r="F33" s="865"/>
      <c r="G33" s="865"/>
      <c r="H33" s="644"/>
      <c r="I33" s="644"/>
      <c r="J33" s="644"/>
      <c r="K33" s="162"/>
      <c r="L33" s="162"/>
      <c r="M33" s="162"/>
      <c r="N33" s="162"/>
      <c r="O33" s="162"/>
      <c r="P33" s="162"/>
      <c r="Q33" s="162"/>
      <c r="R33" s="163"/>
      <c r="S33" s="163"/>
      <c r="T33" s="163"/>
      <c r="U33" s="164"/>
      <c r="V33" s="164"/>
      <c r="W33" s="164"/>
      <c r="X33" s="165"/>
      <c r="Y33" s="165"/>
    </row>
    <row r="34" spans="1:25" s="160" customFormat="1" ht="18.75" customHeight="1" thickBot="1">
      <c r="A34" s="153" t="s">
        <v>179</v>
      </c>
      <c r="B34" s="175"/>
      <c r="C34" s="176"/>
      <c r="E34" s="177"/>
      <c r="F34" s="177"/>
      <c r="G34" s="178"/>
      <c r="H34" s="644"/>
      <c r="I34" s="644"/>
      <c r="J34" s="644"/>
      <c r="K34" s="162"/>
      <c r="L34" s="162"/>
      <c r="M34" s="162"/>
      <c r="N34" s="162"/>
      <c r="O34" s="162"/>
      <c r="P34" s="162"/>
      <c r="Q34" s="162"/>
      <c r="R34" s="163"/>
      <c r="S34" s="163"/>
      <c r="T34" s="163"/>
      <c r="U34" s="164"/>
      <c r="V34" s="164"/>
      <c r="W34" s="164"/>
      <c r="X34" s="165"/>
      <c r="Y34" s="165"/>
    </row>
    <row r="35" spans="1:25" s="160" customFormat="1" ht="21" customHeight="1" thickBot="1">
      <c r="A35" s="113" t="s">
        <v>180</v>
      </c>
      <c r="B35" s="175"/>
      <c r="C35" s="176"/>
      <c r="E35" s="177"/>
      <c r="F35" s="177"/>
      <c r="G35" s="178"/>
      <c r="H35" s="645">
        <f>SUM(H15:H26)</f>
        <v>0</v>
      </c>
      <c r="I35" s="646">
        <f>SUM(I15:I26)</f>
        <v>0</v>
      </c>
      <c r="J35" s="647">
        <f>SUM(J15:J26)</f>
        <v>0</v>
      </c>
      <c r="K35" s="417"/>
      <c r="L35" s="162"/>
      <c r="M35" s="162"/>
      <c r="N35" s="162"/>
      <c r="O35" s="162"/>
      <c r="P35" s="162"/>
      <c r="Q35" s="162"/>
      <c r="R35" s="163"/>
      <c r="S35" s="163"/>
      <c r="T35" s="163"/>
      <c r="U35" s="164"/>
      <c r="V35" s="164"/>
      <c r="W35" s="164"/>
      <c r="X35" s="165"/>
      <c r="Y35" s="165"/>
    </row>
    <row r="36" spans="1:25" ht="19.5" customHeight="1" thickBot="1">
      <c r="A36" s="179"/>
      <c r="B36" s="179"/>
      <c r="C36" s="180"/>
      <c r="D36" s="112"/>
      <c r="E36" s="113"/>
      <c r="F36" s="113"/>
      <c r="G36" s="130" t="s">
        <v>181</v>
      </c>
      <c r="H36" s="574">
        <f>IF(J6=0,0,1-(H35/J6))</f>
        <v>0</v>
      </c>
      <c r="I36" s="574">
        <f>IF(J7=0,0,1-(I35/J7))</f>
        <v>0</v>
      </c>
      <c r="J36" s="575">
        <f>IF(J8=0,0,1-(J35/J8))</f>
        <v>0</v>
      </c>
      <c r="K36" s="549" t="s">
        <v>359</v>
      </c>
    </row>
    <row r="37" spans="1:25" ht="19.5" customHeight="1">
      <c r="A37" s="179"/>
      <c r="B37" s="179"/>
      <c r="C37" s="180"/>
      <c r="D37" s="112"/>
      <c r="E37" s="113"/>
      <c r="F37" s="113"/>
      <c r="G37" s="111" t="str">
        <f>"For and on behalf of "</f>
        <v xml:space="preserve">For and on behalf of </v>
      </c>
      <c r="H37" s="145"/>
    </row>
    <row r="38" spans="1:25" ht="19.5" customHeight="1">
      <c r="A38" s="181"/>
      <c r="B38" s="181"/>
      <c r="C38" s="181"/>
      <c r="D38" s="182"/>
      <c r="E38" s="183"/>
      <c r="F38" s="183"/>
      <c r="G38" s="149"/>
      <c r="H38" s="184"/>
    </row>
    <row r="39" spans="1:25" ht="23.25" customHeight="1">
      <c r="A39" s="185" t="s">
        <v>182</v>
      </c>
      <c r="B39" s="185"/>
      <c r="C39" s="594" t="str">
        <f>'Sch-7'!C21:D21</f>
        <v xml:space="preserve">  </v>
      </c>
      <c r="D39" s="182"/>
      <c r="E39" s="183" t="s">
        <v>183</v>
      </c>
      <c r="F39" s="651">
        <f>'Names of Bidder'!D24</f>
        <v>0</v>
      </c>
      <c r="G39" s="652"/>
      <c r="H39" s="411"/>
    </row>
    <row r="40" spans="1:25" ht="23.25" customHeight="1">
      <c r="A40" s="185" t="s">
        <v>184</v>
      </c>
      <c r="B40" s="185"/>
      <c r="C40" s="595" t="str">
        <f>'Sch-7'!C22:D22</f>
        <v/>
      </c>
      <c r="D40" s="186"/>
      <c r="E40" s="183" t="s">
        <v>185</v>
      </c>
      <c r="F40" s="651">
        <f>'Names of Bidder'!D25</f>
        <v>0</v>
      </c>
      <c r="G40" s="652"/>
      <c r="H40" s="145"/>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CCA37BAE-906F-43D5-9FD9-B13563E4B9D7}" showPageBreaks="1" zeroValues="0" printArea="1" hiddenRows="1" hiddenColumns="1" view="pageBreakPreview" topLeftCell="A13">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84F40905-A9D3-43A5-987A-8A757D486A94}" showPageBreaks="1" zeroValues="0" printArea="1" hiddenRows="1" hiddenColumns="1" view="pageBreakPreview" topLeftCell="A16">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6"/>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7"/>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11"/>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1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 guid="{9E88A623-8EDB-47F0-815B-9C48385C3E73}" showPageBreaks="1" zeroValues="0" printArea="1" hiddenRows="1" hiddenColumns="1" view="pageBreakPreview" topLeftCell="A16">
      <selection activeCell="G24" sqref="G24"/>
      <pageMargins left="0.72" right="0.49" top="0.62" bottom="0.52" header="0.32" footer="0.27"/>
      <pageSetup scale="77" orientation="portrait" r:id="rId16"/>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7"/>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8" t="s">
        <v>186</v>
      </c>
      <c r="B2" s="888"/>
      <c r="C2" s="888"/>
      <c r="D2" s="888"/>
      <c r="E2" s="58"/>
    </row>
    <row r="3" spans="1:6">
      <c r="A3" s="187"/>
      <c r="B3" s="188"/>
      <c r="C3" s="188"/>
      <c r="D3" s="188"/>
      <c r="E3" s="188"/>
    </row>
    <row r="4" spans="1:6" ht="30">
      <c r="A4" s="189" t="s">
        <v>187</v>
      </c>
      <c r="B4" s="190" t="s">
        <v>188</v>
      </c>
      <c r="C4" s="189" t="s">
        <v>141</v>
      </c>
      <c r="D4" s="189" t="s">
        <v>189</v>
      </c>
      <c r="E4" s="189" t="s">
        <v>190</v>
      </c>
    </row>
    <row r="5" spans="1:6" ht="18" customHeight="1">
      <c r="A5" s="191" t="s">
        <v>191</v>
      </c>
      <c r="B5" s="191" t="s">
        <v>192</v>
      </c>
      <c r="C5" s="191" t="s">
        <v>193</v>
      </c>
      <c r="D5" s="191" t="s">
        <v>194</v>
      </c>
      <c r="E5" s="191" t="s">
        <v>195</v>
      </c>
    </row>
    <row r="6" spans="1:6" ht="45" customHeight="1">
      <c r="A6" s="192">
        <v>1</v>
      </c>
      <c r="B6" s="193"/>
      <c r="C6" s="194"/>
      <c r="D6" s="195"/>
      <c r="E6" s="196">
        <f t="shared" ref="E6:E15" si="0">C6*D6</f>
        <v>0</v>
      </c>
    </row>
    <row r="7" spans="1:6" ht="45" customHeight="1">
      <c r="A7" s="192">
        <v>2</v>
      </c>
      <c r="B7" s="193"/>
      <c r="C7" s="194"/>
      <c r="D7" s="195"/>
      <c r="E7" s="196">
        <f t="shared" si="0"/>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84F40905-A9D3-43A5-987A-8A757D486A94}" state="hidden" topLeftCell="A4">
      <selection activeCell="D6" sqref="D6"/>
      <pageMargins left="0.75" right="0.75" top="0.65" bottom="1" header="0.5" footer="0.5"/>
      <pageSetup orientation="portrait" r:id="rId2"/>
      <headerFooter alignWithMargins="0"/>
    </customSheetView>
    <customSheetView guid="{C44C314C-9BEB-403F-A933-6B948E5C1171}" state="hidden" topLeftCell="A4">
      <selection activeCell="D6" sqref="D6"/>
      <pageMargins left="0.75" right="0.75" top="0.65" bottom="1" header="0.5" footer="0.5"/>
      <pageSetup orientation="portrait" r:id="rId3"/>
      <headerFooter alignWithMargins="0"/>
    </customSheetView>
    <customSheetView guid="{AD0333DF-5B33-49B5-B063-72505D20EFE4}" state="hidden" topLeftCell="A4">
      <selection activeCell="D6" sqref="D6"/>
      <pageMargins left="0.75" right="0.75" top="0.65" bottom="1" header="0.5" footer="0.5"/>
      <pageSetup orientation="portrait" r:id="rId4"/>
      <headerFooter alignWithMargins="0"/>
    </customSheetView>
    <customSheetView guid="{BE68641D-0C1E-4F8D-890A-A660C199187C}" state="hidden" topLeftCell="A4">
      <selection activeCell="D6" sqref="D6"/>
      <pageMargins left="0.75" right="0.75" top="0.65" bottom="1" header="0.5" footer="0.5"/>
      <pageSetup orientation="portrait" r:id="rId5"/>
      <headerFooter alignWithMargins="0"/>
    </customSheetView>
    <customSheetView guid="{F658ED72-5E54-4C5B-BB2C-7A2962080984}" state="hidden" topLeftCell="A4">
      <selection activeCell="D6" sqref="D6"/>
      <pageMargins left="0.75" right="0.75" top="0.65" bottom="1" header="0.5" footer="0.5"/>
      <pageSetup orientation="portrait" r:id="rId6"/>
      <headerFooter alignWithMargins="0"/>
    </customSheetView>
    <customSheetView guid="{DEF6DCE2-4A74-4BE5-B5D5-8143DC3F770A}" state="hidden" topLeftCell="A4">
      <selection activeCell="D6" sqref="D6"/>
      <pageMargins left="0.75" right="0.75" top="0.65" bottom="1" header="0.5" footer="0.5"/>
      <pageSetup orientation="portrait" r:id="rId7"/>
      <headerFooter alignWithMargins="0"/>
    </customSheetView>
    <customSheetView guid="{F8A50AE1-259E-429D-A506-38EB64D134EF}"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3C00DDA0-7DDE-4169-A739-550DAF5DCF8D}" state="hidden" topLeftCell="A4">
      <selection activeCell="D6" sqref="D6"/>
      <pageMargins left="0.75" right="0.75" top="0.65" bottom="1" header="0.5" footer="0.5"/>
      <pageSetup orientation="portrait" r:id="rId11"/>
      <headerFooter alignWithMargins="0"/>
    </customSheetView>
    <customSheetView guid="{99CA2F10-F926-46DC-8609-4EAE5B9F3585}" state="hidden" topLeftCell="A4">
      <selection activeCell="D6" sqref="D6"/>
      <pageMargins left="0.75" right="0.75" top="0.65" bottom="1" header="0.5" footer="0.5"/>
      <pageSetup orientation="portrait" r:id="rId12"/>
      <headerFooter alignWithMargins="0"/>
    </customSheetView>
    <customSheetView guid="{63D51328-7CBC-4A1E-B96D-BAE91416501B}" state="hidden" topLeftCell="A4">
      <selection activeCell="D6" sqref="D6"/>
      <pageMargins left="0.75" right="0.75" top="0.65" bottom="1" header="0.5" footer="0.5"/>
      <pageSetup orientation="portrait" r:id="rId13"/>
      <headerFooter alignWithMargins="0"/>
    </customSheetView>
    <customSheetView guid="{112647D2-7580-431B-99B5-DD512E2AD50E}" state="hidden" topLeftCell="A4">
      <selection activeCell="D6" sqref="D6"/>
      <pageMargins left="0.75" right="0.75" top="0.65" bottom="1" header="0.5" footer="0.5"/>
      <pageSetup orientation="portrait" r:id="rId14"/>
      <headerFooter alignWithMargins="0"/>
    </customSheetView>
    <customSheetView guid="{BDFA0401-0547-4E51-8BD2-84F711B066CA}" state="hidden" topLeftCell="A4">
      <selection activeCell="D6" sqref="D6"/>
      <pageMargins left="0.75" right="0.75" top="0.65" bottom="1" header="0.5" footer="0.5"/>
      <pageSetup orientation="portrait" r:id="rId15"/>
      <headerFooter alignWithMargins="0"/>
    </customSheetView>
    <customSheetView guid="{9E88A623-8EDB-47F0-815B-9C48385C3E73}" state="hidden" topLeftCell="A4">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8" t="s">
        <v>197</v>
      </c>
      <c r="B2" s="888"/>
      <c r="C2" s="888"/>
      <c r="D2" s="889"/>
      <c r="E2" s="33"/>
    </row>
    <row r="3" spans="1:6">
      <c r="A3" s="187"/>
      <c r="B3" s="188"/>
      <c r="C3" s="188"/>
      <c r="D3" s="188"/>
      <c r="E3" s="188"/>
    </row>
    <row r="4" spans="1:6" ht="30">
      <c r="A4" s="189" t="s">
        <v>187</v>
      </c>
      <c r="B4" s="190" t="s">
        <v>188</v>
      </c>
      <c r="C4" s="189" t="s">
        <v>198</v>
      </c>
      <c r="D4" s="189" t="s">
        <v>199</v>
      </c>
      <c r="E4" s="189" t="s">
        <v>200</v>
      </c>
    </row>
    <row r="5" spans="1:6" ht="18" customHeight="1">
      <c r="A5" s="191" t="s">
        <v>191</v>
      </c>
      <c r="B5" s="191" t="s">
        <v>192</v>
      </c>
      <c r="C5" s="191" t="s">
        <v>193</v>
      </c>
      <c r="D5" s="191" t="s">
        <v>194</v>
      </c>
      <c r="E5" s="191" t="s">
        <v>195</v>
      </c>
    </row>
    <row r="6" spans="1:6" ht="45" customHeight="1">
      <c r="A6" s="192">
        <v>1</v>
      </c>
      <c r="B6" s="193"/>
      <c r="C6" s="194"/>
      <c r="D6" s="195"/>
      <c r="E6" s="196">
        <f>C6*D6</f>
        <v>0</v>
      </c>
    </row>
    <row r="7" spans="1:6" ht="45" customHeight="1">
      <c r="A7" s="192">
        <v>2</v>
      </c>
      <c r="B7" s="193"/>
      <c r="C7" s="194"/>
      <c r="D7" s="195"/>
      <c r="E7" s="196">
        <f t="shared" ref="E7:E15" si="0">C7*D7</f>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84F40905-A9D3-43A5-987A-8A757D486A94}" state="hidden" topLeftCell="A13">
      <selection activeCell="D6" sqref="D6"/>
      <pageMargins left="0.75" right="0.75" top="0.65" bottom="1" header="0.5" footer="0.5"/>
      <pageSetup orientation="portrait" r:id="rId2"/>
      <headerFooter alignWithMargins="0"/>
    </customSheetView>
    <customSheetView guid="{C44C314C-9BEB-403F-A933-6B948E5C1171}" state="hidden" topLeftCell="A13">
      <selection activeCell="D6" sqref="D6"/>
      <pageMargins left="0.75" right="0.75" top="0.65" bottom="1" header="0.5" footer="0.5"/>
      <pageSetup orientation="portrait" r:id="rId3"/>
      <headerFooter alignWithMargins="0"/>
    </customSheetView>
    <customSheetView guid="{AD0333DF-5B33-49B5-B063-72505D20EFE4}" state="hidden" topLeftCell="A13">
      <selection activeCell="D6" sqref="D6"/>
      <pageMargins left="0.75" right="0.75" top="0.65" bottom="1" header="0.5" footer="0.5"/>
      <pageSetup orientation="portrait" r:id="rId4"/>
      <headerFooter alignWithMargins="0"/>
    </customSheetView>
    <customSheetView guid="{BE68641D-0C1E-4F8D-890A-A660C199187C}" state="hidden" topLeftCell="A13">
      <selection activeCell="D6" sqref="D6"/>
      <pageMargins left="0.75" right="0.75" top="0.65" bottom="1" header="0.5" footer="0.5"/>
      <pageSetup orientation="portrait" r:id="rId5"/>
      <headerFooter alignWithMargins="0"/>
    </customSheetView>
    <customSheetView guid="{F658ED72-5E54-4C5B-BB2C-7A2962080984}" state="hidden" topLeftCell="A13">
      <selection activeCell="D6" sqref="D6"/>
      <pageMargins left="0.75" right="0.75" top="0.65" bottom="1" header="0.5" footer="0.5"/>
      <pageSetup orientation="portrait" r:id="rId6"/>
      <headerFooter alignWithMargins="0"/>
    </customSheetView>
    <customSheetView guid="{DEF6DCE2-4A74-4BE5-B5D5-8143DC3F770A}" state="hidden" topLeftCell="A13">
      <selection activeCell="D6" sqref="D6"/>
      <pageMargins left="0.75" right="0.75" top="0.65" bottom="1" header="0.5" footer="0.5"/>
      <pageSetup orientation="portrait" r:id="rId7"/>
      <headerFooter alignWithMargins="0"/>
    </customSheetView>
    <customSheetView guid="{F8A50AE1-259E-429D-A506-38EB64D134EF}"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3C00DDA0-7DDE-4169-A739-550DAF5DCF8D}" state="hidden" topLeftCell="A13">
      <selection activeCell="D6" sqref="D6"/>
      <pageMargins left="0.75" right="0.75" top="0.65" bottom="1" header="0.5" footer="0.5"/>
      <pageSetup orientation="portrait" r:id="rId11"/>
      <headerFooter alignWithMargins="0"/>
    </customSheetView>
    <customSheetView guid="{99CA2F10-F926-46DC-8609-4EAE5B9F3585}" state="hidden" topLeftCell="A13">
      <selection activeCell="D6" sqref="D6"/>
      <pageMargins left="0.75" right="0.75" top="0.65" bottom="1" header="0.5" footer="0.5"/>
      <pageSetup orientation="portrait" r:id="rId12"/>
      <headerFooter alignWithMargins="0"/>
    </customSheetView>
    <customSheetView guid="{63D51328-7CBC-4A1E-B96D-BAE91416501B}" state="hidden" topLeftCell="A13">
      <selection activeCell="D6" sqref="D6"/>
      <pageMargins left="0.75" right="0.75" top="0.65" bottom="1" header="0.5" footer="0.5"/>
      <pageSetup orientation="portrait" r:id="rId13"/>
      <headerFooter alignWithMargins="0"/>
    </customSheetView>
    <customSheetView guid="{112647D2-7580-431B-99B5-DD512E2AD50E}" state="hidden" topLeftCell="A13">
      <selection activeCell="D6" sqref="D6"/>
      <pageMargins left="0.75" right="0.75" top="0.65" bottom="1" header="0.5" footer="0.5"/>
      <pageSetup orientation="portrait" r:id="rId14"/>
      <headerFooter alignWithMargins="0"/>
    </customSheetView>
    <customSheetView guid="{BDFA0401-0547-4E51-8BD2-84F711B066CA}" state="hidden" topLeftCell="A13">
      <selection activeCell="D6" sqref="D6"/>
      <pageMargins left="0.75" right="0.75" top="0.65" bottom="1" header="0.5" footer="0.5"/>
      <pageSetup orientation="portrait" r:id="rId15"/>
      <headerFooter alignWithMargins="0"/>
    </customSheetView>
    <customSheetView guid="{9E88A623-8EDB-47F0-815B-9C48385C3E73}" state="hidden" topLeftCell="A13">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1" customWidth="1"/>
    <col min="2" max="4" width="23.5703125" style="113" customWidth="1"/>
    <col min="5" max="5" width="11" style="113" customWidth="1"/>
    <col min="6" max="6" width="14.42578125" style="113" customWidth="1"/>
    <col min="7" max="16384" width="9.140625" style="58"/>
  </cols>
  <sheetData>
    <row r="1" spans="1:7">
      <c r="A1" s="187"/>
      <c r="B1" s="188"/>
      <c r="C1" s="188"/>
      <c r="D1" s="188"/>
      <c r="E1" s="188"/>
      <c r="F1" s="188"/>
    </row>
    <row r="2" spans="1:7" ht="21.95" customHeight="1">
      <c r="A2" s="888" t="s">
        <v>201</v>
      </c>
      <c r="B2" s="888"/>
      <c r="C2" s="888"/>
      <c r="D2" s="888"/>
      <c r="E2" s="889"/>
      <c r="F2" s="58"/>
    </row>
    <row r="3" spans="1:7">
      <c r="A3" s="187"/>
      <c r="B3" s="188"/>
      <c r="C3" s="188"/>
      <c r="D3" s="188"/>
      <c r="E3" s="188"/>
      <c r="F3" s="188"/>
    </row>
    <row r="4" spans="1:7" ht="45">
      <c r="A4" s="189" t="s">
        <v>187</v>
      </c>
      <c r="B4" s="190" t="s">
        <v>188</v>
      </c>
      <c r="C4" s="189" t="s">
        <v>202</v>
      </c>
      <c r="D4" s="189" t="s">
        <v>203</v>
      </c>
      <c r="E4" s="189" t="s">
        <v>204</v>
      </c>
      <c r="F4" s="189" t="s">
        <v>205</v>
      </c>
    </row>
    <row r="5" spans="1:7" ht="18" customHeight="1">
      <c r="A5" s="191" t="s">
        <v>191</v>
      </c>
      <c r="B5" s="191" t="s">
        <v>192</v>
      </c>
      <c r="C5" s="191" t="s">
        <v>193</v>
      </c>
      <c r="D5" s="191" t="s">
        <v>194</v>
      </c>
      <c r="E5" s="200" t="s">
        <v>206</v>
      </c>
      <c r="F5" s="191" t="s">
        <v>207</v>
      </c>
    </row>
    <row r="6" spans="1:7" ht="45" customHeight="1">
      <c r="A6" s="192">
        <v>1</v>
      </c>
      <c r="B6" s="193"/>
      <c r="C6" s="194"/>
      <c r="D6" s="194"/>
      <c r="E6" s="195"/>
      <c r="F6" s="196">
        <f>C6*E6</f>
        <v>0</v>
      </c>
    </row>
    <row r="7" spans="1:7" ht="45" customHeight="1">
      <c r="A7" s="192">
        <v>2</v>
      </c>
      <c r="B7" s="193"/>
      <c r="C7" s="194"/>
      <c r="D7" s="194"/>
      <c r="E7" s="195"/>
      <c r="F7" s="196">
        <f t="shared" ref="F7:F15" si="0">C7*E7</f>
        <v>0</v>
      </c>
    </row>
    <row r="8" spans="1:7" ht="45" customHeight="1">
      <c r="A8" s="192">
        <v>3</v>
      </c>
      <c r="B8" s="193"/>
      <c r="C8" s="194"/>
      <c r="D8" s="194"/>
      <c r="E8" s="195"/>
      <c r="F8" s="196">
        <f t="shared" si="0"/>
        <v>0</v>
      </c>
    </row>
    <row r="9" spans="1:7" ht="45" customHeight="1">
      <c r="A9" s="192">
        <v>4</v>
      </c>
      <c r="B9" s="193"/>
      <c r="C9" s="194"/>
      <c r="D9" s="194"/>
      <c r="E9" s="195"/>
      <c r="F9" s="196">
        <f t="shared" si="0"/>
        <v>0</v>
      </c>
    </row>
    <row r="10" spans="1:7" ht="45" customHeight="1">
      <c r="A10" s="192">
        <v>5</v>
      </c>
      <c r="B10" s="193"/>
      <c r="C10" s="194"/>
      <c r="D10" s="194"/>
      <c r="E10" s="195"/>
      <c r="F10" s="196">
        <f t="shared" si="0"/>
        <v>0</v>
      </c>
    </row>
    <row r="11" spans="1:7" ht="45" customHeight="1">
      <c r="A11" s="192">
        <v>6</v>
      </c>
      <c r="B11" s="193"/>
      <c r="C11" s="194"/>
      <c r="D11" s="194"/>
      <c r="E11" s="195"/>
      <c r="F11" s="196">
        <f t="shared" si="0"/>
        <v>0</v>
      </c>
    </row>
    <row r="12" spans="1:7" ht="45" customHeight="1">
      <c r="A12" s="192">
        <v>7</v>
      </c>
      <c r="B12" s="193"/>
      <c r="C12" s="194"/>
      <c r="D12" s="194"/>
      <c r="E12" s="195"/>
      <c r="F12" s="196">
        <f t="shared" si="0"/>
        <v>0</v>
      </c>
    </row>
    <row r="13" spans="1:7" ht="45" customHeight="1">
      <c r="A13" s="192">
        <v>8</v>
      </c>
      <c r="B13" s="193"/>
      <c r="C13" s="194"/>
      <c r="D13" s="194"/>
      <c r="E13" s="195"/>
      <c r="F13" s="196">
        <f t="shared" si="0"/>
        <v>0</v>
      </c>
    </row>
    <row r="14" spans="1:7" ht="45" customHeight="1">
      <c r="A14" s="192">
        <v>9</v>
      </c>
      <c r="B14" s="193"/>
      <c r="C14" s="194"/>
      <c r="D14" s="194"/>
      <c r="E14" s="195"/>
      <c r="F14" s="196">
        <f t="shared" si="0"/>
        <v>0</v>
      </c>
    </row>
    <row r="15" spans="1:7" ht="45" customHeight="1">
      <c r="A15" s="192">
        <v>10</v>
      </c>
      <c r="B15" s="193"/>
      <c r="C15" s="194"/>
      <c r="D15" s="194"/>
      <c r="E15" s="195"/>
      <c r="F15" s="196">
        <f t="shared" si="0"/>
        <v>0</v>
      </c>
    </row>
    <row r="16" spans="1:7" ht="45" customHeight="1">
      <c r="A16" s="197"/>
      <c r="B16" s="198" t="s">
        <v>196</v>
      </c>
      <c r="C16" s="198"/>
      <c r="D16" s="198"/>
      <c r="E16" s="198"/>
      <c r="F16" s="198">
        <f>SUM(F6:F15)</f>
        <v>0</v>
      </c>
      <c r="G16" s="199"/>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84F40905-A9D3-43A5-987A-8A757D486A94}" state="hidden" topLeftCell="A5">
      <selection activeCell="D11" sqref="D11"/>
      <pageMargins left="0.75" right="0.62" top="0.65" bottom="1" header="0.5" footer="0.5"/>
      <pageSetup orientation="portrait" r:id="rId2"/>
      <headerFooter alignWithMargins="0"/>
    </customSheetView>
    <customSheetView guid="{C44C314C-9BEB-403F-A933-6B948E5C1171}" state="hidden" topLeftCell="A5">
      <selection activeCell="D11" sqref="D11"/>
      <pageMargins left="0.75" right="0.62" top="0.65" bottom="1" header="0.5" footer="0.5"/>
      <pageSetup orientation="portrait" r:id="rId3"/>
      <headerFooter alignWithMargins="0"/>
    </customSheetView>
    <customSheetView guid="{AD0333DF-5B33-49B5-B063-72505D20EFE4}" state="hidden" topLeftCell="A5">
      <selection activeCell="D11" sqref="D11"/>
      <pageMargins left="0.75" right="0.62" top="0.65" bottom="1" header="0.5" footer="0.5"/>
      <pageSetup orientation="portrait" r:id="rId4"/>
      <headerFooter alignWithMargins="0"/>
    </customSheetView>
    <customSheetView guid="{BE68641D-0C1E-4F8D-890A-A660C199187C}" state="hidden" topLeftCell="A5">
      <selection activeCell="D11" sqref="D11"/>
      <pageMargins left="0.75" right="0.62" top="0.65" bottom="1" header="0.5" footer="0.5"/>
      <pageSetup orientation="portrait" r:id="rId5"/>
      <headerFooter alignWithMargins="0"/>
    </customSheetView>
    <customSheetView guid="{F658ED72-5E54-4C5B-BB2C-7A2962080984}" state="hidden" topLeftCell="A5">
      <selection activeCell="D11" sqref="D11"/>
      <pageMargins left="0.75" right="0.62" top="0.65" bottom="1" header="0.5" footer="0.5"/>
      <pageSetup orientation="portrait" r:id="rId6"/>
      <headerFooter alignWithMargins="0"/>
    </customSheetView>
    <customSheetView guid="{DEF6DCE2-4A74-4BE5-B5D5-8143DC3F770A}" state="hidden" topLeftCell="A5">
      <selection activeCell="D11" sqref="D11"/>
      <pageMargins left="0.75" right="0.62" top="0.65" bottom="1" header="0.5" footer="0.5"/>
      <pageSetup orientation="portrait" r:id="rId7"/>
      <headerFooter alignWithMargins="0"/>
    </customSheetView>
    <customSheetView guid="{F8A50AE1-259E-429D-A506-38EB64D134EF}"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3C00DDA0-7DDE-4169-A739-550DAF5DCF8D}" state="hidden" topLeftCell="A5">
      <selection activeCell="D11" sqref="D11"/>
      <pageMargins left="0.75" right="0.62" top="0.65" bottom="1" header="0.5" footer="0.5"/>
      <pageSetup orientation="portrait" r:id="rId11"/>
      <headerFooter alignWithMargins="0"/>
    </customSheetView>
    <customSheetView guid="{99CA2F10-F926-46DC-8609-4EAE5B9F3585}" state="hidden" topLeftCell="A5">
      <selection activeCell="D11" sqref="D11"/>
      <pageMargins left="0.75" right="0.62" top="0.65" bottom="1" header="0.5" footer="0.5"/>
      <pageSetup orientation="portrait" r:id="rId12"/>
      <headerFooter alignWithMargins="0"/>
    </customSheetView>
    <customSheetView guid="{63D51328-7CBC-4A1E-B96D-BAE91416501B}" state="hidden" topLeftCell="A5">
      <selection activeCell="D11" sqref="D11"/>
      <pageMargins left="0.75" right="0.62" top="0.65" bottom="1" header="0.5" footer="0.5"/>
      <pageSetup orientation="portrait" r:id="rId13"/>
      <headerFooter alignWithMargins="0"/>
    </customSheetView>
    <customSheetView guid="{112647D2-7580-431B-99B5-DD512E2AD50E}" state="hidden" topLeftCell="A5">
      <selection activeCell="D11" sqref="D11"/>
      <pageMargins left="0.75" right="0.62" top="0.65" bottom="1" header="0.5" footer="0.5"/>
      <pageSetup orientation="portrait" r:id="rId14"/>
      <headerFooter alignWithMargins="0"/>
    </customSheetView>
    <customSheetView guid="{BDFA0401-0547-4E51-8BD2-84F711B066CA}" state="hidden" topLeftCell="A5">
      <selection activeCell="D11" sqref="D11"/>
      <pageMargins left="0.75" right="0.62" top="0.65" bottom="1" header="0.5" footer="0.5"/>
      <pageSetup orientation="portrait" r:id="rId15"/>
      <headerFooter alignWithMargins="0"/>
    </customSheetView>
    <customSheetView guid="{9E88A623-8EDB-47F0-815B-9C48385C3E73}" state="hidden" topLeftCell="A5">
      <selection activeCell="D11" sqref="D11"/>
      <pageMargins left="0.75" right="0.62" top="0.65" bottom="1" header="0.5" footer="0.5"/>
      <pageSetup orientation="portrait" r:id="rId16"/>
      <headerFooter alignWithMargins="0"/>
    </customSheetView>
  </customSheetViews>
  <mergeCells count="1">
    <mergeCell ref="A2:E2"/>
  </mergeCells>
  <pageMargins left="0.75" right="0.62" top="0.65" bottom="1" header="0.5" footer="0.5"/>
  <pageSetup orientation="portrait" r:id="rId17"/>
  <headerFooter alignWithMargins="0"/>
  <drawing r:id="rId1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tabSelected="1" view="pageBreakPreview" topLeftCell="A23" zoomScaleNormal="100" zoomScaleSheetLayoutView="100" workbookViewId="0">
      <selection activeCell="F51" sqref="F51"/>
    </sheetView>
  </sheetViews>
  <sheetFormatPr defaultColWidth="9.140625" defaultRowHeight="16.5"/>
  <cols>
    <col min="1" max="1" width="10.7109375" style="204" customWidth="1"/>
    <col min="2" max="2" width="15.28515625" style="209" customWidth="1"/>
    <col min="3" max="3" width="16.28515625" style="204" customWidth="1"/>
    <col min="4" max="4" width="20.7109375" style="204" customWidth="1"/>
    <col min="5" max="5" width="12.7109375" style="204" customWidth="1"/>
    <col min="6" max="6" width="34.140625" style="204" customWidth="1"/>
    <col min="7" max="7" width="9.140625" style="204" customWidth="1"/>
    <col min="8" max="8" width="12" style="204" hidden="1" customWidth="1"/>
    <col min="9" max="18" width="9.140625" style="205" hidden="1" customWidth="1"/>
    <col min="19" max="19" width="8" style="205" hidden="1" customWidth="1"/>
    <col min="20" max="20" width="9.140625" style="205" hidden="1" customWidth="1"/>
    <col min="21" max="21" width="7.7109375" style="205" hidden="1" customWidth="1"/>
    <col min="22" max="22" width="9.140625" style="205" hidden="1" customWidth="1"/>
    <col min="23" max="23" width="5.5703125" style="205" hidden="1" customWidth="1"/>
    <col min="24" max="24" width="4.85546875" style="205" hidden="1" customWidth="1"/>
    <col min="25" max="25" width="9.140625" style="205" hidden="1" customWidth="1"/>
    <col min="26" max="26" width="66.7109375" style="205" hidden="1" customWidth="1"/>
    <col min="27" max="27" width="17.5703125" style="205" hidden="1" customWidth="1"/>
    <col min="28" max="28" width="20" style="205" hidden="1" customWidth="1"/>
    <col min="29" max="29" width="13.85546875" style="205" hidden="1" customWidth="1"/>
    <col min="30" max="30" width="9.140625" style="206" hidden="1" customWidth="1"/>
    <col min="31" max="31" width="9.140625" style="207" hidden="1" customWidth="1"/>
    <col min="32" max="32" width="13.7109375" style="207" hidden="1" customWidth="1"/>
    <col min="33" max="35" width="9.140625" style="206" hidden="1" customWidth="1"/>
    <col min="36" max="36" width="10.42578125" style="206" hidden="1" customWidth="1"/>
    <col min="37" max="41" width="9.140625" style="206" hidden="1" customWidth="1"/>
    <col min="42" max="16384" width="9.140625" style="205"/>
  </cols>
  <sheetData>
    <row r="1" spans="1:36" ht="24.75" customHeight="1">
      <c r="A1" s="201" t="str">
        <f>Cover!B3</f>
        <v>Spec. No: CC/NT/W-RT/DOM/A00/23/02849</v>
      </c>
      <c r="B1" s="201"/>
      <c r="C1" s="202"/>
      <c r="D1" s="202"/>
      <c r="E1" s="202"/>
      <c r="F1" s="203" t="s">
        <v>208</v>
      </c>
      <c r="Z1" s="205" t="str">
        <f>'[6]Names of Bidder'!D6</f>
        <v>Sole Bidder</v>
      </c>
      <c r="AE1" s="207">
        <v>1</v>
      </c>
      <c r="AF1" s="207" t="s">
        <v>209</v>
      </c>
      <c r="AI1" s="207">
        <v>1</v>
      </c>
      <c r="AJ1" s="206" t="s">
        <v>210</v>
      </c>
    </row>
    <row r="2" spans="1:36">
      <c r="B2" s="204"/>
      <c r="Z2" s="205">
        <f>'[6]Names of Bidder'!AA6</f>
        <v>0</v>
      </c>
      <c r="AE2" s="207">
        <v>2</v>
      </c>
      <c r="AF2" s="207" t="s">
        <v>211</v>
      </c>
      <c r="AI2" s="207">
        <v>2</v>
      </c>
      <c r="AJ2" s="206" t="s">
        <v>212</v>
      </c>
    </row>
    <row r="3" spans="1:36" ht="17.25">
      <c r="A3" s="905" t="s">
        <v>213</v>
      </c>
      <c r="B3" s="905"/>
      <c r="C3" s="905"/>
      <c r="D3" s="905"/>
      <c r="E3" s="905"/>
      <c r="F3" s="905"/>
      <c r="AE3" s="207">
        <v>3</v>
      </c>
      <c r="AF3" s="207" t="s">
        <v>214</v>
      </c>
      <c r="AI3" s="207">
        <v>3</v>
      </c>
      <c r="AJ3" s="206" t="s">
        <v>215</v>
      </c>
    </row>
    <row r="4" spans="1:36">
      <c r="A4" s="208"/>
      <c r="B4" s="208"/>
      <c r="C4" s="208"/>
      <c r="D4" s="208"/>
      <c r="E4" s="208"/>
      <c r="F4" s="208"/>
      <c r="AE4" s="207">
        <v>4</v>
      </c>
      <c r="AF4" s="207" t="s">
        <v>216</v>
      </c>
      <c r="AI4" s="207">
        <v>4</v>
      </c>
      <c r="AJ4" s="206" t="s">
        <v>217</v>
      </c>
    </row>
    <row r="5" spans="1:36">
      <c r="A5" s="209" t="s">
        <v>218</v>
      </c>
      <c r="C5" s="906"/>
      <c r="D5" s="906"/>
      <c r="E5" s="906"/>
      <c r="F5" s="906"/>
      <c r="AE5" s="207">
        <v>5</v>
      </c>
      <c r="AF5" s="207" t="s">
        <v>216</v>
      </c>
      <c r="AI5" s="207">
        <v>5</v>
      </c>
      <c r="AJ5" s="206" t="s">
        <v>219</v>
      </c>
    </row>
    <row r="6" spans="1:36">
      <c r="A6" s="209" t="s">
        <v>220</v>
      </c>
      <c r="B6" s="897" t="str">
        <f>'Names of Bidder'!D27&amp;'Names of Bidder'!E27&amp;'Names of Bidder'!F27</f>
        <v/>
      </c>
      <c r="C6" s="897"/>
      <c r="AE6" s="207">
        <v>6</v>
      </c>
      <c r="AF6" s="207" t="s">
        <v>216</v>
      </c>
      <c r="AG6" s="210" t="e">
        <f>DAY(B6)</f>
        <v>#VALUE!</v>
      </c>
      <c r="AI6" s="207">
        <v>6</v>
      </c>
      <c r="AJ6" s="206" t="s">
        <v>221</v>
      </c>
    </row>
    <row r="7" spans="1:36">
      <c r="A7" s="209"/>
      <c r="B7" s="211"/>
      <c r="C7" s="211"/>
      <c r="AE7" s="207">
        <v>7</v>
      </c>
      <c r="AF7" s="207" t="s">
        <v>216</v>
      </c>
      <c r="AG7" s="210" t="e">
        <f>MONTH(B6)</f>
        <v>#VALUE!</v>
      </c>
      <c r="AI7" s="207">
        <v>7</v>
      </c>
      <c r="AJ7" s="206" t="s">
        <v>222</v>
      </c>
    </row>
    <row r="8" spans="1:36">
      <c r="A8" s="212" t="s">
        <v>1</v>
      </c>
      <c r="B8" s="213"/>
      <c r="F8" s="214"/>
      <c r="AE8" s="207">
        <v>8</v>
      </c>
      <c r="AF8" s="207" t="s">
        <v>216</v>
      </c>
      <c r="AG8" s="210" t="e">
        <f>LOOKUP(AG7,AI1:AI12,AJ1:AJ12)</f>
        <v>#VALUE!</v>
      </c>
      <c r="AI8" s="207">
        <v>8</v>
      </c>
      <c r="AJ8" s="206" t="s">
        <v>223</v>
      </c>
    </row>
    <row r="9" spans="1:36">
      <c r="A9" s="215">
        <f>'Sch-1'!L8</f>
        <v>0</v>
      </c>
      <c r="B9" s="215"/>
      <c r="F9" s="214"/>
      <c r="AE9" s="207">
        <v>9</v>
      </c>
      <c r="AF9" s="207" t="s">
        <v>216</v>
      </c>
      <c r="AG9" s="210" t="e">
        <f>YEAR(B6)</f>
        <v>#VALUE!</v>
      </c>
      <c r="AI9" s="207">
        <v>9</v>
      </c>
      <c r="AJ9" s="206" t="s">
        <v>224</v>
      </c>
    </row>
    <row r="10" spans="1:36">
      <c r="A10" s="215" t="str">
        <f>'Sch-1'!K9</f>
        <v>Power Grid Corporation of India Ltd.,</v>
      </c>
      <c r="B10" s="215"/>
      <c r="F10" s="214"/>
      <c r="AE10" s="207">
        <v>10</v>
      </c>
      <c r="AF10" s="207" t="s">
        <v>216</v>
      </c>
      <c r="AI10" s="207">
        <v>10</v>
      </c>
      <c r="AJ10" s="206" t="s">
        <v>225</v>
      </c>
    </row>
    <row r="11" spans="1:36">
      <c r="A11" s="215" t="str">
        <f>'Sch-1'!K10</f>
        <v>"Saudamini", Plot No.-2</v>
      </c>
      <c r="B11" s="215"/>
      <c r="F11" s="214"/>
      <c r="AE11" s="207">
        <v>11</v>
      </c>
      <c r="AF11" s="207" t="s">
        <v>216</v>
      </c>
      <c r="AI11" s="207">
        <v>11</v>
      </c>
      <c r="AJ11" s="206" t="s">
        <v>226</v>
      </c>
    </row>
    <row r="12" spans="1:36">
      <c r="A12" s="215" t="str">
        <f>'Sch-1'!K11</f>
        <v xml:space="preserve">Sector-29, </v>
      </c>
      <c r="B12" s="215"/>
      <c r="F12" s="214"/>
      <c r="AE12" s="207">
        <v>12</v>
      </c>
      <c r="AF12" s="207" t="s">
        <v>216</v>
      </c>
      <c r="AI12" s="207">
        <v>12</v>
      </c>
      <c r="AJ12" s="206" t="s">
        <v>227</v>
      </c>
    </row>
    <row r="13" spans="1:36">
      <c r="A13" s="215" t="str">
        <f>'Sch-1'!K12</f>
        <v>Gurgaon (Haryana) - 122001</v>
      </c>
      <c r="B13" s="215"/>
      <c r="F13" s="214"/>
      <c r="AE13" s="207">
        <v>13</v>
      </c>
      <c r="AF13" s="207" t="s">
        <v>216</v>
      </c>
    </row>
    <row r="14" spans="1:36" ht="22.5" customHeight="1">
      <c r="A14" s="209"/>
      <c r="F14" s="214"/>
      <c r="AE14" s="207">
        <v>14</v>
      </c>
      <c r="AF14" s="207" t="s">
        <v>216</v>
      </c>
    </row>
    <row r="15" spans="1:36" ht="106.5" customHeight="1">
      <c r="A15" s="536" t="s">
        <v>228</v>
      </c>
      <c r="B15" s="537"/>
      <c r="C15" s="907"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D15" s="907"/>
      <c r="E15" s="907"/>
      <c r="F15" s="907"/>
      <c r="AE15" s="207">
        <v>15</v>
      </c>
      <c r="AF15" s="207" t="s">
        <v>216</v>
      </c>
    </row>
    <row r="16" spans="1:36" ht="27.75" customHeight="1">
      <c r="A16" s="204" t="s">
        <v>229</v>
      </c>
      <c r="B16" s="204"/>
      <c r="C16" s="214"/>
      <c r="D16" s="214"/>
      <c r="E16" s="214"/>
      <c r="F16" s="214"/>
      <c r="AE16" s="207">
        <v>16</v>
      </c>
      <c r="AF16" s="207" t="s">
        <v>216</v>
      </c>
    </row>
    <row r="17" spans="1:41" ht="99.75" customHeight="1">
      <c r="A17" s="217">
        <v>1</v>
      </c>
      <c r="B17" s="903"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03"/>
      <c r="D17" s="903"/>
      <c r="E17" s="903"/>
      <c r="F17" s="903"/>
      <c r="H17" s="626" t="s">
        <v>302</v>
      </c>
      <c r="Z17" s="218"/>
      <c r="AA17" s="219"/>
      <c r="AB17" s="220"/>
      <c r="AC17" s="221"/>
      <c r="AE17" s="207">
        <v>17</v>
      </c>
      <c r="AF17" s="207" t="s">
        <v>216</v>
      </c>
    </row>
    <row r="18" spans="1:41" ht="24.75" customHeight="1">
      <c r="A18" s="217"/>
      <c r="B18" s="903"/>
      <c r="C18" s="903"/>
      <c r="D18" s="903"/>
      <c r="E18" s="903"/>
      <c r="F18" s="903"/>
      <c r="H18" s="220">
        <f>ROUND('Sch-6 (After Discount)'!D28,2)</f>
        <v>0</v>
      </c>
      <c r="I18" s="205" t="s">
        <v>471</v>
      </c>
      <c r="Z18" s="218"/>
      <c r="AA18" s="219"/>
      <c r="AB18" s="220"/>
      <c r="AC18" s="221"/>
    </row>
    <row r="19" spans="1:41" ht="13.5" customHeight="1">
      <c r="A19" s="217"/>
      <c r="B19" s="903"/>
      <c r="C19" s="903"/>
      <c r="D19" s="903"/>
      <c r="E19" s="903"/>
      <c r="F19" s="903"/>
      <c r="H19" s="627" t="str">
        <f>'N-W (Cr.)'!P4</f>
        <v/>
      </c>
      <c r="N19" s="205" t="s">
        <v>470</v>
      </c>
      <c r="Z19" s="218"/>
      <c r="AA19" s="219"/>
      <c r="AB19" s="220"/>
      <c r="AC19" s="221"/>
    </row>
    <row r="20" spans="1:41" ht="39" customHeight="1">
      <c r="B20" s="904" t="s">
        <v>230</v>
      </c>
      <c r="C20" s="904"/>
      <c r="D20" s="904"/>
      <c r="E20" s="904"/>
      <c r="F20" s="904"/>
      <c r="H20" s="204" t="s">
        <v>301</v>
      </c>
      <c r="AE20" s="207">
        <v>18</v>
      </c>
      <c r="AF20" s="207" t="s">
        <v>216</v>
      </c>
    </row>
    <row r="21" spans="1:41" s="204" customFormat="1" ht="27.75" customHeight="1">
      <c r="A21" s="222">
        <v>2</v>
      </c>
      <c r="B21" s="902" t="s">
        <v>231</v>
      </c>
      <c r="C21" s="902"/>
      <c r="D21" s="902"/>
      <c r="E21" s="902"/>
      <c r="F21" s="902"/>
      <c r="AD21" s="223"/>
      <c r="AE21" s="207">
        <v>19</v>
      </c>
      <c r="AF21" s="207" t="s">
        <v>216</v>
      </c>
      <c r="AG21" s="223"/>
      <c r="AH21" s="223"/>
      <c r="AI21" s="223"/>
      <c r="AJ21" s="223"/>
      <c r="AK21" s="223"/>
      <c r="AL21" s="223"/>
      <c r="AM21" s="223"/>
      <c r="AN21" s="223"/>
      <c r="AO21" s="223"/>
    </row>
    <row r="22" spans="1:41" ht="39.75" customHeight="1">
      <c r="A22" s="217">
        <v>2.1</v>
      </c>
      <c r="B22" s="899" t="s">
        <v>232</v>
      </c>
      <c r="C22" s="899"/>
      <c r="D22" s="899"/>
      <c r="E22" s="899"/>
      <c r="F22" s="899"/>
      <c r="AE22" s="207">
        <v>20</v>
      </c>
      <c r="AF22" s="207" t="s">
        <v>216</v>
      </c>
    </row>
    <row r="23" spans="1:41" ht="36.75" customHeight="1">
      <c r="B23" s="901" t="s">
        <v>233</v>
      </c>
      <c r="C23" s="901"/>
      <c r="D23" s="899" t="s">
        <v>234</v>
      </c>
      <c r="E23" s="899"/>
      <c r="F23" s="899"/>
      <c r="AE23" s="207">
        <v>21</v>
      </c>
      <c r="AF23" s="207" t="s">
        <v>209</v>
      </c>
    </row>
    <row r="24" spans="1:41" ht="33" customHeight="1">
      <c r="B24" s="901" t="s">
        <v>235</v>
      </c>
      <c r="C24" s="901"/>
      <c r="D24" s="216" t="s">
        <v>303</v>
      </c>
      <c r="E24" s="216"/>
      <c r="F24" s="216"/>
      <c r="AE24" s="207">
        <v>22</v>
      </c>
      <c r="AF24" s="207" t="s">
        <v>216</v>
      </c>
    </row>
    <row r="25" spans="1:41" ht="27.95" customHeight="1">
      <c r="B25" s="901" t="s">
        <v>236</v>
      </c>
      <c r="C25" s="901"/>
      <c r="D25" s="216" t="s">
        <v>237</v>
      </c>
      <c r="E25" s="216"/>
      <c r="F25" s="216"/>
      <c r="H25" s="223" t="str">
        <f>'[6]Names of Bidder'!D6</f>
        <v>Sole Bidder</v>
      </c>
      <c r="AE25" s="207">
        <v>23</v>
      </c>
      <c r="AF25" s="207" t="s">
        <v>216</v>
      </c>
    </row>
    <row r="26" spans="1:41" ht="27.95" customHeight="1">
      <c r="B26" s="901" t="s">
        <v>238</v>
      </c>
      <c r="C26" s="901"/>
      <c r="D26" s="216" t="s">
        <v>239</v>
      </c>
      <c r="E26" s="216"/>
      <c r="F26" s="216"/>
      <c r="AE26" s="207">
        <v>24</v>
      </c>
      <c r="AF26" s="207" t="s">
        <v>216</v>
      </c>
    </row>
    <row r="27" spans="1:41" ht="27.95" customHeight="1">
      <c r="B27" s="901" t="s">
        <v>240</v>
      </c>
      <c r="C27" s="901"/>
      <c r="D27" s="216" t="s">
        <v>241</v>
      </c>
      <c r="E27" s="216"/>
      <c r="F27" s="216"/>
      <c r="AE27" s="207">
        <v>25</v>
      </c>
      <c r="AF27" s="207" t="s">
        <v>216</v>
      </c>
    </row>
    <row r="28" spans="1:41" ht="27.95" customHeight="1">
      <c r="B28" s="901" t="s">
        <v>242</v>
      </c>
      <c r="C28" s="901"/>
      <c r="D28" s="216" t="s">
        <v>243</v>
      </c>
      <c r="E28" s="216"/>
      <c r="F28" s="216"/>
      <c r="AE28" s="207">
        <v>26</v>
      </c>
      <c r="AF28" s="207" t="s">
        <v>216</v>
      </c>
    </row>
    <row r="29" spans="1:41" ht="27.95" customHeight="1">
      <c r="B29" s="901" t="s">
        <v>30</v>
      </c>
      <c r="C29" s="901"/>
      <c r="D29" s="216" t="s">
        <v>244</v>
      </c>
      <c r="E29" s="216"/>
      <c r="F29" s="216"/>
      <c r="AE29" s="207">
        <v>27</v>
      </c>
      <c r="AF29" s="207" t="s">
        <v>216</v>
      </c>
    </row>
    <row r="30" spans="1:41" ht="98.25" customHeight="1">
      <c r="A30" s="224">
        <v>2.2000000000000002</v>
      </c>
      <c r="B30" s="899" t="s">
        <v>245</v>
      </c>
      <c r="C30" s="899"/>
      <c r="D30" s="899"/>
      <c r="E30" s="899"/>
      <c r="F30" s="899"/>
      <c r="AE30" s="207">
        <v>28</v>
      </c>
      <c r="AF30" s="207" t="s">
        <v>216</v>
      </c>
    </row>
    <row r="31" spans="1:41" ht="68.25" customHeight="1">
      <c r="A31" s="224">
        <v>2.2999999999999998</v>
      </c>
      <c r="B31" s="899" t="s">
        <v>246</v>
      </c>
      <c r="C31" s="899"/>
      <c r="D31" s="899"/>
      <c r="E31" s="899"/>
      <c r="F31" s="899"/>
      <c r="AE31" s="207">
        <v>29</v>
      </c>
      <c r="AF31" s="207" t="s">
        <v>216</v>
      </c>
    </row>
    <row r="32" spans="1:41" ht="129.75" customHeight="1">
      <c r="A32" s="224">
        <v>2.4</v>
      </c>
      <c r="B32" s="899" t="s">
        <v>247</v>
      </c>
      <c r="C32" s="899"/>
      <c r="D32" s="899"/>
      <c r="E32" s="899"/>
      <c r="F32" s="899"/>
      <c r="AE32" s="207">
        <v>30</v>
      </c>
      <c r="AF32" s="207" t="s">
        <v>216</v>
      </c>
    </row>
    <row r="33" spans="1:32" ht="79.5" customHeight="1">
      <c r="A33" s="224">
        <v>2.5</v>
      </c>
      <c r="B33" s="899" t="s">
        <v>248</v>
      </c>
      <c r="C33" s="899"/>
      <c r="D33" s="899"/>
      <c r="E33" s="899"/>
      <c r="F33" s="899"/>
      <c r="AE33" s="207">
        <v>31</v>
      </c>
      <c r="AF33" s="207" t="s">
        <v>209</v>
      </c>
    </row>
    <row r="34" spans="1:32" ht="81" customHeight="1">
      <c r="A34" s="217">
        <v>3</v>
      </c>
      <c r="B34" s="899" t="s">
        <v>249</v>
      </c>
      <c r="C34" s="899"/>
      <c r="D34" s="899"/>
      <c r="E34" s="899"/>
      <c r="F34" s="899"/>
    </row>
    <row r="35" spans="1:32" ht="63" customHeight="1">
      <c r="A35" s="217">
        <v>3.1</v>
      </c>
      <c r="B35" s="900" t="s">
        <v>304</v>
      </c>
      <c r="C35" s="900"/>
      <c r="D35" s="900"/>
      <c r="E35" s="900"/>
      <c r="F35" s="900"/>
    </row>
    <row r="36" spans="1:32" ht="114" customHeight="1">
      <c r="A36" s="224">
        <v>3.2</v>
      </c>
      <c r="B36" s="899" t="s">
        <v>305</v>
      </c>
      <c r="C36" s="899"/>
      <c r="D36" s="899"/>
      <c r="E36" s="899"/>
      <c r="F36" s="899"/>
    </row>
    <row r="37" spans="1:32" ht="65.25" customHeight="1">
      <c r="A37" s="224">
        <v>3.3</v>
      </c>
      <c r="B37" s="899" t="s">
        <v>306</v>
      </c>
      <c r="C37" s="899"/>
      <c r="D37" s="899"/>
      <c r="E37" s="899"/>
      <c r="F37" s="899"/>
    </row>
    <row r="38" spans="1:32" ht="66" customHeight="1">
      <c r="A38" s="217">
        <v>4</v>
      </c>
      <c r="B38" s="899" t="s">
        <v>250</v>
      </c>
      <c r="C38" s="899"/>
      <c r="D38" s="899"/>
      <c r="E38" s="899"/>
      <c r="F38" s="899"/>
    </row>
    <row r="39" spans="1:32" ht="93" customHeight="1">
      <c r="A39" s="217">
        <v>5</v>
      </c>
      <c r="B39" s="899" t="s">
        <v>251</v>
      </c>
      <c r="C39" s="899"/>
      <c r="D39" s="899"/>
      <c r="E39" s="899"/>
      <c r="F39" s="899"/>
    </row>
    <row r="40" spans="1:32" ht="20.25" customHeight="1">
      <c r="B40" s="84" t="str">
        <f>IF(ISERROR("Dated this " &amp; AG6 &amp; LOOKUP(AG6,AE1:AE33,AF1:AF33) &amp; " day of " &amp; AG8 &amp; " " &amp;AG9), "", "Dated this " &amp; AG6 &amp; LOOKUP(AG6,AE1:AE33,AF1:AF33) &amp; " day of " &amp; AG8 &amp; " " &amp;AG9)</f>
        <v/>
      </c>
      <c r="C40" s="84"/>
      <c r="D40" s="84"/>
      <c r="E40" s="225"/>
      <c r="F40" s="225"/>
    </row>
    <row r="41" spans="1:32" ht="30" customHeight="1">
      <c r="B41" s="84" t="s">
        <v>180</v>
      </c>
      <c r="C41" s="33"/>
      <c r="D41" s="82"/>
      <c r="E41" s="82"/>
      <c r="F41" s="82"/>
    </row>
    <row r="42" spans="1:32" ht="20.25" customHeight="1">
      <c r="B42" s="226"/>
      <c r="C42" s="82"/>
      <c r="D42" s="82"/>
      <c r="E42" s="84"/>
      <c r="F42" s="227" t="s">
        <v>181</v>
      </c>
    </row>
    <row r="43" spans="1:32" ht="18" customHeight="1">
      <c r="B43" s="226"/>
      <c r="C43" s="82"/>
      <c r="D43" s="84"/>
      <c r="E43" s="84"/>
      <c r="F43" s="227" t="str">
        <f>"For and on behalf of  " &amp; 'Sch-1'!A7</f>
        <v>For and on behalf of  0</v>
      </c>
    </row>
    <row r="44" spans="1:32" ht="30" customHeight="1">
      <c r="A44" s="205"/>
      <c r="B44" s="205"/>
      <c r="C44" s="228"/>
      <c r="D44" s="205"/>
      <c r="E44" s="229" t="s">
        <v>252</v>
      </c>
      <c r="F44" s="209"/>
    </row>
    <row r="45" spans="1:32" ht="30" customHeight="1">
      <c r="A45" s="230" t="s">
        <v>182</v>
      </c>
      <c r="B45" s="896" t="str">
        <f>Discount!C39</f>
        <v xml:space="preserve">  </v>
      </c>
      <c r="C45" s="897"/>
      <c r="D45" s="205"/>
      <c r="E45" s="229" t="s">
        <v>183</v>
      </c>
      <c r="F45" s="419">
        <f>Discount!F39</f>
        <v>0</v>
      </c>
    </row>
    <row r="46" spans="1:32" ht="30" customHeight="1">
      <c r="A46" s="230" t="s">
        <v>184</v>
      </c>
      <c r="B46" s="898" t="str">
        <f>Discount!C40</f>
        <v/>
      </c>
      <c r="C46" s="897"/>
      <c r="D46" s="205"/>
      <c r="E46" s="229" t="s">
        <v>185</v>
      </c>
      <c r="F46" s="419">
        <f>Discount!F40</f>
        <v>0</v>
      </c>
    </row>
    <row r="47" spans="1:32" ht="30" customHeight="1">
      <c r="B47" s="204"/>
      <c r="D47" s="205"/>
      <c r="E47" s="229" t="s">
        <v>253</v>
      </c>
    </row>
    <row r="48" spans="1:32" ht="30" customHeight="1">
      <c r="A48" s="895" t="str">
        <f>IF(H25="Sole Bidder", "", "In case of bid from a Joint Venture, name &amp; designation of representative of JV partner is to be provided and Bid Form is also to be signed by him.")</f>
        <v/>
      </c>
      <c r="B48" s="895"/>
      <c r="C48" s="895"/>
      <c r="D48" s="895"/>
      <c r="E48" s="895"/>
      <c r="F48" s="895"/>
    </row>
    <row r="49" spans="1:41" ht="30" customHeight="1">
      <c r="A49" s="231"/>
      <c r="B49" s="231"/>
      <c r="C49" s="84" t="str">
        <f>IF(Z2="2 or More", "Other Partner-2", "")</f>
        <v/>
      </c>
      <c r="D49" s="231"/>
      <c r="E49" s="232"/>
      <c r="F49" s="232" t="str">
        <f>IF(Z2=1,"Other Partner",IF(Z2="2 or More","Other Partner-1",""))</f>
        <v/>
      </c>
    </row>
    <row r="50" spans="1:41" ht="30" customHeight="1">
      <c r="A50" s="84"/>
      <c r="B50" s="227" t="str">
        <f>IF(Z2="2 or More", "Signature :", "")</f>
        <v/>
      </c>
      <c r="C50" s="233"/>
      <c r="D50" s="84"/>
      <c r="E50" s="227"/>
      <c r="F50" s="84"/>
    </row>
    <row r="51" spans="1:41" s="204" customFormat="1" ht="30" customHeight="1">
      <c r="A51" s="84"/>
      <c r="B51" s="227" t="str">
        <f>IF(Z2="2 or More", "Printed Name :", "")</f>
        <v/>
      </c>
      <c r="C51" s="234"/>
      <c r="D51" s="84"/>
      <c r="E51" s="227" t="str">
        <f>IF(Z1="Sole Bidder", "", "Printed Name :")</f>
        <v/>
      </c>
      <c r="F51" s="235"/>
      <c r="H51" s="209"/>
      <c r="AD51" s="223"/>
      <c r="AE51" s="207"/>
      <c r="AF51" s="207"/>
      <c r="AG51" s="223"/>
      <c r="AH51" s="223"/>
      <c r="AI51" s="223"/>
      <c r="AJ51" s="223"/>
      <c r="AK51" s="223"/>
      <c r="AL51" s="223"/>
      <c r="AM51" s="223"/>
      <c r="AN51" s="223"/>
      <c r="AO51" s="223"/>
    </row>
    <row r="52" spans="1:41" s="204" customFormat="1" ht="30" customHeight="1">
      <c r="A52" s="84"/>
      <c r="B52" s="227" t="str">
        <f>IF(Z2="2 or More", "Designation :", "")</f>
        <v/>
      </c>
      <c r="C52" s="234"/>
      <c r="D52" s="84"/>
      <c r="E52" s="227" t="str">
        <f>IF(Z1="Sole Bidder", "", "Designation :")</f>
        <v/>
      </c>
      <c r="F52" s="235"/>
      <c r="H52" s="209"/>
      <c r="AD52" s="223"/>
      <c r="AE52" s="207"/>
      <c r="AF52" s="207"/>
      <c r="AG52" s="223"/>
      <c r="AH52" s="223"/>
      <c r="AI52" s="223"/>
      <c r="AJ52" s="223"/>
      <c r="AK52" s="223"/>
      <c r="AL52" s="223"/>
      <c r="AM52" s="223"/>
      <c r="AN52" s="223"/>
      <c r="AO52" s="223"/>
    </row>
    <row r="53" spans="1:41" s="204" customFormat="1" ht="30" customHeight="1">
      <c r="A53" s="84"/>
      <c r="B53" s="227" t="str">
        <f>IF(Z2=2, "Common Seal :", "")</f>
        <v/>
      </c>
      <c r="C53" s="233"/>
      <c r="D53" s="84"/>
      <c r="E53" s="227"/>
      <c r="F53" s="84"/>
      <c r="H53" s="209"/>
      <c r="AD53" s="223"/>
      <c r="AE53" s="207"/>
      <c r="AF53" s="207"/>
      <c r="AG53" s="223"/>
      <c r="AH53" s="223"/>
      <c r="AI53" s="223"/>
      <c r="AJ53" s="223"/>
      <c r="AK53" s="223"/>
      <c r="AL53" s="223"/>
      <c r="AM53" s="223"/>
      <c r="AN53" s="223"/>
      <c r="AO53" s="223"/>
    </row>
    <row r="54" spans="1:41" s="204" customFormat="1" ht="33" customHeight="1">
      <c r="A54" s="236" t="s">
        <v>254</v>
      </c>
      <c r="B54" s="237"/>
      <c r="C54" s="233"/>
      <c r="D54" s="84"/>
      <c r="E54" s="227"/>
      <c r="F54" s="84"/>
      <c r="H54" s="209"/>
      <c r="AD54" s="223"/>
      <c r="AE54" s="207"/>
      <c r="AF54" s="207"/>
      <c r="AG54" s="223"/>
      <c r="AH54" s="223"/>
      <c r="AI54" s="223"/>
      <c r="AJ54" s="223"/>
      <c r="AK54" s="223"/>
      <c r="AL54" s="223"/>
      <c r="AM54" s="223"/>
      <c r="AN54" s="223"/>
      <c r="AO54" s="223"/>
    </row>
    <row r="55" spans="1:41" s="204" customFormat="1" ht="33" customHeight="1">
      <c r="A55" s="892" t="s">
        <v>255</v>
      </c>
      <c r="B55" s="892"/>
      <c r="C55" s="892"/>
      <c r="D55" s="678"/>
      <c r="E55" s="678"/>
      <c r="F55" s="678"/>
      <c r="H55" s="209"/>
      <c r="AD55" s="223"/>
      <c r="AE55" s="207"/>
      <c r="AF55" s="207"/>
      <c r="AG55" s="223"/>
      <c r="AH55" s="223"/>
      <c r="AI55" s="223"/>
      <c r="AJ55" s="223"/>
      <c r="AK55" s="223"/>
      <c r="AL55" s="223"/>
      <c r="AM55" s="223"/>
      <c r="AN55" s="223"/>
      <c r="AO55" s="223"/>
    </row>
    <row r="56" spans="1:41" s="204" customFormat="1" ht="33" customHeight="1">
      <c r="A56" s="894"/>
      <c r="B56" s="894"/>
      <c r="C56" s="894"/>
      <c r="D56" s="678"/>
      <c r="E56" s="678"/>
      <c r="F56" s="678"/>
      <c r="H56" s="209"/>
      <c r="AD56" s="223"/>
      <c r="AE56" s="207"/>
      <c r="AF56" s="207"/>
      <c r="AG56" s="223"/>
      <c r="AH56" s="223"/>
      <c r="AI56" s="223"/>
      <c r="AJ56" s="223"/>
      <c r="AK56" s="223"/>
      <c r="AL56" s="223"/>
      <c r="AM56" s="223"/>
      <c r="AN56" s="223"/>
      <c r="AO56" s="223"/>
    </row>
    <row r="57" spans="1:41" s="204" customFormat="1" ht="33" customHeight="1">
      <c r="A57" s="893"/>
      <c r="B57" s="893"/>
      <c r="C57" s="893"/>
      <c r="D57" s="678"/>
      <c r="E57" s="678"/>
      <c r="F57" s="678"/>
      <c r="H57" s="209"/>
      <c r="AD57" s="223"/>
      <c r="AE57" s="207"/>
      <c r="AF57" s="207"/>
      <c r="AG57" s="223"/>
      <c r="AH57" s="223"/>
      <c r="AI57" s="223"/>
      <c r="AJ57" s="223"/>
      <c r="AK57" s="223"/>
      <c r="AL57" s="223"/>
      <c r="AM57" s="223"/>
      <c r="AN57" s="223"/>
      <c r="AO57" s="223"/>
    </row>
    <row r="58" spans="1:41" s="204" customFormat="1" ht="33" customHeight="1">
      <c r="A58" s="890" t="s">
        <v>256</v>
      </c>
      <c r="B58" s="890"/>
      <c r="C58" s="890"/>
      <c r="D58" s="678"/>
      <c r="E58" s="678"/>
      <c r="F58" s="678"/>
      <c r="H58" s="209"/>
      <c r="AD58" s="223"/>
      <c r="AE58" s="207"/>
      <c r="AF58" s="207"/>
      <c r="AG58" s="223"/>
      <c r="AH58" s="223"/>
      <c r="AI58" s="223"/>
      <c r="AJ58" s="223"/>
      <c r="AK58" s="223"/>
      <c r="AL58" s="223"/>
      <c r="AM58" s="223"/>
      <c r="AN58" s="223"/>
      <c r="AO58" s="223"/>
    </row>
    <row r="59" spans="1:41" s="204" customFormat="1" ht="33" customHeight="1">
      <c r="A59" s="890" t="s">
        <v>257</v>
      </c>
      <c r="B59" s="890"/>
      <c r="C59" s="890"/>
      <c r="D59" s="678"/>
      <c r="E59" s="678"/>
      <c r="F59" s="678"/>
      <c r="H59" s="209"/>
      <c r="AD59" s="223"/>
      <c r="AE59" s="207"/>
      <c r="AF59" s="207"/>
      <c r="AG59" s="223"/>
      <c r="AH59" s="223"/>
      <c r="AI59" s="223"/>
      <c r="AJ59" s="223"/>
      <c r="AK59" s="223"/>
      <c r="AL59" s="223"/>
      <c r="AM59" s="223"/>
      <c r="AN59" s="223"/>
      <c r="AO59" s="223"/>
    </row>
    <row r="60" spans="1:41" s="204" customFormat="1" ht="33" customHeight="1">
      <c r="A60" s="890" t="s">
        <v>258</v>
      </c>
      <c r="B60" s="890"/>
      <c r="C60" s="890"/>
      <c r="D60" s="678"/>
      <c r="E60" s="678"/>
      <c r="F60" s="678"/>
      <c r="H60" s="209"/>
      <c r="AD60" s="223"/>
      <c r="AE60" s="207"/>
      <c r="AF60" s="207"/>
      <c r="AG60" s="223"/>
      <c r="AH60" s="223"/>
      <c r="AI60" s="223"/>
      <c r="AJ60" s="223"/>
      <c r="AK60" s="223"/>
      <c r="AL60" s="223"/>
      <c r="AM60" s="223"/>
      <c r="AN60" s="223"/>
      <c r="AO60" s="223"/>
    </row>
    <row r="61" spans="1:41" s="204" customFormat="1" ht="33" customHeight="1">
      <c r="A61" s="892" t="s">
        <v>259</v>
      </c>
      <c r="B61" s="892"/>
      <c r="C61" s="892"/>
      <c r="D61" s="678"/>
      <c r="E61" s="678"/>
      <c r="F61" s="678"/>
      <c r="H61" s="209"/>
      <c r="AD61" s="223"/>
      <c r="AE61" s="207"/>
      <c r="AF61" s="207"/>
      <c r="AG61" s="223"/>
      <c r="AH61" s="223"/>
      <c r="AI61" s="223"/>
      <c r="AJ61" s="223"/>
      <c r="AK61" s="223"/>
      <c r="AL61" s="223"/>
      <c r="AM61" s="223"/>
      <c r="AN61" s="223"/>
      <c r="AO61" s="223"/>
    </row>
    <row r="62" spans="1:41" s="204" customFormat="1" ht="33" customHeight="1">
      <c r="A62" s="894"/>
      <c r="B62" s="894"/>
      <c r="C62" s="894"/>
      <c r="D62" s="678"/>
      <c r="E62" s="678"/>
      <c r="F62" s="678"/>
      <c r="H62" s="209"/>
      <c r="AD62" s="223"/>
      <c r="AE62" s="207"/>
      <c r="AF62" s="207"/>
      <c r="AG62" s="223"/>
      <c r="AH62" s="223"/>
      <c r="AI62" s="223"/>
      <c r="AJ62" s="223"/>
      <c r="AK62" s="223"/>
      <c r="AL62" s="223"/>
      <c r="AM62" s="223"/>
      <c r="AN62" s="223"/>
      <c r="AO62" s="223"/>
    </row>
    <row r="63" spans="1:41" s="204" customFormat="1" ht="33" customHeight="1">
      <c r="A63" s="893"/>
      <c r="B63" s="893"/>
      <c r="C63" s="893"/>
      <c r="D63" s="678"/>
      <c r="E63" s="678"/>
      <c r="F63" s="678"/>
      <c r="H63" s="209"/>
      <c r="AD63" s="223"/>
      <c r="AE63" s="207"/>
      <c r="AF63" s="207"/>
      <c r="AG63" s="223"/>
      <c r="AH63" s="223"/>
      <c r="AI63" s="223"/>
      <c r="AJ63" s="223"/>
      <c r="AK63" s="223"/>
      <c r="AL63" s="223"/>
      <c r="AM63" s="223"/>
      <c r="AN63" s="223"/>
      <c r="AO63" s="223"/>
    </row>
    <row r="64" spans="1:41" s="204" customFormat="1" ht="33" customHeight="1">
      <c r="A64" s="891" t="s">
        <v>115</v>
      </c>
      <c r="B64" s="891"/>
      <c r="C64" s="891"/>
      <c r="D64" s="891"/>
      <c r="E64" s="891"/>
      <c r="F64" s="891"/>
      <c r="H64" s="209"/>
      <c r="AD64" s="223"/>
      <c r="AE64" s="207"/>
      <c r="AF64" s="207"/>
      <c r="AG64" s="223"/>
      <c r="AH64" s="223"/>
      <c r="AI64" s="223"/>
      <c r="AJ64" s="223"/>
      <c r="AK64" s="223"/>
      <c r="AL64" s="223"/>
      <c r="AM64" s="223"/>
      <c r="AN64" s="223"/>
      <c r="AO64" s="223"/>
    </row>
    <row r="65" spans="1:41" s="204" customFormat="1" ht="33" customHeight="1">
      <c r="A65" s="209"/>
      <c r="B65" s="209"/>
      <c r="H65" s="209"/>
      <c r="AD65" s="223"/>
      <c r="AE65" s="207"/>
      <c r="AF65" s="207"/>
      <c r="AG65" s="223"/>
      <c r="AH65" s="223"/>
      <c r="AI65" s="223"/>
      <c r="AJ65" s="223"/>
      <c r="AK65" s="223"/>
      <c r="AL65" s="223"/>
      <c r="AM65" s="223"/>
      <c r="AN65" s="223"/>
      <c r="AO65" s="223"/>
    </row>
    <row r="66" spans="1:41" s="204" customFormat="1" ht="33" customHeight="1">
      <c r="A66" s="209"/>
      <c r="B66" s="209"/>
      <c r="H66" s="209"/>
      <c r="AD66" s="223"/>
      <c r="AE66" s="207"/>
      <c r="AF66" s="207"/>
      <c r="AG66" s="223"/>
      <c r="AH66" s="223"/>
      <c r="AI66" s="223"/>
      <c r="AJ66" s="223"/>
      <c r="AK66" s="223"/>
      <c r="AL66" s="223"/>
      <c r="AM66" s="223"/>
      <c r="AN66" s="223"/>
      <c r="AO66" s="223"/>
    </row>
    <row r="67" spans="1:41">
      <c r="A67" s="209"/>
    </row>
    <row r="68" spans="1:41">
      <c r="A68" s="209"/>
    </row>
    <row r="69" spans="1:41">
      <c r="A69" s="209"/>
    </row>
    <row r="70" spans="1:41">
      <c r="A70" s="209"/>
    </row>
    <row r="71" spans="1:41">
      <c r="A71" s="209"/>
    </row>
    <row r="72" spans="1:41">
      <c r="A72" s="209"/>
    </row>
    <row r="73" spans="1:41">
      <c r="A73" s="209"/>
    </row>
    <row r="74" spans="1:41">
      <c r="A74" s="209"/>
    </row>
    <row r="75" spans="1:41">
      <c r="A75" s="209"/>
    </row>
    <row r="76" spans="1:41">
      <c r="A76" s="209"/>
    </row>
    <row r="77" spans="1:41">
      <c r="A77" s="209"/>
    </row>
    <row r="78" spans="1:41">
      <c r="A78" s="209"/>
    </row>
  </sheetData>
  <sheetProtection algorithmName="SHA-512" hashValue="F6ZJhz9bh03lzKrk61UOPK4c+oGgahEzw+d78W6pqmJ02UGcFV8/g1w1JiYlIgQhydVznh8FbyiS3a3ZPPJJ2Q==" saltValue="xiTN93MnLY71N5XbYbBhjQ==" spinCount="100000" sheet="1" formatColumns="0" formatRows="0" selectLockedCells="1"/>
  <customSheetViews>
    <customSheetView guid="{CCA37BAE-906F-43D5-9FD9-B13563E4B9D7}" showPageBreaks="1" showGridLines="0" zeroValues="0" fitToPage="1" printArea="1" hiddenColumns="1" view="pageBreakPreview" topLeftCell="A40">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5"/>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6"/>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5"/>
      <headerFooter alignWithMargins="0">
        <oddFooter>&amp;R&amp;"Book Antiqua,Bold"&amp;8Bid Form (1st Envelope)  / Page &amp;P of &amp;N</oddFooter>
      </headerFooter>
    </customSheetView>
    <customSheetView guid="{9E88A623-8EDB-47F0-815B-9C48385C3E73}"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6"/>
      <headerFooter alignWithMargins="0">
        <oddFooter>&amp;R&amp;"Book Antiqua,Bold"&amp;8Bid Form (1st Envelope)  / Page &amp;P of &amp;N</oddFooter>
      </headerFooter>
    </customSheetView>
  </customSheetViews>
  <mergeCells count="39">
    <mergeCell ref="B17:F19"/>
    <mergeCell ref="B20:F20"/>
    <mergeCell ref="A3:F3"/>
    <mergeCell ref="C5:F5"/>
    <mergeCell ref="B6:C6"/>
    <mergeCell ref="C15:F15"/>
    <mergeCell ref="B26:C26"/>
    <mergeCell ref="B29:C29"/>
    <mergeCell ref="B30:F30"/>
    <mergeCell ref="B21:F21"/>
    <mergeCell ref="B22:F22"/>
    <mergeCell ref="B25:C25"/>
    <mergeCell ref="D23:F23"/>
    <mergeCell ref="B27:C27"/>
    <mergeCell ref="B28:C28"/>
    <mergeCell ref="B23:C23"/>
    <mergeCell ref="B24:C24"/>
    <mergeCell ref="B31:F31"/>
    <mergeCell ref="B38:F38"/>
    <mergeCell ref="B39:F39"/>
    <mergeCell ref="B35:F35"/>
    <mergeCell ref="B32:F32"/>
    <mergeCell ref="B33:F33"/>
    <mergeCell ref="B34:F34"/>
    <mergeCell ref="B36:F36"/>
    <mergeCell ref="B37:F37"/>
    <mergeCell ref="A48:F48"/>
    <mergeCell ref="A56:C56"/>
    <mergeCell ref="A57:C57"/>
    <mergeCell ref="B45:C45"/>
    <mergeCell ref="A58:C58"/>
    <mergeCell ref="A55:C55"/>
    <mergeCell ref="B46:C46"/>
    <mergeCell ref="A59:C59"/>
    <mergeCell ref="A64:F64"/>
    <mergeCell ref="A60:C60"/>
    <mergeCell ref="A61:C61"/>
    <mergeCell ref="A63:C63"/>
    <mergeCell ref="A62:C62"/>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7"/>
  <headerFooter alignWithMargins="0">
    <oddFooter>&amp;R&amp;"Book Antiqua,Bold"&amp;8Bid Form (1st Envelope)  / Page &amp;P of &amp;N</oddFooter>
  </headerFooter>
  <rowBreaks count="1" manualBreakCount="1">
    <brk id="53" max="5" man="1"/>
  </rowBreaks>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D18" sqref="D18"/>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9" width="9.140625" style="43" customWidth="1"/>
    <col min="10" max="16384" width="9.140625" style="39"/>
  </cols>
  <sheetData>
    <row r="1" spans="1:10" ht="30.75" customHeight="1">
      <c r="A1" s="35"/>
      <c r="B1" s="704"/>
      <c r="C1" s="705"/>
      <c r="D1" s="705"/>
      <c r="E1" s="706"/>
      <c r="F1" s="36"/>
      <c r="G1" s="37"/>
      <c r="H1" s="37"/>
      <c r="I1" s="37"/>
      <c r="J1" s="38"/>
    </row>
    <row r="2" spans="1:10" ht="102" customHeight="1">
      <c r="A2" s="707" t="s">
        <v>44</v>
      </c>
      <c r="B2" s="710" t="str">
        <f>Basic!B1</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C2" s="711"/>
      <c r="D2" s="711"/>
      <c r="E2" s="712"/>
      <c r="F2" s="713" t="str">
        <f>Basic!B3</f>
        <v>RT21</v>
      </c>
      <c r="G2" s="37"/>
      <c r="H2" s="37"/>
      <c r="I2" s="37"/>
      <c r="J2" s="38"/>
    </row>
    <row r="3" spans="1:10" ht="23.25" customHeight="1">
      <c r="A3" s="708"/>
      <c r="B3" s="716" t="str">
        <f>Basic!B5</f>
        <v>Spec. No: CC/NT/W-RT/DOM/A00/23/02849</v>
      </c>
      <c r="C3" s="717"/>
      <c r="D3" s="717"/>
      <c r="E3" s="718"/>
      <c r="F3" s="714"/>
      <c r="G3" s="37"/>
      <c r="H3" s="37"/>
      <c r="I3" s="37"/>
      <c r="J3" s="38"/>
    </row>
    <row r="4" spans="1:10" ht="39.950000000000003" customHeight="1">
      <c r="A4" s="708"/>
      <c r="B4" s="40">
        <v>1</v>
      </c>
      <c r="C4" s="719" t="s">
        <v>45</v>
      </c>
      <c r="D4" s="719"/>
      <c r="E4" s="720"/>
      <c r="F4" s="714"/>
      <c r="G4" s="41"/>
      <c r="H4" s="42" t="s">
        <v>46</v>
      </c>
      <c r="I4" s="37"/>
      <c r="J4" s="38"/>
    </row>
    <row r="5" spans="1:10" ht="30" customHeight="1">
      <c r="A5" s="708"/>
      <c r="B5" s="40">
        <v>2</v>
      </c>
      <c r="C5" s="719" t="s">
        <v>47</v>
      </c>
      <c r="D5" s="719"/>
      <c r="E5" s="720"/>
      <c r="F5" s="714"/>
      <c r="G5" s="37"/>
      <c r="H5" s="37"/>
      <c r="I5" s="37"/>
      <c r="J5" s="38"/>
    </row>
    <row r="6" spans="1:10" s="43" customFormat="1" ht="30" customHeight="1">
      <c r="A6" s="708"/>
      <c r="B6" s="40">
        <v>3</v>
      </c>
      <c r="C6" s="719" t="s">
        <v>48</v>
      </c>
      <c r="D6" s="719"/>
      <c r="E6" s="720"/>
      <c r="F6" s="714"/>
      <c r="G6" s="37"/>
      <c r="H6" s="37"/>
      <c r="I6" s="37"/>
      <c r="J6" s="37"/>
    </row>
    <row r="7" spans="1:10" ht="52.5" hidden="1" customHeight="1">
      <c r="A7" s="708"/>
      <c r="B7" s="40">
        <v>4</v>
      </c>
      <c r="C7" s="719" t="s">
        <v>49</v>
      </c>
      <c r="D7" s="719"/>
      <c r="E7" s="720"/>
      <c r="F7" s="714"/>
      <c r="G7" s="37"/>
      <c r="H7" s="37"/>
      <c r="I7" s="37"/>
      <c r="J7" s="38"/>
    </row>
    <row r="8" spans="1:10" ht="9.75" customHeight="1">
      <c r="A8" s="708"/>
      <c r="B8" s="44"/>
      <c r="C8" s="45"/>
      <c r="D8" s="45"/>
      <c r="E8" s="46"/>
      <c r="F8" s="714"/>
      <c r="G8" s="37"/>
      <c r="H8" s="37"/>
      <c r="I8" s="37"/>
      <c r="J8" s="38"/>
    </row>
    <row r="9" spans="1:10" ht="23.25" customHeight="1">
      <c r="A9" s="708"/>
      <c r="B9" s="721"/>
      <c r="C9" s="722"/>
      <c r="D9" s="722"/>
      <c r="E9" s="723"/>
      <c r="F9" s="714"/>
      <c r="G9" s="37"/>
      <c r="H9" s="37"/>
      <c r="I9" s="37"/>
      <c r="J9" s="38"/>
    </row>
    <row r="10" spans="1:10" ht="10.5" customHeight="1">
      <c r="A10" s="708"/>
      <c r="B10" s="47"/>
      <c r="C10" s="48"/>
      <c r="D10" s="48"/>
      <c r="E10" s="49"/>
      <c r="F10" s="714"/>
      <c r="G10" s="37"/>
      <c r="H10" s="37"/>
      <c r="I10" s="37"/>
      <c r="J10" s="38"/>
    </row>
    <row r="11" spans="1:10" ht="24" customHeight="1">
      <c r="A11" s="708"/>
      <c r="B11" s="724" t="s">
        <v>50</v>
      </c>
      <c r="C11" s="725"/>
      <c r="D11" s="725"/>
      <c r="E11" s="50"/>
      <c r="F11" s="714"/>
    </row>
    <row r="12" spans="1:10" ht="15.95" customHeight="1">
      <c r="A12" s="709"/>
      <c r="B12" s="726" t="s">
        <v>51</v>
      </c>
      <c r="C12" s="727"/>
      <c r="D12" s="727"/>
      <c r="E12" s="51"/>
      <c r="F12" s="715"/>
      <c r="G12" s="37"/>
      <c r="H12" s="37"/>
      <c r="I12" s="37"/>
      <c r="J12" s="38"/>
    </row>
    <row r="13" spans="1:10" ht="24" customHeight="1">
      <c r="A13" s="698"/>
      <c r="B13" s="699" t="s">
        <v>52</v>
      </c>
      <c r="C13" s="700"/>
      <c r="D13" s="700"/>
      <c r="E13" s="50"/>
      <c r="F13" s="701"/>
      <c r="G13" s="52"/>
      <c r="H13" s="52"/>
      <c r="I13" s="52"/>
      <c r="J13" s="52"/>
    </row>
    <row r="14" spans="1:10" ht="15.95" customHeight="1">
      <c r="A14" s="698"/>
      <c r="B14" s="702" t="s">
        <v>53</v>
      </c>
      <c r="C14" s="703"/>
      <c r="D14" s="703"/>
      <c r="E14" s="53"/>
      <c r="F14" s="701"/>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algorithmName="SHA-512" hashValue="xgZgNZvt9oNRmwyCrjiLyfiya5ee51i319SUQFKLHbuDaTAT0AchuG006Yq5SMNg250bPAbe8l3xP7hw3VxGiw==" saltValue="oE1D227O25MJ5Ulf1ksaIA==" spinCount="100000" sheet="1" selectLockedCells="1"/>
  <customSheetViews>
    <customSheetView guid="{CCA37BAE-906F-43D5-9FD9-B13563E4B9D7}" showGridLines="0" hiddenRows="1">
      <selection activeCell="D18" sqref="D1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9E88A623-8EDB-47F0-815B-9C48385C3E73}"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09"/>
      <c r="B2" s="310"/>
      <c r="C2" s="311"/>
      <c r="D2" s="312"/>
      <c r="E2" s="313"/>
      <c r="F2" s="356"/>
      <c r="G2" s="356"/>
      <c r="H2" s="294"/>
      <c r="I2" s="314"/>
    </row>
    <row r="3" spans="1:9" ht="16.5">
      <c r="A3" s="283"/>
      <c r="B3" s="284" t="s">
        <v>268</v>
      </c>
      <c r="C3" s="285"/>
      <c r="D3" s="286"/>
      <c r="E3" s="315"/>
      <c r="F3" s="356"/>
      <c r="G3" s="356"/>
      <c r="H3" s="316">
        <f>SUMIF(I1:I2,"Direct",H1:H2)</f>
        <v>0</v>
      </c>
      <c r="I3" s="287"/>
    </row>
    <row r="4" spans="1:9" ht="33">
      <c r="A4" s="283"/>
      <c r="B4" s="284" t="s">
        <v>269</v>
      </c>
      <c r="C4" s="285"/>
      <c r="D4" s="286"/>
      <c r="E4" s="315"/>
      <c r="F4" s="356"/>
      <c r="G4" s="356"/>
      <c r="H4" s="316">
        <f>SUMIF(J1:J2,"Bought-Out",H1:H2)</f>
        <v>0</v>
      </c>
      <c r="I4" s="287"/>
    </row>
    <row r="5" spans="1:9" ht="16.5">
      <c r="A5" s="288"/>
      <c r="B5" s="284" t="s">
        <v>270</v>
      </c>
      <c r="C5" s="289"/>
      <c r="D5" s="290"/>
      <c r="E5" s="291"/>
      <c r="F5" s="291"/>
      <c r="G5" s="291"/>
      <c r="H5" s="317">
        <f>H3+H4</f>
        <v>0</v>
      </c>
      <c r="I5" s="292"/>
    </row>
    <row r="6" spans="1:9" ht="16.5">
      <c r="A6" s="293"/>
      <c r="B6" s="908" t="s">
        <v>271</v>
      </c>
      <c r="C6" s="908"/>
      <c r="D6" s="908"/>
      <c r="E6" s="294"/>
      <c r="F6" s="356"/>
      <c r="G6" s="356"/>
      <c r="H6" s="316" t="e">
        <f>'Sch-7'!#REF!</f>
        <v>#REF!</v>
      </c>
      <c r="I6" s="295"/>
    </row>
    <row r="7" spans="1:9" ht="17.25" thickBot="1">
      <c r="A7" s="296"/>
      <c r="B7" s="909" t="s">
        <v>272</v>
      </c>
      <c r="C7" s="909"/>
      <c r="D7" s="909"/>
      <c r="E7" s="297"/>
      <c r="F7" s="297"/>
      <c r="G7" s="297"/>
      <c r="H7" s="318" t="e">
        <f>H5+H6</f>
        <v>#REF!</v>
      </c>
      <c r="I7" s="298"/>
    </row>
    <row r="8" spans="1:9" ht="16.5">
      <c r="A8" s="910"/>
      <c r="B8" s="910"/>
      <c r="C8" s="910"/>
      <c r="D8" s="910"/>
      <c r="E8" s="910"/>
      <c r="F8" s="910"/>
      <c r="G8" s="910"/>
    </row>
    <row r="9" spans="1:9" ht="15.75">
      <c r="A9" s="4"/>
      <c r="B9" s="911"/>
      <c r="C9" s="911"/>
      <c r="D9" s="911"/>
      <c r="E9" s="911"/>
      <c r="F9" s="911"/>
      <c r="G9" s="911"/>
    </row>
    <row r="10" spans="1:9" ht="16.5">
      <c r="A10" s="299"/>
      <c r="B10" s="299"/>
      <c r="C10" s="299"/>
      <c r="D10" s="299"/>
      <c r="E10" s="299"/>
      <c r="F10" s="299"/>
      <c r="G10" s="299"/>
    </row>
    <row r="11" spans="1:9" ht="90" customHeight="1">
      <c r="A11" s="300" t="s">
        <v>273</v>
      </c>
      <c r="B11" s="912" t="s">
        <v>274</v>
      </c>
      <c r="C11" s="912"/>
      <c r="D11" s="912"/>
      <c r="E11" s="912"/>
      <c r="F11" s="912"/>
      <c r="G11" s="912"/>
      <c r="H11" s="912"/>
      <c r="I11" s="912"/>
    </row>
    <row r="12" spans="1:9" ht="116.25" customHeight="1">
      <c r="A12" s="301" t="s">
        <v>275</v>
      </c>
      <c r="B12" s="774" t="s">
        <v>276</v>
      </c>
      <c r="C12" s="774"/>
      <c r="D12" s="774"/>
      <c r="E12" s="774"/>
      <c r="F12" s="774"/>
      <c r="G12" s="774"/>
      <c r="H12" s="774"/>
      <c r="I12" s="774"/>
    </row>
    <row r="13" spans="1:9" ht="15.75">
      <c r="A13" s="301"/>
      <c r="B13" s="774"/>
      <c r="C13" s="774"/>
      <c r="D13" s="774"/>
      <c r="E13" s="774"/>
      <c r="F13" s="774"/>
      <c r="G13" s="774"/>
    </row>
    <row r="14" spans="1:9" ht="16.5">
      <c r="A14" s="302" t="s">
        <v>162</v>
      </c>
      <c r="B14" s="303" t="str">
        <f>'Names of Bidder'!D$27&amp;"-"&amp; 'Names of Bidder'!E$27&amp;"-" &amp;'Names of Bidder'!F$27</f>
        <v>--</v>
      </c>
      <c r="C14" s="304"/>
      <c r="D14" s="305"/>
      <c r="E14" s="3"/>
      <c r="F14" s="3"/>
      <c r="G14" s="306"/>
    </row>
    <row r="15" spans="1:9" ht="16.5">
      <c r="A15" s="302" t="s">
        <v>163</v>
      </c>
      <c r="B15" s="303" t="str">
        <f>IF('Names of Bidder'!D$28=0, "", 'Names of Bidder'!D$28)</f>
        <v/>
      </c>
      <c r="C15" s="3"/>
      <c r="D15" s="305" t="s">
        <v>144</v>
      </c>
      <c r="E15" s="306" t="str">
        <f>IF('Names of Bidder'!D$24=0, "", 'Names of Bidder'!D$24)</f>
        <v/>
      </c>
      <c r="F15" s="3"/>
      <c r="G15" s="303" t="str">
        <f>'[6]Names of Bidder'!I14&amp;"-"&amp; '[6]Names of Bidder'!J14&amp;"-" &amp;'[6]Names of Bidder'!K14</f>
        <v>--</v>
      </c>
    </row>
    <row r="16" spans="1:9" ht="16.5">
      <c r="A16" s="307"/>
      <c r="B16" s="308"/>
      <c r="C16" s="7"/>
      <c r="D16" s="305" t="s">
        <v>146</v>
      </c>
      <c r="E16" s="306" t="str">
        <f>IF('Names of Bidder'!D$25=0, "", 'Names of Bidder'!D$25)</f>
        <v/>
      </c>
      <c r="F16" s="7"/>
      <c r="G16" s="7"/>
    </row>
    <row r="18" spans="1:11">
      <c r="A18" t="s">
        <v>282</v>
      </c>
    </row>
    <row r="20" spans="1:11" ht="17.25" thickBot="1">
      <c r="A20" s="319"/>
      <c r="B20" s="320" t="s">
        <v>283</v>
      </c>
      <c r="C20" s="321"/>
      <c r="D20" s="320"/>
      <c r="E20" s="297"/>
      <c r="F20" s="297"/>
      <c r="G20" s="297"/>
      <c r="H20" s="322" t="s">
        <v>297</v>
      </c>
    </row>
    <row r="21" spans="1:11" ht="16.5" thickBot="1">
      <c r="A21" s="323"/>
      <c r="B21" s="913"/>
      <c r="C21" s="913"/>
      <c r="D21" s="913"/>
      <c r="E21" s="913"/>
      <c r="F21" s="913"/>
    </row>
    <row r="22" spans="1:11" ht="15.75">
      <c r="A22" s="324"/>
      <c r="B22" s="914"/>
      <c r="C22" s="914"/>
      <c r="D22" s="914"/>
      <c r="E22" s="914"/>
      <c r="F22" s="914"/>
    </row>
    <row r="23" spans="1:11" ht="16.5">
      <c r="A23" s="302" t="s">
        <v>162</v>
      </c>
      <c r="B23" s="303" t="s">
        <v>262</v>
      </c>
      <c r="C23" s="325"/>
      <c r="D23" s="305"/>
      <c r="E23" s="3"/>
      <c r="F23" s="3"/>
    </row>
    <row r="24" spans="1:11" ht="16.5">
      <c r="A24" s="302" t="s">
        <v>163</v>
      </c>
      <c r="B24" s="303" t="s">
        <v>263</v>
      </c>
      <c r="C24" s="4"/>
      <c r="D24" s="305" t="s">
        <v>144</v>
      </c>
      <c r="E24" s="306" t="s">
        <v>284</v>
      </c>
      <c r="F24" s="3"/>
    </row>
    <row r="25" spans="1:11" ht="16.5">
      <c r="A25" s="307"/>
      <c r="B25" s="308"/>
      <c r="C25" s="307"/>
      <c r="D25" s="305" t="s">
        <v>146</v>
      </c>
      <c r="E25" s="306" t="s">
        <v>285</v>
      </c>
      <c r="F25" s="7"/>
    </row>
    <row r="27" spans="1:11">
      <c r="A27" t="s">
        <v>286</v>
      </c>
    </row>
    <row r="29" spans="1:11" ht="16.5">
      <c r="A29" s="326"/>
      <c r="B29" s="327" t="s">
        <v>287</v>
      </c>
      <c r="C29" s="327"/>
      <c r="D29" s="327"/>
      <c r="E29" s="328"/>
      <c r="F29" s="328"/>
      <c r="G29" s="328"/>
      <c r="H29" s="328"/>
      <c r="I29" s="328"/>
      <c r="J29" s="328"/>
      <c r="K29" s="329" t="e">
        <f>SUM(#REF!)</f>
        <v>#REF!</v>
      </c>
    </row>
    <row r="30" spans="1:11" ht="15.75">
      <c r="A30" s="324"/>
      <c r="B30" s="915"/>
      <c r="C30" s="911"/>
      <c r="D30" s="911"/>
      <c r="E30" s="911"/>
      <c r="F30" s="911"/>
      <c r="G30" s="911"/>
    </row>
    <row r="31" spans="1:11" ht="16.5">
      <c r="A31" s="330" t="s">
        <v>162</v>
      </c>
      <c r="B31" s="331" t="s">
        <v>262</v>
      </c>
      <c r="C31" s="332"/>
      <c r="D31" s="333"/>
      <c r="E31" s="334"/>
      <c r="F31" s="334"/>
      <c r="G31" s="7"/>
    </row>
    <row r="32" spans="1:11" ht="16.5">
      <c r="A32" s="330" t="s">
        <v>163</v>
      </c>
      <c r="B32" s="331" t="s">
        <v>263</v>
      </c>
      <c r="C32" s="334"/>
      <c r="D32" s="333" t="s">
        <v>144</v>
      </c>
      <c r="E32" s="335" t="s">
        <v>284</v>
      </c>
      <c r="F32" s="334"/>
      <c r="G32" s="7"/>
    </row>
    <row r="33" spans="1:8" ht="16.5">
      <c r="A33" s="336"/>
      <c r="B33" s="337"/>
      <c r="C33" s="338"/>
      <c r="D33" s="333" t="s">
        <v>146</v>
      </c>
      <c r="E33" s="335" t="s">
        <v>285</v>
      </c>
      <c r="F33" s="338"/>
      <c r="G33" s="7"/>
    </row>
    <row r="35" spans="1:8">
      <c r="A35" t="s">
        <v>290</v>
      </c>
    </row>
    <row r="37" spans="1:8" ht="30">
      <c r="A37" s="339" t="s">
        <v>162</v>
      </c>
      <c r="B37" s="340" t="s">
        <v>260</v>
      </c>
      <c r="C37" s="341"/>
      <c r="D37" s="852" t="s">
        <v>288</v>
      </c>
      <c r="E37" s="852"/>
      <c r="F37" s="916"/>
    </row>
    <row r="38" spans="1:8" ht="30">
      <c r="A38" s="339" t="s">
        <v>163</v>
      </c>
      <c r="B38" s="340" t="s">
        <v>261</v>
      </c>
      <c r="C38" s="23"/>
      <c r="D38" s="852" t="s">
        <v>289</v>
      </c>
      <c r="E38" s="852"/>
      <c r="F38" s="916"/>
    </row>
    <row r="40" spans="1:8">
      <c r="A40" t="s">
        <v>291</v>
      </c>
    </row>
    <row r="42" spans="1:8" ht="30">
      <c r="A42" s="342"/>
      <c r="B42" s="343" t="s">
        <v>292</v>
      </c>
      <c r="C42" s="343"/>
      <c r="D42" s="343"/>
      <c r="E42" s="343"/>
      <c r="F42" s="343"/>
      <c r="G42" s="343"/>
      <c r="H42" s="344" t="s">
        <v>298</v>
      </c>
    </row>
    <row r="43" spans="1:8" ht="16.5">
      <c r="A43" s="345"/>
      <c r="B43" s="346"/>
      <c r="C43" s="346"/>
      <c r="D43" s="346"/>
      <c r="E43" s="346"/>
      <c r="F43" s="346"/>
      <c r="G43" s="347"/>
    </row>
    <row r="44" spans="1:8">
      <c r="A44" s="346"/>
      <c r="B44" s="346"/>
      <c r="C44" s="346"/>
      <c r="D44" s="346"/>
      <c r="E44" s="346"/>
      <c r="F44" s="346"/>
      <c r="G44" s="348"/>
    </row>
    <row r="45" spans="1:8">
      <c r="A45" s="851"/>
      <c r="B45" s="851"/>
      <c r="C45" s="851"/>
      <c r="D45" s="851"/>
      <c r="E45" s="851"/>
      <c r="F45" s="851"/>
      <c r="G45" s="851"/>
    </row>
    <row r="46" spans="1:8">
      <c r="A46" s="349"/>
      <c r="B46" s="349"/>
      <c r="C46" s="852"/>
      <c r="D46" s="852"/>
      <c r="E46" s="852"/>
      <c r="F46" s="852"/>
      <c r="G46" s="852"/>
    </row>
    <row r="47" spans="1:8">
      <c r="A47" s="350" t="s">
        <v>162</v>
      </c>
      <c r="B47" s="351" t="s">
        <v>262</v>
      </c>
      <c r="C47" s="852" t="s">
        <v>293</v>
      </c>
      <c r="D47" s="852"/>
      <c r="E47" s="852"/>
      <c r="F47" s="852"/>
      <c r="G47" s="852"/>
    </row>
    <row r="48" spans="1:8">
      <c r="A48" s="350" t="s">
        <v>163</v>
      </c>
      <c r="B48" s="352" t="s">
        <v>263</v>
      </c>
      <c r="C48" s="852" t="s">
        <v>294</v>
      </c>
      <c r="D48" s="852"/>
      <c r="E48" s="852"/>
      <c r="F48" s="852"/>
      <c r="G48" s="852"/>
    </row>
    <row r="49" spans="1:7" ht="16.5">
      <c r="A49" s="22"/>
      <c r="B49" s="21"/>
      <c r="C49" s="852"/>
      <c r="D49" s="852"/>
      <c r="E49" s="852"/>
      <c r="F49" s="852"/>
      <c r="G49" s="852"/>
    </row>
    <row r="50" spans="1:7" ht="16.5">
      <c r="A50" s="22"/>
      <c r="B50" s="21"/>
      <c r="C50" s="346"/>
      <c r="D50" s="346"/>
      <c r="E50" s="346"/>
      <c r="F50" s="346"/>
      <c r="G50" s="346"/>
    </row>
    <row r="51" spans="1:7" ht="16.5">
      <c r="A51" s="353" t="s">
        <v>295</v>
      </c>
      <c r="B51" s="854" t="s">
        <v>296</v>
      </c>
      <c r="C51" s="854"/>
      <c r="D51" s="854"/>
      <c r="E51" s="854"/>
      <c r="F51" s="854"/>
      <c r="G51" s="354"/>
    </row>
    <row r="52" spans="1:7" ht="16.5">
      <c r="A52" s="355"/>
      <c r="B52" s="25"/>
      <c r="C52" s="25"/>
      <c r="D52" s="25"/>
      <c r="E52" s="25"/>
      <c r="F52" s="25"/>
      <c r="G52" s="25"/>
    </row>
    <row r="60" spans="1:7">
      <c r="B60" t="s">
        <v>264</v>
      </c>
    </row>
    <row r="61" spans="1:7">
      <c r="B61" t="s">
        <v>265</v>
      </c>
    </row>
  </sheetData>
  <customSheetViews>
    <customSheetView guid="{CCA37BAE-906F-43D5-9FD9-B13563E4B9D7}" state="hidden">
      <selection activeCell="H42" sqref="H42"/>
      <pageMargins left="0.7" right="0.7" top="0.75" bottom="0.75" header="0.3" footer="0.3"/>
      <pageSetup orientation="portrait" r:id="rId1"/>
    </customSheetView>
    <customSheetView guid="{84F40905-A9D3-43A5-987A-8A757D486A94}" state="hidden">
      <selection activeCell="H42" sqref="H42"/>
      <pageMargins left="0.7" right="0.7" top="0.75" bottom="0.75" header="0.3" footer="0.3"/>
      <pageSetup orientation="portrait" r:id="rId2"/>
    </customSheetView>
    <customSheetView guid="{C44C314C-9BEB-403F-A933-6B948E5C1171}" state="hidden">
      <selection activeCell="H42" sqref="H42"/>
      <pageMargins left="0.7" right="0.7" top="0.75" bottom="0.75" header="0.3" footer="0.3"/>
      <pageSetup orientation="portrait" r:id="rId3"/>
    </customSheetView>
    <customSheetView guid="{AD0333DF-5B33-49B5-B063-72505D20EFE4}" state="hidden">
      <selection activeCell="H42" sqref="H42"/>
      <pageMargins left="0.7" right="0.7" top="0.75" bottom="0.75" header="0.3" footer="0.3"/>
      <pageSetup orientation="portrait" r:id="rId4"/>
    </customSheetView>
    <customSheetView guid="{BE68641D-0C1E-4F8D-890A-A660C199187C}" state="hidden">
      <selection activeCell="H42" sqref="H42"/>
      <pageMargins left="0.7" right="0.7" top="0.75" bottom="0.75" header="0.3" footer="0.3"/>
      <pageSetup orientation="portrait" r:id="rId5"/>
    </customSheetView>
    <customSheetView guid="{F658ED72-5E54-4C5B-BB2C-7A2962080984}" state="hidden">
      <selection activeCell="H42" sqref="H42"/>
      <pageMargins left="0.7" right="0.7" top="0.75" bottom="0.75" header="0.3" footer="0.3"/>
      <pageSetup orientation="portrait" r:id="rId6"/>
    </customSheetView>
    <customSheetView guid="{DEF6DCE2-4A74-4BE5-B5D5-8143DC3F770A}" state="hidden">
      <selection activeCell="H42" sqref="H42"/>
      <pageMargins left="0.7" right="0.7" top="0.75" bottom="0.75" header="0.3" footer="0.3"/>
      <pageSetup orientation="portrait" r:id="rId7"/>
    </customSheetView>
    <customSheetView guid="{F8A50AE1-259E-429D-A506-38EB64D134E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112647D2-7580-431B-99B5-DD512E2AD50E}" state="hidden">
      <selection activeCell="H42" sqref="H42"/>
      <pageMargins left="0.7" right="0.7" top="0.75" bottom="0.75" header="0.3" footer="0.3"/>
      <pageSetup orientation="portrait" r:id="rId8"/>
    </customSheetView>
    <customSheetView guid="{BDFA0401-0547-4E51-8BD2-84F711B066CA}" state="hidden">
      <selection activeCell="H42" sqref="H42"/>
      <pageMargins left="0.7" right="0.7" top="0.75" bottom="0.75" header="0.3" footer="0.3"/>
      <pageSetup orientation="portrait" r:id="rId9"/>
    </customSheetView>
    <customSheetView guid="{9E88A623-8EDB-47F0-815B-9C48385C3E73}" state="hidden">
      <selection activeCell="H42" sqref="H42"/>
      <pageMargins left="0.7" right="0.7" top="0.75" bottom="0.75" header="0.3" footer="0.3"/>
      <pageSetup orientation="portrait" r:id="rId1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pageSetup orientation="portrait" r:id="rId1"/>
    </customSheetView>
    <customSheetView guid="{84F40905-A9D3-43A5-987A-8A757D486A94}" state="hidden">
      <pageMargins left="0.7" right="0.7" top="0.75" bottom="0.75" header="0.3" footer="0.3"/>
      <pageSetup orientation="portrait" r:id="rId2"/>
    </customSheetView>
    <customSheetView guid="{C44C314C-9BEB-403F-A933-6B948E5C1171}" state="hidden">
      <pageMargins left="0.7" right="0.7" top="0.75" bottom="0.75" header="0.3" footer="0.3"/>
      <pageSetup orientation="portrait" r:id="rId3"/>
    </customSheetView>
    <customSheetView guid="{AD0333DF-5B33-49B5-B063-72505D20EFE4}" state="hidden">
      <pageMargins left="0.7" right="0.7" top="0.75" bottom="0.75" header="0.3" footer="0.3"/>
      <pageSetup orientation="portrait" r:id="rId4"/>
    </customSheetView>
    <customSheetView guid="{BE68641D-0C1E-4F8D-890A-A660C199187C}" state="hidden">
      <pageMargins left="0.7" right="0.7" top="0.75" bottom="0.75" header="0.3" footer="0.3"/>
      <pageSetup orientation="portrait" r:id="rId5"/>
    </customSheetView>
    <customSheetView guid="{F658ED72-5E54-4C5B-BB2C-7A2962080984}" state="hidden">
      <pageMargins left="0.7" right="0.7" top="0.75" bottom="0.75" header="0.3" footer="0.3"/>
      <pageSetup orientation="portrait" r:id="rId6"/>
    </customSheetView>
    <customSheetView guid="{DEF6DCE2-4A74-4BE5-B5D5-8143DC3F770A}" state="hidden">
      <pageMargins left="0.7" right="0.7" top="0.75" bottom="0.75" header="0.3" footer="0.3"/>
      <pageSetup orientation="portrait" r:id="rId7"/>
    </customSheetView>
    <customSheetView guid="{F8A50AE1-259E-429D-A506-38EB64D134E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112647D2-7580-431B-99B5-DD512E2AD50E}" state="hidden">
      <pageMargins left="0.7" right="0.7" top="0.75" bottom="0.75" header="0.3" footer="0.3"/>
      <pageSetup orientation="portrait" r:id="rId8"/>
    </customSheetView>
    <customSheetView guid="{BDFA0401-0547-4E51-8BD2-84F711B066CA}" state="hidden">
      <pageMargins left="0.7" right="0.7" top="0.75" bottom="0.75" header="0.3" footer="0.3"/>
      <pageSetup orientation="portrait" r:id="rId9"/>
    </customSheetView>
    <customSheetView guid="{9E88A623-8EDB-47F0-815B-9C48385C3E73}" state="hidden">
      <pageMargins left="0.7" right="0.7" top="0.75" bottom="0.75" header="0.3" footer="0.3"/>
      <pageSetup orientation="portrait" r:id="rId10"/>
    </customSheetView>
  </customSheetViews>
  <pageMargins left="0.7" right="0.7" top="0.75" bottom="0.75" header="0.3" footer="0.3"/>
  <pageSetup orientation="portrait"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17" hidden="1" customWidth="1"/>
    <col min="2" max="2" width="13.28515625" style="617" hidden="1" customWidth="1"/>
    <col min="3" max="3" width="0" style="617" hidden="1" customWidth="1"/>
    <col min="4" max="4" width="10.28515625" style="617" hidden="1" customWidth="1"/>
    <col min="5" max="5" width="3.42578125" style="617" hidden="1" customWidth="1"/>
    <col min="6" max="6" width="5.5703125" style="617" hidden="1" customWidth="1"/>
    <col min="7" max="7" width="11.42578125" style="617" hidden="1" customWidth="1"/>
    <col min="8" max="8" width="0" style="617" hidden="1" customWidth="1"/>
    <col min="9" max="9" width="10" style="617" hidden="1" customWidth="1"/>
    <col min="10" max="10" width="3.28515625" style="617" hidden="1" customWidth="1"/>
    <col min="11" max="11" width="5" style="617" hidden="1" customWidth="1"/>
    <col min="12" max="12" width="11.28515625" style="617" hidden="1" customWidth="1"/>
    <col min="13" max="13" width="0" style="617" hidden="1" customWidth="1"/>
    <col min="14" max="14" width="10.28515625" style="617" hidden="1" customWidth="1"/>
    <col min="15" max="15" width="3.7109375" style="617" hidden="1" customWidth="1"/>
    <col min="16" max="16" width="6.42578125" style="617" customWidth="1"/>
    <col min="17" max="17" width="14.85546875" style="617" customWidth="1"/>
    <col min="18" max="18" width="9.140625" style="617" customWidth="1"/>
    <col min="19" max="19" width="12" style="617" customWidth="1"/>
    <col min="20" max="20" width="3.28515625" style="617" hidden="1" customWidth="1"/>
    <col min="21" max="21" width="6.140625" style="617" hidden="1" customWidth="1"/>
    <col min="22" max="22" width="8.5703125" style="617" hidden="1" customWidth="1"/>
    <col min="23" max="23" width="8.42578125" style="617" hidden="1" customWidth="1"/>
    <col min="24" max="24" width="8.85546875" style="617" hidden="1" customWidth="1"/>
    <col min="25" max="116" width="0" style="617" hidden="1" customWidth="1"/>
    <col min="117" max="16384" width="9.140625" style="617"/>
  </cols>
  <sheetData>
    <row r="1" spans="1:27" ht="13.5" thickBot="1">
      <c r="A1" s="928" t="e">
        <v>#REF!</v>
      </c>
      <c r="B1" s="929"/>
      <c r="C1" s="598"/>
      <c r="D1" s="599"/>
      <c r="E1" s="598"/>
      <c r="F1" s="928">
        <v>0</v>
      </c>
      <c r="G1" s="929"/>
      <c r="H1" s="598"/>
      <c r="I1" s="599"/>
      <c r="K1" s="928" t="e">
        <v>#REF!</v>
      </c>
      <c r="L1" s="929"/>
      <c r="M1" s="598"/>
      <c r="N1" s="599"/>
      <c r="P1" s="928">
        <f>'Sch-6 (After Discount)'!D28</f>
        <v>0</v>
      </c>
      <c r="Q1" s="929"/>
      <c r="R1" s="598"/>
      <c r="S1" s="599"/>
      <c r="U1" s="620" t="e">
        <v>#REF!</v>
      </c>
    </row>
    <row r="2" spans="1:27">
      <c r="A2" s="923"/>
      <c r="B2" s="924"/>
      <c r="C2" s="598"/>
      <c r="D2" s="599"/>
      <c r="E2" s="598"/>
      <c r="F2" s="600"/>
      <c r="G2" s="598"/>
      <c r="H2" s="598"/>
      <c r="I2" s="599"/>
      <c r="K2" s="600"/>
      <c r="L2" s="598"/>
      <c r="M2" s="598"/>
      <c r="N2" s="599"/>
      <c r="P2" s="600"/>
      <c r="Q2" s="598"/>
      <c r="R2" s="598"/>
      <c r="S2" s="599"/>
      <c r="U2" s="620" t="e">
        <v>#REF!</v>
      </c>
    </row>
    <row r="3" spans="1:27">
      <c r="A3" s="600"/>
      <c r="B3" s="601"/>
      <c r="C3" s="601"/>
      <c r="D3" s="602"/>
      <c r="E3" s="601"/>
      <c r="F3" s="600"/>
      <c r="G3" s="601"/>
      <c r="H3" s="601"/>
      <c r="I3" s="602"/>
      <c r="K3" s="600"/>
      <c r="L3" s="601"/>
      <c r="M3" s="601"/>
      <c r="N3" s="602"/>
      <c r="P3" s="600"/>
      <c r="Q3" s="601"/>
      <c r="R3" s="601"/>
      <c r="S3" s="602"/>
      <c r="U3" s="620" t="s">
        <v>464</v>
      </c>
    </row>
    <row r="4" spans="1:27" ht="66.75" customHeight="1" thickBot="1">
      <c r="A4" s="925" t="e">
        <f>IF(OR((A1&gt;9999999999),(A1&lt;0)),"Invalid Entry - More than 1000 crore OR -ve value",IF(A1=0, "",+CONCATENATE(#REF!,B11,D11,B10,D10,B9,D9,B8,D8,B7,D7,B6," Only")))</f>
        <v>#REF!</v>
      </c>
      <c r="B4" s="926"/>
      <c r="C4" s="926"/>
      <c r="D4" s="927"/>
      <c r="E4" s="598"/>
      <c r="F4" s="925" t="str">
        <f>IF(OR((F1&gt;9999999999),(F1&lt;0)),"Invalid Entry - More than 1000 crore OR -ve value",IF(F1=0, "",+CONCATENATE(U1, G11,I11,G10,I10,G9,I9,G8,I8,G7,I7,G6," Only")))</f>
        <v/>
      </c>
      <c r="G4" s="926"/>
      <c r="H4" s="926"/>
      <c r="I4" s="927"/>
      <c r="J4" s="598"/>
      <c r="K4" s="925" t="e">
        <f>IF(OR((K1&gt;9999999999),(K1&lt;0)),"Invalid Entry - More than 1000 crore OR -ve value",IF(K1=0, "",+CONCATENATE(U2, L11,N11,L10,N10,L9,N9,L8,N8,L7,N7,L6," Only")))</f>
        <v>#REF!</v>
      </c>
      <c r="L4" s="926"/>
      <c r="M4" s="926"/>
      <c r="N4" s="927"/>
      <c r="P4" s="925" t="str">
        <f>IF(OR((P1&gt;9999999999),(P1&lt;0)),"Invalid Entry - More than 1000 crore OR -ve value",IF(P1=0, "",+CONCATENATE(U3, Q11,S11,Q10,S10,Q9,S9,Q8,S8,Q7,S7,Q6," Only")))</f>
        <v/>
      </c>
      <c r="Q4" s="926"/>
      <c r="R4" s="926"/>
      <c r="S4" s="927"/>
      <c r="U4" s="917" t="e">
        <f>VLOOKUP(1,T28:Y43,6,FALSE)</f>
        <v>#N/A</v>
      </c>
      <c r="V4" s="917"/>
      <c r="W4" s="917"/>
      <c r="X4" s="917"/>
      <c r="Y4" s="917"/>
      <c r="Z4" s="917"/>
      <c r="AA4" s="917"/>
    </row>
    <row r="5" spans="1:27" ht="18.75" customHeight="1" thickBot="1">
      <c r="A5" s="600"/>
      <c r="B5" s="601"/>
      <c r="C5" s="601"/>
      <c r="D5" s="602"/>
      <c r="E5" s="601"/>
      <c r="F5" s="600"/>
      <c r="G5" s="601"/>
      <c r="H5" s="601"/>
      <c r="I5" s="602"/>
      <c r="K5" s="600"/>
      <c r="L5" s="601"/>
      <c r="M5" s="601"/>
      <c r="N5" s="602"/>
      <c r="P5" s="600"/>
      <c r="Q5" s="601"/>
      <c r="R5" s="601"/>
      <c r="S5" s="602"/>
      <c r="U5" s="918" t="e">
        <f>VLOOKUP(1,T8:Y23,6,FALSE)</f>
        <v>#N/A</v>
      </c>
      <c r="V5" s="919"/>
      <c r="W5" s="919"/>
      <c r="X5" s="919"/>
      <c r="Y5" s="919"/>
      <c r="Z5" s="919"/>
      <c r="AA5" s="920"/>
    </row>
    <row r="6" spans="1:27">
      <c r="A6" s="603" t="e">
        <f>-INT(A1/100)*100+ROUND(A1,0)</f>
        <v>#REF!</v>
      </c>
      <c r="B6" s="601" t="e">
        <f t="shared" ref="B6:B11" si="0">IF(A6=0,"",LOOKUP(A6,$A$13:$A$112,$B$13:$B$112))</f>
        <v>#REF!</v>
      </c>
      <c r="C6" s="601"/>
      <c r="D6" s="604"/>
      <c r="E6" s="601"/>
      <c r="F6" s="603">
        <f>-INT(F1/100)*100+ROUND(F1,0)</f>
        <v>0</v>
      </c>
      <c r="G6" s="601" t="str">
        <f t="shared" ref="G6:G11" si="1">IF(F6=0,"",LOOKUP(F6,$A$13:$A$112,$B$13:$B$112))</f>
        <v/>
      </c>
      <c r="H6" s="601"/>
      <c r="I6" s="604"/>
      <c r="K6" s="603" t="e">
        <f>-INT(K1/100)*100+ROUND(K1,0)</f>
        <v>#REF!</v>
      </c>
      <c r="L6" s="601" t="e">
        <f t="shared" ref="L6:L11" si="2">IF(K6=0,"",LOOKUP(K6,$A$13:$A$112,$B$13:$B$112))</f>
        <v>#REF!</v>
      </c>
      <c r="M6" s="601"/>
      <c r="N6" s="604"/>
      <c r="P6" s="603">
        <f>-INT(P1/100)*100+ROUND(P1,0)</f>
        <v>0</v>
      </c>
      <c r="Q6" s="601" t="str">
        <f t="shared" ref="Q6:Q11" si="3">IF(P6=0,"",LOOKUP(P6,$A$13:$A$112,$B$13:$B$112))</f>
        <v/>
      </c>
      <c r="R6" s="601"/>
      <c r="S6" s="604"/>
    </row>
    <row r="7" spans="1:27">
      <c r="A7" s="603" t="e">
        <f>-INT(A1/1000)*10+INT(A1/100)</f>
        <v>#REF!</v>
      </c>
      <c r="B7" s="601" t="e">
        <f t="shared" si="0"/>
        <v>#REF!</v>
      </c>
      <c r="C7" s="601"/>
      <c r="D7" s="604" t="e">
        <f>+IF(B7="",""," Hundred ")</f>
        <v>#REF!</v>
      </c>
      <c r="E7" s="601"/>
      <c r="F7" s="603">
        <f>-INT(F1/1000)*10+INT(F1/100)</f>
        <v>0</v>
      </c>
      <c r="G7" s="601" t="str">
        <f t="shared" si="1"/>
        <v/>
      </c>
      <c r="H7" s="601"/>
      <c r="I7" s="604" t="str">
        <f>+IF(G7="",""," Hundred ")</f>
        <v/>
      </c>
      <c r="K7" s="603" t="e">
        <f>-INT(K1/1000)*10+INT(K1/100)</f>
        <v>#REF!</v>
      </c>
      <c r="L7" s="601" t="e">
        <f t="shared" si="2"/>
        <v>#REF!</v>
      </c>
      <c r="M7" s="601"/>
      <c r="N7" s="604" t="e">
        <f>+IF(L7="",""," Hundred ")</f>
        <v>#REF!</v>
      </c>
      <c r="P7" s="603">
        <f>-INT(P1/1000)*10+INT(P1/100)</f>
        <v>0</v>
      </c>
      <c r="Q7" s="601" t="str">
        <f t="shared" si="3"/>
        <v/>
      </c>
      <c r="R7" s="601"/>
      <c r="S7" s="604" t="str">
        <f>+IF(Q7="",""," Hundred ")</f>
        <v/>
      </c>
    </row>
    <row r="8" spans="1:27">
      <c r="A8" s="603" t="e">
        <f>-INT(A1/100000)*100+INT(A1/1000)</f>
        <v>#REF!</v>
      </c>
      <c r="B8" s="601" t="e">
        <f t="shared" si="0"/>
        <v>#REF!</v>
      </c>
      <c r="C8" s="601"/>
      <c r="D8" s="604" t="e">
        <f>IF((B8=""),IF(C8="",""," Thousand ")," Thousand ")</f>
        <v>#REF!</v>
      </c>
      <c r="E8" s="601"/>
      <c r="F8" s="603">
        <f>-INT(F1/100000)*100+INT(F1/1000)</f>
        <v>0</v>
      </c>
      <c r="G8" s="601" t="str">
        <f t="shared" si="1"/>
        <v/>
      </c>
      <c r="H8" s="601"/>
      <c r="I8" s="604" t="str">
        <f>IF((G8=""),IF(H8="",""," Thousand ")," Thousand ")</f>
        <v/>
      </c>
      <c r="K8" s="603" t="e">
        <f>-INT(K1/100000)*100+INT(K1/1000)</f>
        <v>#REF!</v>
      </c>
      <c r="L8" s="601" t="e">
        <f t="shared" si="2"/>
        <v>#REF!</v>
      </c>
      <c r="M8" s="601"/>
      <c r="N8" s="604" t="e">
        <f>IF((L8=""),IF(M8="",""," Thousand ")," Thousand ")</f>
        <v>#REF!</v>
      </c>
      <c r="P8" s="603">
        <f>-INT(P1/100000)*100+INT(P1/1000)</f>
        <v>0</v>
      </c>
      <c r="Q8" s="601" t="str">
        <f t="shared" si="3"/>
        <v/>
      </c>
      <c r="R8" s="601"/>
      <c r="S8" s="604" t="str">
        <f>IF((Q8=""),IF(R8="",""," Thousand ")," Thousand ")</f>
        <v/>
      </c>
      <c r="T8" s="621" t="e">
        <f>IF(Y8="",0, 1)</f>
        <v>#REF!</v>
      </c>
      <c r="U8" s="617">
        <v>0</v>
      </c>
      <c r="V8" s="617">
        <v>0</v>
      </c>
      <c r="W8" s="617">
        <v>0</v>
      </c>
      <c r="X8" s="617">
        <v>0</v>
      </c>
      <c r="Y8" s="622" t="e">
        <f>IF(AND($A$1=0,$F$1=0,$K$1=0,$P$1=0)," Zero only", "")</f>
        <v>#REF!</v>
      </c>
      <c r="AA8" s="617" t="s">
        <v>465</v>
      </c>
    </row>
    <row r="9" spans="1:27">
      <c r="A9" s="603" t="e">
        <f>-INT(A1/10000000)*100+INT(A1/100000)</f>
        <v>#REF!</v>
      </c>
      <c r="B9" s="601" t="e">
        <f t="shared" si="0"/>
        <v>#REF!</v>
      </c>
      <c r="C9" s="601"/>
      <c r="D9" s="604" t="e">
        <f>IF((B9=""),IF(C9="",""," Lac ")," Lac ")</f>
        <v>#REF!</v>
      </c>
      <c r="E9" s="601"/>
      <c r="F9" s="603">
        <f>-INT(F1/10000000)*100+INT(F1/100000)</f>
        <v>0</v>
      </c>
      <c r="G9" s="601" t="str">
        <f t="shared" si="1"/>
        <v/>
      </c>
      <c r="H9" s="601"/>
      <c r="I9" s="604" t="str">
        <f>IF((G9=""),IF(H9="",""," Lac ")," Lac ")</f>
        <v/>
      </c>
      <c r="K9" s="603" t="e">
        <f>-INT(K1/10000000)*100+INT(K1/100000)</f>
        <v>#REF!</v>
      </c>
      <c r="L9" s="601" t="e">
        <f t="shared" si="2"/>
        <v>#REF!</v>
      </c>
      <c r="M9" s="601"/>
      <c r="N9" s="604" t="e">
        <f>IF((L9=""),IF(M9="",""," Lac ")," Lac ")</f>
        <v>#REF!</v>
      </c>
      <c r="P9" s="603">
        <f>-INT(P1/10000000)*100+INT(P1/100000)</f>
        <v>0</v>
      </c>
      <c r="Q9" s="601" t="str">
        <f t="shared" si="3"/>
        <v/>
      </c>
      <c r="R9" s="601"/>
      <c r="S9" s="604" t="str">
        <f>IF((Q9=""),IF(R9="",""," Lac ")," Lac ")</f>
        <v/>
      </c>
      <c r="T9" s="621" t="e">
        <f t="shared" ref="T9:T23" si="4">IF(Y9="",0, 1)</f>
        <v>#REF!</v>
      </c>
      <c r="U9" s="617">
        <v>0</v>
      </c>
      <c r="V9" s="617">
        <v>0</v>
      </c>
      <c r="W9" s="617">
        <v>0</v>
      </c>
      <c r="X9" s="617">
        <v>1</v>
      </c>
      <c r="Y9" s="623" t="e">
        <f>IF(AND($A$1=0,$F$1=0,$K$1=0,$P$1&gt;0),$P$4, "")</f>
        <v>#REF!</v>
      </c>
    </row>
    <row r="10" spans="1:27">
      <c r="A10" s="603" t="e">
        <f>-INT(A1/1000000000)*100+INT(A1/10000000)</f>
        <v>#REF!</v>
      </c>
      <c r="B10" s="605" t="e">
        <f t="shared" si="0"/>
        <v>#REF!</v>
      </c>
      <c r="C10" s="601"/>
      <c r="D10" s="604" t="e">
        <f>IF((B10=""),IF(C10="",""," Crore ")," Crore ")</f>
        <v>#REF!</v>
      </c>
      <c r="E10" s="601"/>
      <c r="F10" s="603">
        <f>-INT(F1/1000000000)*100+INT(F1/10000000)</f>
        <v>0</v>
      </c>
      <c r="G10" s="605" t="str">
        <f t="shared" si="1"/>
        <v/>
      </c>
      <c r="H10" s="601"/>
      <c r="I10" s="604" t="str">
        <f>IF((G10=""),IF(H10="",""," Crore ")," Crore ")</f>
        <v/>
      </c>
      <c r="K10" s="603" t="e">
        <f>-INT(K1/1000000000)*100+INT(K1/10000000)</f>
        <v>#REF!</v>
      </c>
      <c r="L10" s="605" t="e">
        <f t="shared" si="2"/>
        <v>#REF!</v>
      </c>
      <c r="M10" s="601"/>
      <c r="N10" s="604" t="e">
        <f>IF((L10=""),IF(M10="",""," Crore ")," Crore ")</f>
        <v>#REF!</v>
      </c>
      <c r="P10" s="603">
        <f>-INT(P1/1000000000)*100+INT(P1/10000000)</f>
        <v>0</v>
      </c>
      <c r="Q10" s="605" t="str">
        <f t="shared" si="3"/>
        <v/>
      </c>
      <c r="R10" s="601"/>
      <c r="S10" s="604" t="str">
        <f>IF((Q10=""),IF(R10="",""," Crore ")," Crore ")</f>
        <v/>
      </c>
      <c r="T10" s="621" t="e">
        <f t="shared" si="4"/>
        <v>#REF!</v>
      </c>
      <c r="U10" s="617">
        <v>0</v>
      </c>
      <c r="V10" s="617">
        <v>0</v>
      </c>
      <c r="W10" s="617">
        <v>1</v>
      </c>
      <c r="X10" s="617">
        <v>0</v>
      </c>
      <c r="Y10" s="623" t="e">
        <f>IF(AND($A$1=0,$F$1=0,$K$1&gt;0,$P$1=0),$K$4, "")</f>
        <v>#REF!</v>
      </c>
    </row>
    <row r="11" spans="1:27">
      <c r="A11" s="606" t="e">
        <f>-INT(A1/10000000000)*1000+INT(A1/1000000000)</f>
        <v>#REF!</v>
      </c>
      <c r="B11" s="605" t="e">
        <f t="shared" si="0"/>
        <v>#REF!</v>
      </c>
      <c r="C11" s="601"/>
      <c r="D11" s="604" t="e">
        <f>IF((B11=""),IF(C11="",""," Hundred ")," Hundred ")</f>
        <v>#REF!</v>
      </c>
      <c r="E11" s="601"/>
      <c r="F11" s="606">
        <f>-INT(F1/10000000000)*1000+INT(F1/1000000000)</f>
        <v>0</v>
      </c>
      <c r="G11" s="605" t="str">
        <f t="shared" si="1"/>
        <v/>
      </c>
      <c r="H11" s="601"/>
      <c r="I11" s="604" t="str">
        <f>IF((G11=""),IF(H11="",""," Hundred ")," Hundred ")</f>
        <v/>
      </c>
      <c r="K11" s="606" t="e">
        <f>-INT(K1/10000000000)*1000+INT(K1/1000000000)</f>
        <v>#REF!</v>
      </c>
      <c r="L11" s="605" t="e">
        <f t="shared" si="2"/>
        <v>#REF!</v>
      </c>
      <c r="M11" s="601"/>
      <c r="N11" s="604" t="e">
        <f>IF((L11=""),IF(M11="",""," Hundred ")," Hundred ")</f>
        <v>#REF!</v>
      </c>
      <c r="P11" s="606">
        <f>-INT(P1/10000000000)*1000+INT(P1/1000000000)</f>
        <v>0</v>
      </c>
      <c r="Q11" s="605" t="str">
        <f t="shared" si="3"/>
        <v/>
      </c>
      <c r="R11" s="601"/>
      <c r="S11" s="604" t="str">
        <f>IF((Q11=""),IF(R11="",""," Hundred ")," Hundred ")</f>
        <v/>
      </c>
      <c r="T11" s="621" t="e">
        <f t="shared" si="4"/>
        <v>#REF!</v>
      </c>
      <c r="U11" s="617">
        <v>0</v>
      </c>
      <c r="V11" s="617">
        <v>0</v>
      </c>
      <c r="W11" s="617">
        <v>1</v>
      </c>
      <c r="X11" s="617">
        <v>1</v>
      </c>
      <c r="Y11" s="623" t="e">
        <f>IF(AND($A$1=0,$F$1=0,$K$1&gt;0,$P$1&gt;0),$K$4&amp;$AA$8&amp;$P$4, "")</f>
        <v>#REF!</v>
      </c>
    </row>
    <row r="12" spans="1:27">
      <c r="A12" s="607"/>
      <c r="B12" s="601"/>
      <c r="C12" s="601"/>
      <c r="D12" s="602"/>
      <c r="E12" s="601"/>
      <c r="F12" s="607"/>
      <c r="G12" s="601"/>
      <c r="H12" s="601"/>
      <c r="I12" s="602"/>
      <c r="K12" s="607"/>
      <c r="L12" s="601"/>
      <c r="M12" s="601"/>
      <c r="N12" s="602"/>
      <c r="P12" s="607"/>
      <c r="Q12" s="601"/>
      <c r="R12" s="601"/>
      <c r="S12" s="602"/>
      <c r="T12" s="621" t="e">
        <f t="shared" si="4"/>
        <v>#REF!</v>
      </c>
      <c r="U12" s="617">
        <v>0</v>
      </c>
      <c r="V12" s="617">
        <v>1</v>
      </c>
      <c r="W12" s="617">
        <v>0</v>
      </c>
      <c r="X12" s="617">
        <v>0</v>
      </c>
      <c r="Y12" s="623" t="e">
        <f>IF(AND($A$1=0,$F$1&gt;0,$K$1=0,$P$1=0),$F$4, "")</f>
        <v>#REF!</v>
      </c>
    </row>
    <row r="13" spans="1:27">
      <c r="A13" s="608">
        <v>1</v>
      </c>
      <c r="B13" s="609" t="s">
        <v>364</v>
      </c>
      <c r="C13" s="601"/>
      <c r="D13" s="602"/>
      <c r="E13" s="601"/>
      <c r="F13" s="608">
        <v>1</v>
      </c>
      <c r="G13" s="609" t="s">
        <v>364</v>
      </c>
      <c r="H13" s="601"/>
      <c r="I13" s="602"/>
      <c r="K13" s="608">
        <v>1</v>
      </c>
      <c r="L13" s="609" t="s">
        <v>364</v>
      </c>
      <c r="M13" s="601"/>
      <c r="N13" s="602"/>
      <c r="P13" s="608">
        <v>1</v>
      </c>
      <c r="Q13" s="609" t="s">
        <v>364</v>
      </c>
      <c r="R13" s="601"/>
      <c r="S13" s="602"/>
      <c r="T13" s="621" t="e">
        <f t="shared" si="4"/>
        <v>#REF!</v>
      </c>
      <c r="U13" s="617">
        <v>0</v>
      </c>
      <c r="V13" s="617">
        <v>1</v>
      </c>
      <c r="W13" s="617">
        <v>0</v>
      </c>
      <c r="X13" s="617">
        <v>1</v>
      </c>
      <c r="Y13" s="623" t="e">
        <f>IF(AND($A$1=0,$F$1&gt;0,$K$1=0,$P$1&gt;0),$F$4&amp;$AA$8&amp;$P$4, "")</f>
        <v>#REF!</v>
      </c>
    </row>
    <row r="14" spans="1:27">
      <c r="A14" s="608">
        <v>2</v>
      </c>
      <c r="B14" s="609" t="s">
        <v>365</v>
      </c>
      <c r="C14" s="601"/>
      <c r="D14" s="602"/>
      <c r="E14" s="601"/>
      <c r="F14" s="608">
        <v>2</v>
      </c>
      <c r="G14" s="609" t="s">
        <v>365</v>
      </c>
      <c r="H14" s="601"/>
      <c r="I14" s="602"/>
      <c r="K14" s="608">
        <v>2</v>
      </c>
      <c r="L14" s="609" t="s">
        <v>365</v>
      </c>
      <c r="M14" s="601"/>
      <c r="N14" s="602"/>
      <c r="P14" s="608">
        <v>2</v>
      </c>
      <c r="Q14" s="609" t="s">
        <v>365</v>
      </c>
      <c r="R14" s="601"/>
      <c r="S14" s="602"/>
      <c r="T14" s="621" t="e">
        <f t="shared" si="4"/>
        <v>#REF!</v>
      </c>
      <c r="U14" s="617">
        <v>0</v>
      </c>
      <c r="V14" s="617">
        <v>1</v>
      </c>
      <c r="W14" s="617">
        <v>1</v>
      </c>
      <c r="X14" s="617">
        <v>0</v>
      </c>
      <c r="Y14" s="623" t="e">
        <f>IF(AND($A$1=0,$F$1&gt;0,$K$1&gt;0,$P$1=0),$F$4&amp;$AA$8&amp;$K$4, "")</f>
        <v>#REF!</v>
      </c>
    </row>
    <row r="15" spans="1:27">
      <c r="A15" s="608">
        <v>3</v>
      </c>
      <c r="B15" s="609" t="s">
        <v>366</v>
      </c>
      <c r="C15" s="601"/>
      <c r="D15" s="602"/>
      <c r="E15" s="601"/>
      <c r="F15" s="608">
        <v>3</v>
      </c>
      <c r="G15" s="609" t="s">
        <v>366</v>
      </c>
      <c r="H15" s="601"/>
      <c r="I15" s="602"/>
      <c r="K15" s="608">
        <v>3</v>
      </c>
      <c r="L15" s="609" t="s">
        <v>366</v>
      </c>
      <c r="M15" s="601"/>
      <c r="N15" s="602"/>
      <c r="P15" s="608">
        <v>3</v>
      </c>
      <c r="Q15" s="609" t="s">
        <v>366</v>
      </c>
      <c r="R15" s="601"/>
      <c r="S15" s="602"/>
      <c r="T15" s="621" t="e">
        <f t="shared" si="4"/>
        <v>#REF!</v>
      </c>
      <c r="U15" s="617">
        <v>0</v>
      </c>
      <c r="V15" s="617">
        <v>1</v>
      </c>
      <c r="W15" s="617">
        <v>1</v>
      </c>
      <c r="X15" s="617">
        <v>1</v>
      </c>
      <c r="Y15" s="624" t="e">
        <f>IF(AND($A$1=0,$F$1&gt;0,$K$1&gt;0,$P$1&gt;0),$F$4&amp;$AA$8&amp;$K$4&amp;$AA$8&amp;$P$4, "")</f>
        <v>#REF!</v>
      </c>
    </row>
    <row r="16" spans="1:27">
      <c r="A16" s="608">
        <v>4</v>
      </c>
      <c r="B16" s="609" t="s">
        <v>367</v>
      </c>
      <c r="C16" s="601"/>
      <c r="D16" s="602"/>
      <c r="E16" s="601"/>
      <c r="F16" s="608">
        <v>4</v>
      </c>
      <c r="G16" s="609" t="s">
        <v>367</v>
      </c>
      <c r="H16" s="601"/>
      <c r="I16" s="602"/>
      <c r="K16" s="608">
        <v>4</v>
      </c>
      <c r="L16" s="609" t="s">
        <v>367</v>
      </c>
      <c r="M16" s="601"/>
      <c r="N16" s="602"/>
      <c r="P16" s="608">
        <v>4</v>
      </c>
      <c r="Q16" s="609" t="s">
        <v>367</v>
      </c>
      <c r="R16" s="601"/>
      <c r="S16" s="602"/>
      <c r="T16" s="621" t="e">
        <f t="shared" si="4"/>
        <v>#REF!</v>
      </c>
      <c r="U16" s="617">
        <v>1</v>
      </c>
      <c r="V16" s="617">
        <v>0</v>
      </c>
      <c r="W16" s="617">
        <v>0</v>
      </c>
      <c r="X16" s="617">
        <v>0</v>
      </c>
      <c r="Y16" s="622" t="e">
        <f>IF(AND($A$1&gt;0,$F$1=0,$K$1=0,$P$1=0), $A$4, "")</f>
        <v>#REF!</v>
      </c>
    </row>
    <row r="17" spans="1:27">
      <c r="A17" s="608">
        <v>5</v>
      </c>
      <c r="B17" s="609" t="s">
        <v>368</v>
      </c>
      <c r="C17" s="601"/>
      <c r="D17" s="602"/>
      <c r="E17" s="601"/>
      <c r="F17" s="608">
        <v>5</v>
      </c>
      <c r="G17" s="609" t="s">
        <v>368</v>
      </c>
      <c r="H17" s="601"/>
      <c r="I17" s="602"/>
      <c r="K17" s="608">
        <v>5</v>
      </c>
      <c r="L17" s="609" t="s">
        <v>368</v>
      </c>
      <c r="M17" s="601"/>
      <c r="N17" s="602"/>
      <c r="P17" s="608">
        <v>5</v>
      </c>
      <c r="Q17" s="609" t="s">
        <v>368</v>
      </c>
      <c r="R17" s="601"/>
      <c r="S17" s="602"/>
      <c r="T17" s="621" t="e">
        <f t="shared" si="4"/>
        <v>#REF!</v>
      </c>
      <c r="U17" s="617">
        <v>1</v>
      </c>
      <c r="V17" s="617">
        <v>0</v>
      </c>
      <c r="W17" s="617">
        <v>0</v>
      </c>
      <c r="X17" s="617">
        <v>1</v>
      </c>
      <c r="Y17" s="623" t="e">
        <f>IF(AND($A$1&gt;0,$F$1=0,$K$1=0,$P$1&gt;0),$A$4&amp;$AA$8&amp;$P$4, "")</f>
        <v>#REF!</v>
      </c>
    </row>
    <row r="18" spans="1:27">
      <c r="A18" s="608">
        <v>6</v>
      </c>
      <c r="B18" s="609" t="s">
        <v>369</v>
      </c>
      <c r="C18" s="601"/>
      <c r="D18" s="602"/>
      <c r="E18" s="601"/>
      <c r="F18" s="608">
        <v>6</v>
      </c>
      <c r="G18" s="609" t="s">
        <v>369</v>
      </c>
      <c r="H18" s="601"/>
      <c r="I18" s="602"/>
      <c r="K18" s="608">
        <v>6</v>
      </c>
      <c r="L18" s="609" t="s">
        <v>369</v>
      </c>
      <c r="M18" s="601"/>
      <c r="N18" s="602"/>
      <c r="P18" s="608">
        <v>6</v>
      </c>
      <c r="Q18" s="609" t="s">
        <v>369</v>
      </c>
      <c r="R18" s="601"/>
      <c r="S18" s="602"/>
      <c r="T18" s="621" t="e">
        <f t="shared" si="4"/>
        <v>#REF!</v>
      </c>
      <c r="U18" s="617">
        <v>1</v>
      </c>
      <c r="V18" s="617">
        <v>0</v>
      </c>
      <c r="W18" s="617">
        <v>1</v>
      </c>
      <c r="X18" s="617">
        <v>0</v>
      </c>
      <c r="Y18" s="623" t="e">
        <f>IF(AND($A$1&gt;0,$F$1=0,$K$1&gt;0,$P$1=0),$A$4&amp;$AA$8&amp;$K$4, "")</f>
        <v>#REF!</v>
      </c>
    </row>
    <row r="19" spans="1:27">
      <c r="A19" s="608">
        <v>7</v>
      </c>
      <c r="B19" s="609" t="s">
        <v>370</v>
      </c>
      <c r="C19" s="601"/>
      <c r="D19" s="602"/>
      <c r="E19" s="601"/>
      <c r="F19" s="608">
        <v>7</v>
      </c>
      <c r="G19" s="609" t="s">
        <v>370</v>
      </c>
      <c r="H19" s="601"/>
      <c r="I19" s="602"/>
      <c r="K19" s="608">
        <v>7</v>
      </c>
      <c r="L19" s="609" t="s">
        <v>370</v>
      </c>
      <c r="M19" s="601"/>
      <c r="N19" s="602"/>
      <c r="P19" s="608">
        <v>7</v>
      </c>
      <c r="Q19" s="609" t="s">
        <v>370</v>
      </c>
      <c r="R19" s="601"/>
      <c r="S19" s="602"/>
      <c r="T19" s="621" t="e">
        <f t="shared" si="4"/>
        <v>#REF!</v>
      </c>
      <c r="U19" s="617">
        <v>1</v>
      </c>
      <c r="V19" s="617">
        <v>0</v>
      </c>
      <c r="W19" s="617">
        <v>1</v>
      </c>
      <c r="X19" s="617">
        <v>1</v>
      </c>
      <c r="Y19" s="623" t="e">
        <f>IF(AND($A$1&gt;0,$F$1=0,$K$1&gt;0,$P$1&gt;0),$A$4&amp;$AA$8&amp;$K$4&amp;$AA$8&amp;$P$4, "")</f>
        <v>#REF!</v>
      </c>
    </row>
    <row r="20" spans="1:27">
      <c r="A20" s="608">
        <v>8</v>
      </c>
      <c r="B20" s="609" t="s">
        <v>371</v>
      </c>
      <c r="C20" s="601"/>
      <c r="D20" s="602"/>
      <c r="E20" s="601"/>
      <c r="F20" s="608">
        <v>8</v>
      </c>
      <c r="G20" s="609" t="s">
        <v>371</v>
      </c>
      <c r="H20" s="601"/>
      <c r="I20" s="602"/>
      <c r="K20" s="608">
        <v>8</v>
      </c>
      <c r="L20" s="609" t="s">
        <v>371</v>
      </c>
      <c r="M20" s="601"/>
      <c r="N20" s="602"/>
      <c r="P20" s="608">
        <v>8</v>
      </c>
      <c r="Q20" s="609" t="s">
        <v>371</v>
      </c>
      <c r="R20" s="601"/>
      <c r="S20" s="602"/>
      <c r="T20" s="621" t="e">
        <f t="shared" si="4"/>
        <v>#REF!</v>
      </c>
      <c r="U20" s="617">
        <v>1</v>
      </c>
      <c r="V20" s="617">
        <v>1</v>
      </c>
      <c r="W20" s="617">
        <v>0</v>
      </c>
      <c r="X20" s="617">
        <v>0</v>
      </c>
      <c r="Y20" s="623" t="e">
        <f>IF(AND($A$1&gt;0,$F$1&gt;0,$K$1=0,$P$1=0),$A$4&amp;$AA$8&amp;$F$4, "")</f>
        <v>#REF!</v>
      </c>
    </row>
    <row r="21" spans="1:27">
      <c r="A21" s="608">
        <v>9</v>
      </c>
      <c r="B21" s="609" t="s">
        <v>372</v>
      </c>
      <c r="C21" s="601"/>
      <c r="D21" s="602"/>
      <c r="E21" s="601"/>
      <c r="F21" s="608">
        <v>9</v>
      </c>
      <c r="G21" s="609" t="s">
        <v>372</v>
      </c>
      <c r="H21" s="601"/>
      <c r="I21" s="602"/>
      <c r="K21" s="608">
        <v>9</v>
      </c>
      <c r="L21" s="609" t="s">
        <v>372</v>
      </c>
      <c r="M21" s="601"/>
      <c r="N21" s="602"/>
      <c r="P21" s="608">
        <v>9</v>
      </c>
      <c r="Q21" s="609" t="s">
        <v>372</v>
      </c>
      <c r="R21" s="601"/>
      <c r="S21" s="602"/>
      <c r="T21" s="621" t="e">
        <f t="shared" si="4"/>
        <v>#REF!</v>
      </c>
      <c r="U21" s="617">
        <v>1</v>
      </c>
      <c r="V21" s="617">
        <v>1</v>
      </c>
      <c r="W21" s="617">
        <v>0</v>
      </c>
      <c r="X21" s="617">
        <v>1</v>
      </c>
      <c r="Y21" s="623" t="e">
        <f>IF(AND($A$1&gt;0,$F$1&gt;0,$K$1=0,$P$1&gt;0),$A$4&amp;$AA$8&amp;$F$4&amp;$AA$8&amp;$P$4, "")</f>
        <v>#REF!</v>
      </c>
    </row>
    <row r="22" spans="1:27">
      <c r="A22" s="608">
        <v>10</v>
      </c>
      <c r="B22" s="609" t="s">
        <v>373</v>
      </c>
      <c r="C22" s="601"/>
      <c r="D22" s="602"/>
      <c r="E22" s="601"/>
      <c r="F22" s="608">
        <v>10</v>
      </c>
      <c r="G22" s="609" t="s">
        <v>373</v>
      </c>
      <c r="H22" s="601"/>
      <c r="I22" s="602"/>
      <c r="K22" s="608">
        <v>10</v>
      </c>
      <c r="L22" s="609" t="s">
        <v>373</v>
      </c>
      <c r="M22" s="601"/>
      <c r="N22" s="602"/>
      <c r="P22" s="608">
        <v>10</v>
      </c>
      <c r="Q22" s="609" t="s">
        <v>373</v>
      </c>
      <c r="R22" s="601"/>
      <c r="S22" s="602"/>
      <c r="T22" s="621" t="e">
        <f t="shared" si="4"/>
        <v>#REF!</v>
      </c>
      <c r="U22" s="617">
        <v>1</v>
      </c>
      <c r="V22" s="617">
        <v>1</v>
      </c>
      <c r="W22" s="617">
        <v>1</v>
      </c>
      <c r="X22" s="617">
        <v>0</v>
      </c>
      <c r="Y22" s="623" t="e">
        <f>IF(AND($A$1&gt;0,$F$1&gt;0,$K$1&gt;0,$P$1=0),$A$4&amp;$AA$8&amp;$F$4&amp;$AA$8&amp;$K$4, "")</f>
        <v>#REF!</v>
      </c>
    </row>
    <row r="23" spans="1:27">
      <c r="A23" s="608">
        <v>11</v>
      </c>
      <c r="B23" s="609" t="s">
        <v>374</v>
      </c>
      <c r="C23" s="601"/>
      <c r="D23" s="602"/>
      <c r="E23" s="601"/>
      <c r="F23" s="608">
        <v>11</v>
      </c>
      <c r="G23" s="609" t="s">
        <v>374</v>
      </c>
      <c r="H23" s="601"/>
      <c r="I23" s="602"/>
      <c r="K23" s="608">
        <v>11</v>
      </c>
      <c r="L23" s="609" t="s">
        <v>374</v>
      </c>
      <c r="M23" s="601"/>
      <c r="N23" s="602"/>
      <c r="P23" s="608">
        <v>11</v>
      </c>
      <c r="Q23" s="609" t="s">
        <v>374</v>
      </c>
      <c r="R23" s="601"/>
      <c r="S23" s="602"/>
      <c r="T23" s="621" t="e">
        <f t="shared" si="4"/>
        <v>#REF!</v>
      </c>
      <c r="U23" s="617">
        <v>1</v>
      </c>
      <c r="V23" s="617">
        <v>1</v>
      </c>
      <c r="W23" s="617">
        <v>1</v>
      </c>
      <c r="X23" s="617">
        <v>1</v>
      </c>
      <c r="Y23" s="624" t="e">
        <f>IF(AND($A$1&gt;0,$F$1&gt;0,$K$1&gt;0,$P$1&gt;0),$A$4&amp;$AA$8&amp;$F$4&amp;$AA$8&amp;$K$4&amp;$AA$8&amp;$P$4, "")</f>
        <v>#REF!</v>
      </c>
    </row>
    <row r="24" spans="1:27">
      <c r="A24" s="608">
        <v>12</v>
      </c>
      <c r="B24" s="609" t="s">
        <v>375</v>
      </c>
      <c r="C24" s="601"/>
      <c r="D24" s="602"/>
      <c r="E24" s="601"/>
      <c r="F24" s="608">
        <v>12</v>
      </c>
      <c r="G24" s="609" t="s">
        <v>375</v>
      </c>
      <c r="H24" s="601"/>
      <c r="I24" s="602"/>
      <c r="K24" s="608">
        <v>12</v>
      </c>
      <c r="L24" s="609" t="s">
        <v>375</v>
      </c>
      <c r="M24" s="601"/>
      <c r="N24" s="602"/>
      <c r="P24" s="608">
        <v>12</v>
      </c>
      <c r="Q24" s="609" t="s">
        <v>375</v>
      </c>
      <c r="R24" s="601"/>
      <c r="S24" s="602"/>
    </row>
    <row r="25" spans="1:27">
      <c r="A25" s="608">
        <v>13</v>
      </c>
      <c r="B25" s="609" t="s">
        <v>376</v>
      </c>
      <c r="C25" s="601"/>
      <c r="D25" s="602"/>
      <c r="E25" s="601"/>
      <c r="F25" s="608">
        <v>13</v>
      </c>
      <c r="G25" s="609" t="s">
        <v>376</v>
      </c>
      <c r="H25" s="601"/>
      <c r="I25" s="602"/>
      <c r="K25" s="608">
        <v>13</v>
      </c>
      <c r="L25" s="609" t="s">
        <v>376</v>
      </c>
      <c r="M25" s="601"/>
      <c r="N25" s="602"/>
      <c r="P25" s="608">
        <v>13</v>
      </c>
      <c r="Q25" s="609" t="s">
        <v>376</v>
      </c>
      <c r="R25" s="601"/>
      <c r="S25" s="602"/>
    </row>
    <row r="26" spans="1:27">
      <c r="A26" s="608">
        <v>14</v>
      </c>
      <c r="B26" s="609" t="s">
        <v>377</v>
      </c>
      <c r="C26" s="601"/>
      <c r="D26" s="602"/>
      <c r="E26" s="601"/>
      <c r="F26" s="608">
        <v>14</v>
      </c>
      <c r="G26" s="609" t="s">
        <v>377</v>
      </c>
      <c r="H26" s="601"/>
      <c r="I26" s="602"/>
      <c r="K26" s="608">
        <v>14</v>
      </c>
      <c r="L26" s="609" t="s">
        <v>377</v>
      </c>
      <c r="M26" s="601"/>
      <c r="N26" s="602"/>
      <c r="P26" s="608">
        <v>14</v>
      </c>
      <c r="Q26" s="609" t="s">
        <v>377</v>
      </c>
      <c r="R26" s="601"/>
      <c r="S26" s="602"/>
    </row>
    <row r="27" spans="1:27">
      <c r="A27" s="608">
        <v>15</v>
      </c>
      <c r="B27" s="609" t="s">
        <v>378</v>
      </c>
      <c r="C27" s="601"/>
      <c r="D27" s="602"/>
      <c r="E27" s="601"/>
      <c r="F27" s="608">
        <v>15</v>
      </c>
      <c r="G27" s="609" t="s">
        <v>378</v>
      </c>
      <c r="H27" s="601"/>
      <c r="I27" s="602"/>
      <c r="K27" s="608">
        <v>15</v>
      </c>
      <c r="L27" s="609" t="s">
        <v>378</v>
      </c>
      <c r="M27" s="601"/>
      <c r="N27" s="602"/>
      <c r="P27" s="608">
        <v>15</v>
      </c>
      <c r="Q27" s="609" t="s">
        <v>378</v>
      </c>
      <c r="R27" s="601"/>
      <c r="S27" s="602"/>
    </row>
    <row r="28" spans="1:27">
      <c r="A28" s="608">
        <v>16</v>
      </c>
      <c r="B28" s="609" t="s">
        <v>379</v>
      </c>
      <c r="C28" s="601"/>
      <c r="D28" s="602"/>
      <c r="E28" s="601"/>
      <c r="F28" s="608">
        <v>16</v>
      </c>
      <c r="G28" s="609" t="s">
        <v>379</v>
      </c>
      <c r="H28" s="601"/>
      <c r="I28" s="602"/>
      <c r="K28" s="608">
        <v>16</v>
      </c>
      <c r="L28" s="609" t="s">
        <v>379</v>
      </c>
      <c r="M28" s="601"/>
      <c r="N28" s="602"/>
      <c r="P28" s="608">
        <v>16</v>
      </c>
      <c r="Q28" s="609" t="s">
        <v>379</v>
      </c>
      <c r="R28" s="601"/>
      <c r="S28" s="602"/>
      <c r="T28" s="621" t="e">
        <f>IF(Y28="",0, 1)</f>
        <v>#REF!</v>
      </c>
      <c r="U28" s="617">
        <v>0</v>
      </c>
      <c r="V28" s="617">
        <v>0</v>
      </c>
      <c r="W28" s="617">
        <v>0</v>
      </c>
      <c r="X28" s="617">
        <v>0</v>
      </c>
      <c r="Y28" s="622" t="e">
        <f>IF(AND($A$1=0,$F$1=0,$K$1=0,$P$1=0)," 0/-", "")</f>
        <v>#REF!</v>
      </c>
      <c r="AA28" s="617" t="s">
        <v>466</v>
      </c>
    </row>
    <row r="29" spans="1:27">
      <c r="A29" s="608">
        <v>17</v>
      </c>
      <c r="B29" s="609" t="s">
        <v>380</v>
      </c>
      <c r="C29" s="601"/>
      <c r="D29" s="602"/>
      <c r="E29" s="601"/>
      <c r="F29" s="608">
        <v>17</v>
      </c>
      <c r="G29" s="609" t="s">
        <v>380</v>
      </c>
      <c r="H29" s="601"/>
      <c r="I29" s="602"/>
      <c r="K29" s="608">
        <v>17</v>
      </c>
      <c r="L29" s="609" t="s">
        <v>380</v>
      </c>
      <c r="M29" s="601"/>
      <c r="N29" s="602"/>
      <c r="P29" s="608">
        <v>17</v>
      </c>
      <c r="Q29" s="609" t="s">
        <v>380</v>
      </c>
      <c r="R29" s="601"/>
      <c r="S29" s="602"/>
      <c r="T29" s="621" t="e">
        <f t="shared" ref="T29:T43" si="5">IF(Y29="",0, 1)</f>
        <v>#REF!</v>
      </c>
      <c r="U29" s="617">
        <v>0</v>
      </c>
      <c r="V29" s="617">
        <v>0</v>
      </c>
      <c r="W29" s="617">
        <v>0</v>
      </c>
      <c r="X29" s="617">
        <v>1</v>
      </c>
      <c r="Y29" s="623" t="e">
        <f>IF(AND($A$1=0,$F$1=0,$K$1=0,$P$1&gt;0),$U$3&amp;$P$1&amp;$AA$30, "")</f>
        <v>#REF!</v>
      </c>
      <c r="AA29" s="617" t="s">
        <v>467</v>
      </c>
    </row>
    <row r="30" spans="1:27">
      <c r="A30" s="608">
        <v>18</v>
      </c>
      <c r="B30" s="609" t="s">
        <v>381</v>
      </c>
      <c r="C30" s="601"/>
      <c r="D30" s="602"/>
      <c r="E30" s="601"/>
      <c r="F30" s="608">
        <v>18</v>
      </c>
      <c r="G30" s="609" t="s">
        <v>381</v>
      </c>
      <c r="H30" s="601"/>
      <c r="I30" s="602"/>
      <c r="K30" s="608">
        <v>18</v>
      </c>
      <c r="L30" s="609" t="s">
        <v>381</v>
      </c>
      <c r="M30" s="601"/>
      <c r="N30" s="602"/>
      <c r="P30" s="608">
        <v>18</v>
      </c>
      <c r="Q30" s="609" t="s">
        <v>381</v>
      </c>
      <c r="R30" s="601"/>
      <c r="S30" s="602"/>
      <c r="T30" s="621" t="e">
        <f t="shared" si="5"/>
        <v>#REF!</v>
      </c>
      <c r="U30" s="617">
        <v>0</v>
      </c>
      <c r="V30" s="617">
        <v>0</v>
      </c>
      <c r="W30" s="617">
        <v>1</v>
      </c>
      <c r="X30" s="617">
        <v>0</v>
      </c>
      <c r="Y30" s="623" t="e">
        <f>IF(AND($A$1=0,$F$1=0,$K$1&gt;0,$P$1=0),$U$2&amp;$K$1&amp;$AA$30, "")</f>
        <v>#REF!</v>
      </c>
      <c r="AA30" s="617" t="s">
        <v>468</v>
      </c>
    </row>
    <row r="31" spans="1:27">
      <c r="A31" s="608">
        <v>19</v>
      </c>
      <c r="B31" s="609" t="s">
        <v>382</v>
      </c>
      <c r="C31" s="601"/>
      <c r="D31" s="602"/>
      <c r="E31" s="601"/>
      <c r="F31" s="608">
        <v>19</v>
      </c>
      <c r="G31" s="609" t="s">
        <v>382</v>
      </c>
      <c r="H31" s="601"/>
      <c r="I31" s="602"/>
      <c r="K31" s="608">
        <v>19</v>
      </c>
      <c r="L31" s="609" t="s">
        <v>382</v>
      </c>
      <c r="M31" s="601"/>
      <c r="N31" s="602"/>
      <c r="P31" s="608">
        <v>19</v>
      </c>
      <c r="Q31" s="609" t="s">
        <v>382</v>
      </c>
      <c r="R31" s="601"/>
      <c r="S31" s="602"/>
      <c r="T31" s="621" t="e">
        <f t="shared" si="5"/>
        <v>#REF!</v>
      </c>
      <c r="U31" s="617">
        <v>0</v>
      </c>
      <c r="V31" s="617">
        <v>0</v>
      </c>
      <c r="W31" s="617">
        <v>1</v>
      </c>
      <c r="X31" s="617">
        <v>1</v>
      </c>
      <c r="Y31" s="623" t="e">
        <f>IF(AND($A$1=0,$F$1=0,$K$1&gt;0,$P$1&gt;0),$U$2&amp;$K$1&amp;$AA$29&amp;$U$3&amp;$P$1&amp;$AA$30, "")</f>
        <v>#REF!</v>
      </c>
    </row>
    <row r="32" spans="1:27">
      <c r="A32" s="608">
        <v>20</v>
      </c>
      <c r="B32" s="609" t="s">
        <v>383</v>
      </c>
      <c r="C32" s="601"/>
      <c r="D32" s="602"/>
      <c r="E32" s="601"/>
      <c r="F32" s="608">
        <v>20</v>
      </c>
      <c r="G32" s="609" t="s">
        <v>383</v>
      </c>
      <c r="H32" s="601"/>
      <c r="I32" s="602"/>
      <c r="K32" s="608">
        <v>20</v>
      </c>
      <c r="L32" s="609" t="s">
        <v>383</v>
      </c>
      <c r="M32" s="601"/>
      <c r="N32" s="602"/>
      <c r="P32" s="608">
        <v>20</v>
      </c>
      <c r="Q32" s="609" t="s">
        <v>383</v>
      </c>
      <c r="R32" s="601"/>
      <c r="S32" s="602"/>
      <c r="T32" s="621" t="e">
        <f t="shared" si="5"/>
        <v>#REF!</v>
      </c>
      <c r="U32" s="617">
        <v>0</v>
      </c>
      <c r="V32" s="617">
        <v>1</v>
      </c>
      <c r="W32" s="617">
        <v>0</v>
      </c>
      <c r="X32" s="617">
        <v>0</v>
      </c>
      <c r="Y32" s="623" t="e">
        <f>IF(AND($A$1=0,$F$1&gt;0,$K$1=0,$P$1=0),$U$1&amp;$F$1&amp;$AA$30, "")</f>
        <v>#REF!</v>
      </c>
    </row>
    <row r="33" spans="1:25">
      <c r="A33" s="608">
        <v>21</v>
      </c>
      <c r="B33" s="609" t="s">
        <v>384</v>
      </c>
      <c r="C33" s="601"/>
      <c r="D33" s="602"/>
      <c r="E33" s="601"/>
      <c r="F33" s="608">
        <v>21</v>
      </c>
      <c r="G33" s="609" t="s">
        <v>384</v>
      </c>
      <c r="H33" s="601"/>
      <c r="I33" s="602"/>
      <c r="K33" s="608">
        <v>21</v>
      </c>
      <c r="L33" s="609" t="s">
        <v>384</v>
      </c>
      <c r="M33" s="601"/>
      <c r="N33" s="602"/>
      <c r="P33" s="608">
        <v>21</v>
      </c>
      <c r="Q33" s="609" t="s">
        <v>384</v>
      </c>
      <c r="R33" s="601"/>
      <c r="S33" s="602"/>
      <c r="T33" s="621" t="e">
        <f t="shared" si="5"/>
        <v>#REF!</v>
      </c>
      <c r="U33" s="617">
        <v>0</v>
      </c>
      <c r="V33" s="617">
        <v>1</v>
      </c>
      <c r="W33" s="617">
        <v>0</v>
      </c>
      <c r="X33" s="617">
        <v>1</v>
      </c>
      <c r="Y33" s="623" t="e">
        <f>IF(AND($A$1=0,$F$1&gt;0,$K$1=0,$P$1&gt;0),$U$1&amp;$F$1&amp;$AA$29&amp;$U$3&amp;$P$1&amp;$AA$30, "")</f>
        <v>#REF!</v>
      </c>
    </row>
    <row r="34" spans="1:25">
      <c r="A34" s="608">
        <v>22</v>
      </c>
      <c r="B34" s="609" t="s">
        <v>385</v>
      </c>
      <c r="C34" s="601"/>
      <c r="D34" s="602"/>
      <c r="E34" s="601"/>
      <c r="F34" s="608">
        <v>22</v>
      </c>
      <c r="G34" s="609" t="s">
        <v>385</v>
      </c>
      <c r="H34" s="601"/>
      <c r="I34" s="602"/>
      <c r="K34" s="608">
        <v>22</v>
      </c>
      <c r="L34" s="609" t="s">
        <v>385</v>
      </c>
      <c r="M34" s="601"/>
      <c r="N34" s="602"/>
      <c r="P34" s="608">
        <v>22</v>
      </c>
      <c r="Q34" s="609" t="s">
        <v>385</v>
      </c>
      <c r="R34" s="601"/>
      <c r="S34" s="602"/>
      <c r="T34" s="621" t="e">
        <f t="shared" si="5"/>
        <v>#REF!</v>
      </c>
      <c r="U34" s="617">
        <v>0</v>
      </c>
      <c r="V34" s="617">
        <v>1</v>
      </c>
      <c r="W34" s="617">
        <v>1</v>
      </c>
      <c r="X34" s="617">
        <v>0</v>
      </c>
      <c r="Y34" s="623" t="e">
        <f>IF(AND($A$1=0,$F$1&gt;0,$K$1&gt;0,$P$1=0),$U$1&amp;$F$1&amp;$AA$29&amp;$U$2&amp;$K$1, "")</f>
        <v>#REF!</v>
      </c>
    </row>
    <row r="35" spans="1:25">
      <c r="A35" s="608">
        <v>23</v>
      </c>
      <c r="B35" s="609" t="s">
        <v>386</v>
      </c>
      <c r="C35" s="601"/>
      <c r="D35" s="602"/>
      <c r="E35" s="601"/>
      <c r="F35" s="608">
        <v>23</v>
      </c>
      <c r="G35" s="609" t="s">
        <v>386</v>
      </c>
      <c r="H35" s="601"/>
      <c r="I35" s="602"/>
      <c r="K35" s="608">
        <v>23</v>
      </c>
      <c r="L35" s="609" t="s">
        <v>386</v>
      </c>
      <c r="M35" s="601"/>
      <c r="N35" s="602"/>
      <c r="P35" s="608">
        <v>23</v>
      </c>
      <c r="Q35" s="609" t="s">
        <v>386</v>
      </c>
      <c r="R35" s="601"/>
      <c r="S35" s="602"/>
      <c r="T35" s="621" t="e">
        <f t="shared" si="5"/>
        <v>#REF!</v>
      </c>
      <c r="U35" s="617">
        <v>0</v>
      </c>
      <c r="V35" s="617">
        <v>1</v>
      </c>
      <c r="W35" s="617">
        <v>1</v>
      </c>
      <c r="X35" s="617">
        <v>1</v>
      </c>
      <c r="Y35" s="624" t="e">
        <f>IF(AND($A$1=0,$F$1&gt;0,$K$1&gt;0,$P$1&gt;0),$U$1&amp;$F$1&amp;$AA$29&amp;$U$2&amp;$K$1&amp;$AA$29&amp;$U$3&amp;$P$1&amp;$AA$30, "")</f>
        <v>#REF!</v>
      </c>
    </row>
    <row r="36" spans="1:25">
      <c r="A36" s="608">
        <v>24</v>
      </c>
      <c r="B36" s="609" t="s">
        <v>387</v>
      </c>
      <c r="C36" s="601"/>
      <c r="D36" s="602"/>
      <c r="E36" s="601"/>
      <c r="F36" s="608">
        <v>24</v>
      </c>
      <c r="G36" s="609" t="s">
        <v>387</v>
      </c>
      <c r="H36" s="601"/>
      <c r="I36" s="602"/>
      <c r="K36" s="608">
        <v>24</v>
      </c>
      <c r="L36" s="609" t="s">
        <v>387</v>
      </c>
      <c r="M36" s="601"/>
      <c r="N36" s="602"/>
      <c r="P36" s="608">
        <v>24</v>
      </c>
      <c r="Q36" s="609" t="s">
        <v>387</v>
      </c>
      <c r="R36" s="601"/>
      <c r="S36" s="602"/>
      <c r="T36" s="621" t="e">
        <f t="shared" si="5"/>
        <v>#REF!</v>
      </c>
      <c r="U36" s="617">
        <v>1</v>
      </c>
      <c r="V36" s="617">
        <v>0</v>
      </c>
      <c r="W36" s="617">
        <v>0</v>
      </c>
      <c r="X36" s="617">
        <v>0</v>
      </c>
      <c r="Y36" s="622" t="e">
        <f>IF(AND($A$1&gt;0,$F$1=0,$K$1=0,$P$1=0),#REF!&amp; $A$1&amp;$AA$30, "")</f>
        <v>#REF!</v>
      </c>
    </row>
    <row r="37" spans="1:25">
      <c r="A37" s="608">
        <v>25</v>
      </c>
      <c r="B37" s="609" t="s">
        <v>388</v>
      </c>
      <c r="C37" s="601"/>
      <c r="D37" s="602"/>
      <c r="E37" s="601"/>
      <c r="F37" s="608">
        <v>25</v>
      </c>
      <c r="G37" s="609" t="s">
        <v>388</v>
      </c>
      <c r="H37" s="601"/>
      <c r="I37" s="602"/>
      <c r="K37" s="608">
        <v>25</v>
      </c>
      <c r="L37" s="609" t="s">
        <v>388</v>
      </c>
      <c r="M37" s="601"/>
      <c r="N37" s="602"/>
      <c r="P37" s="608">
        <v>25</v>
      </c>
      <c r="Q37" s="609" t="s">
        <v>388</v>
      </c>
      <c r="R37" s="601"/>
      <c r="S37" s="602"/>
      <c r="T37" s="621" t="e">
        <f t="shared" si="5"/>
        <v>#REF!</v>
      </c>
      <c r="U37" s="617">
        <v>1</v>
      </c>
      <c r="V37" s="617">
        <v>0</v>
      </c>
      <c r="W37" s="617">
        <v>0</v>
      </c>
      <c r="X37" s="617">
        <v>1</v>
      </c>
      <c r="Y37" s="623" t="e">
        <f>IF(AND($A$1&gt;0,$F$1=0,$K$1=0,$P$1&gt;0),#REF!&amp;$A$1&amp;$AA$29&amp;$U$3&amp;$P$1&amp;$AA$30, "")</f>
        <v>#REF!</v>
      </c>
    </row>
    <row r="38" spans="1:25">
      <c r="A38" s="608">
        <v>26</v>
      </c>
      <c r="B38" s="609" t="s">
        <v>389</v>
      </c>
      <c r="C38" s="601"/>
      <c r="D38" s="602"/>
      <c r="E38" s="601"/>
      <c r="F38" s="608">
        <v>26</v>
      </c>
      <c r="G38" s="609" t="s">
        <v>389</v>
      </c>
      <c r="H38" s="601"/>
      <c r="I38" s="602"/>
      <c r="K38" s="608">
        <v>26</v>
      </c>
      <c r="L38" s="609" t="s">
        <v>389</v>
      </c>
      <c r="M38" s="601"/>
      <c r="N38" s="602"/>
      <c r="P38" s="608">
        <v>26</v>
      </c>
      <c r="Q38" s="609" t="s">
        <v>389</v>
      </c>
      <c r="R38" s="601"/>
      <c r="S38" s="602"/>
      <c r="T38" s="621" t="e">
        <f t="shared" si="5"/>
        <v>#REF!</v>
      </c>
      <c r="U38" s="617">
        <v>1</v>
      </c>
      <c r="V38" s="617">
        <v>0</v>
      </c>
      <c r="W38" s="617">
        <v>1</v>
      </c>
      <c r="X38" s="617">
        <v>0</v>
      </c>
      <c r="Y38" s="623" t="e">
        <f>IF(AND($A$1&gt;0,$F$1=0,$K$1&gt;0,$P$1=0),#REF!&amp;$A$1&amp;$AA$29&amp;$U$2&amp;$K$1, "")</f>
        <v>#REF!</v>
      </c>
    </row>
    <row r="39" spans="1:25">
      <c r="A39" s="608">
        <v>27</v>
      </c>
      <c r="B39" s="609" t="s">
        <v>390</v>
      </c>
      <c r="C39" s="601"/>
      <c r="D39" s="602"/>
      <c r="E39" s="601"/>
      <c r="F39" s="608">
        <v>27</v>
      </c>
      <c r="G39" s="609" t="s">
        <v>390</v>
      </c>
      <c r="H39" s="601"/>
      <c r="I39" s="602"/>
      <c r="K39" s="608">
        <v>27</v>
      </c>
      <c r="L39" s="609" t="s">
        <v>390</v>
      </c>
      <c r="M39" s="601"/>
      <c r="N39" s="602"/>
      <c r="P39" s="608">
        <v>27</v>
      </c>
      <c r="Q39" s="609" t="s">
        <v>390</v>
      </c>
      <c r="R39" s="601"/>
      <c r="S39" s="602"/>
      <c r="T39" s="621" t="e">
        <f t="shared" si="5"/>
        <v>#REF!</v>
      </c>
      <c r="U39" s="617">
        <v>1</v>
      </c>
      <c r="V39" s="617">
        <v>0</v>
      </c>
      <c r="W39" s="617">
        <v>1</v>
      </c>
      <c r="X39" s="617">
        <v>1</v>
      </c>
      <c r="Y39" s="623" t="e">
        <f>IF(AND($A$1&gt;0,$F$1=0,$K$1&gt;0,$P$1&gt;0),#REF!&amp;$A$1&amp;$AA$29&amp;$U$2&amp;$K$1&amp;$AA$29&amp;$U$3&amp;$P$1&amp;$AA$30, "")</f>
        <v>#REF!</v>
      </c>
    </row>
    <row r="40" spans="1:25">
      <c r="A40" s="608">
        <v>28</v>
      </c>
      <c r="B40" s="609" t="s">
        <v>391</v>
      </c>
      <c r="C40" s="601"/>
      <c r="D40" s="602"/>
      <c r="E40" s="601"/>
      <c r="F40" s="608">
        <v>28</v>
      </c>
      <c r="G40" s="609" t="s">
        <v>391</v>
      </c>
      <c r="H40" s="601"/>
      <c r="I40" s="602"/>
      <c r="K40" s="608">
        <v>28</v>
      </c>
      <c r="L40" s="609" t="s">
        <v>391</v>
      </c>
      <c r="M40" s="601"/>
      <c r="N40" s="602"/>
      <c r="P40" s="608">
        <v>28</v>
      </c>
      <c r="Q40" s="609" t="s">
        <v>391</v>
      </c>
      <c r="R40" s="601"/>
      <c r="S40" s="602"/>
      <c r="T40" s="621" t="e">
        <f t="shared" si="5"/>
        <v>#REF!</v>
      </c>
      <c r="U40" s="617">
        <v>1</v>
      </c>
      <c r="V40" s="617">
        <v>1</v>
      </c>
      <c r="W40" s="617">
        <v>0</v>
      </c>
      <c r="X40" s="617">
        <v>0</v>
      </c>
      <c r="Y40" s="623" t="e">
        <f>IF(AND($A$1&gt;0,$F$1&gt;0,$K$1=0,$P$1=0),#REF!&amp;$A$1&amp;$AA$29&amp;$U$1&amp;$F$1, "")</f>
        <v>#REF!</v>
      </c>
    </row>
    <row r="41" spans="1:25">
      <c r="A41" s="608">
        <v>29</v>
      </c>
      <c r="B41" s="609" t="s">
        <v>392</v>
      </c>
      <c r="C41" s="601"/>
      <c r="D41" s="602"/>
      <c r="E41" s="601"/>
      <c r="F41" s="608">
        <v>29</v>
      </c>
      <c r="G41" s="609" t="s">
        <v>392</v>
      </c>
      <c r="H41" s="601"/>
      <c r="I41" s="602"/>
      <c r="K41" s="608">
        <v>29</v>
      </c>
      <c r="L41" s="609" t="s">
        <v>392</v>
      </c>
      <c r="M41" s="601"/>
      <c r="N41" s="602"/>
      <c r="P41" s="608">
        <v>29</v>
      </c>
      <c r="Q41" s="609" t="s">
        <v>392</v>
      </c>
      <c r="R41" s="601"/>
      <c r="S41" s="602"/>
      <c r="T41" s="621" t="e">
        <f t="shared" si="5"/>
        <v>#REF!</v>
      </c>
      <c r="U41" s="617">
        <v>1</v>
      </c>
      <c r="V41" s="617">
        <v>1</v>
      </c>
      <c r="W41" s="617">
        <v>0</v>
      </c>
      <c r="X41" s="617">
        <v>1</v>
      </c>
      <c r="Y41" s="623" t="e">
        <f>IF(AND($A$1&gt;0,$F$1&gt;0,$K$1=0,$P$1&gt;0),#REF!&amp;$A$1&amp;$AA$29&amp;$U$1&amp;$F$1&amp;$AA$29&amp;$U$3&amp;$P$1&amp;$AA$30, "")</f>
        <v>#REF!</v>
      </c>
    </row>
    <row r="42" spans="1:25">
      <c r="A42" s="608">
        <v>30</v>
      </c>
      <c r="B42" s="609" t="s">
        <v>393</v>
      </c>
      <c r="C42" s="601"/>
      <c r="D42" s="602"/>
      <c r="E42" s="601"/>
      <c r="F42" s="608">
        <v>30</v>
      </c>
      <c r="G42" s="609" t="s">
        <v>393</v>
      </c>
      <c r="H42" s="601"/>
      <c r="I42" s="602"/>
      <c r="K42" s="608">
        <v>30</v>
      </c>
      <c r="L42" s="609" t="s">
        <v>393</v>
      </c>
      <c r="M42" s="601"/>
      <c r="N42" s="602"/>
      <c r="P42" s="608">
        <v>30</v>
      </c>
      <c r="Q42" s="609" t="s">
        <v>393</v>
      </c>
      <c r="R42" s="601"/>
      <c r="S42" s="602"/>
      <c r="T42" s="621" t="e">
        <f t="shared" si="5"/>
        <v>#REF!</v>
      </c>
      <c r="U42" s="617">
        <v>1</v>
      </c>
      <c r="V42" s="617">
        <v>1</v>
      </c>
      <c r="W42" s="617">
        <v>1</v>
      </c>
      <c r="X42" s="617">
        <v>0</v>
      </c>
      <c r="Y42" s="623" t="e">
        <f>IF(AND($A$1&gt;0,$F$1&gt;0,$K$1&gt;0,$P$1=0),#REF!&amp;$A$1&amp;$AA$29&amp;$U$1&amp;$F$1&amp;$AA$29&amp;$U$2&amp;$K$1, "")</f>
        <v>#REF!</v>
      </c>
    </row>
    <row r="43" spans="1:25">
      <c r="A43" s="608">
        <v>31</v>
      </c>
      <c r="B43" s="609" t="s">
        <v>394</v>
      </c>
      <c r="C43" s="601"/>
      <c r="D43" s="602"/>
      <c r="E43" s="601"/>
      <c r="F43" s="608">
        <v>31</v>
      </c>
      <c r="G43" s="609" t="s">
        <v>394</v>
      </c>
      <c r="H43" s="601"/>
      <c r="I43" s="602"/>
      <c r="K43" s="608">
        <v>31</v>
      </c>
      <c r="L43" s="609" t="s">
        <v>394</v>
      </c>
      <c r="M43" s="601"/>
      <c r="N43" s="602"/>
      <c r="P43" s="608">
        <v>31</v>
      </c>
      <c r="Q43" s="609" t="s">
        <v>394</v>
      </c>
      <c r="R43" s="601"/>
      <c r="S43" s="602"/>
      <c r="T43" s="621" t="e">
        <f t="shared" si="5"/>
        <v>#REF!</v>
      </c>
      <c r="U43" s="617">
        <v>1</v>
      </c>
      <c r="V43" s="617">
        <v>1</v>
      </c>
      <c r="W43" s="617">
        <v>1</v>
      </c>
      <c r="X43" s="617">
        <v>1</v>
      </c>
      <c r="Y43" s="624" t="e">
        <f>IF(AND($A$1&gt;0,$F$1&gt;0,$K$1&gt;0,$P$1&gt;0),#REF!&amp;$A$1&amp;$AA$29&amp;$U$1&amp;$F$1&amp;$AA$29&amp;$U$2&amp;$K$1&amp;$AA$29&amp;$U$3&amp;$P$1&amp;$AA$30, "")</f>
        <v>#REF!</v>
      </c>
    </row>
    <row r="44" spans="1:25">
      <c r="A44" s="608">
        <v>32</v>
      </c>
      <c r="B44" s="609" t="s">
        <v>395</v>
      </c>
      <c r="C44" s="601"/>
      <c r="D44" s="602"/>
      <c r="E44" s="601"/>
      <c r="F44" s="608">
        <v>32</v>
      </c>
      <c r="G44" s="609" t="s">
        <v>395</v>
      </c>
      <c r="H44" s="601"/>
      <c r="I44" s="602"/>
      <c r="K44" s="608">
        <v>32</v>
      </c>
      <c r="L44" s="609" t="s">
        <v>395</v>
      </c>
      <c r="M44" s="601"/>
      <c r="N44" s="602"/>
      <c r="P44" s="608">
        <v>32</v>
      </c>
      <c r="Q44" s="609" t="s">
        <v>395</v>
      </c>
      <c r="R44" s="601"/>
      <c r="S44" s="602"/>
    </row>
    <row r="45" spans="1:25">
      <c r="A45" s="608">
        <v>33</v>
      </c>
      <c r="B45" s="609" t="s">
        <v>396</v>
      </c>
      <c r="C45" s="601"/>
      <c r="D45" s="602"/>
      <c r="E45" s="601"/>
      <c r="F45" s="608">
        <v>33</v>
      </c>
      <c r="G45" s="609" t="s">
        <v>396</v>
      </c>
      <c r="H45" s="601"/>
      <c r="I45" s="602"/>
      <c r="K45" s="608">
        <v>33</v>
      </c>
      <c r="L45" s="609" t="s">
        <v>396</v>
      </c>
      <c r="M45" s="601"/>
      <c r="N45" s="602"/>
      <c r="P45" s="608">
        <v>33</v>
      </c>
      <c r="Q45" s="609" t="s">
        <v>396</v>
      </c>
      <c r="R45" s="601"/>
      <c r="S45" s="602"/>
    </row>
    <row r="46" spans="1:25">
      <c r="A46" s="608">
        <v>34</v>
      </c>
      <c r="B46" s="609" t="s">
        <v>397</v>
      </c>
      <c r="C46" s="601"/>
      <c r="D46" s="602"/>
      <c r="E46" s="601"/>
      <c r="F46" s="608">
        <v>34</v>
      </c>
      <c r="G46" s="609" t="s">
        <v>397</v>
      </c>
      <c r="H46" s="601"/>
      <c r="I46" s="602"/>
      <c r="K46" s="608">
        <v>34</v>
      </c>
      <c r="L46" s="609" t="s">
        <v>397</v>
      </c>
      <c r="M46" s="601"/>
      <c r="N46" s="602"/>
      <c r="P46" s="608">
        <v>34</v>
      </c>
      <c r="Q46" s="609" t="s">
        <v>397</v>
      </c>
      <c r="R46" s="601"/>
      <c r="S46" s="602"/>
    </row>
    <row r="47" spans="1:25">
      <c r="A47" s="608">
        <v>35</v>
      </c>
      <c r="B47" s="609" t="s">
        <v>398</v>
      </c>
      <c r="C47" s="601"/>
      <c r="D47" s="602"/>
      <c r="E47" s="601"/>
      <c r="F47" s="608">
        <v>35</v>
      </c>
      <c r="G47" s="609" t="s">
        <v>398</v>
      </c>
      <c r="H47" s="601"/>
      <c r="I47" s="602"/>
      <c r="K47" s="608">
        <v>35</v>
      </c>
      <c r="L47" s="609" t="s">
        <v>398</v>
      </c>
      <c r="M47" s="601"/>
      <c r="N47" s="602"/>
      <c r="P47" s="608">
        <v>35</v>
      </c>
      <c r="Q47" s="609" t="s">
        <v>398</v>
      </c>
      <c r="R47" s="601"/>
      <c r="S47" s="602"/>
    </row>
    <row r="48" spans="1:25">
      <c r="A48" s="608">
        <v>36</v>
      </c>
      <c r="B48" s="609" t="s">
        <v>399</v>
      </c>
      <c r="C48" s="601"/>
      <c r="D48" s="602"/>
      <c r="E48" s="601"/>
      <c r="F48" s="608">
        <v>36</v>
      </c>
      <c r="G48" s="609" t="s">
        <v>399</v>
      </c>
      <c r="H48" s="601"/>
      <c r="I48" s="602"/>
      <c r="K48" s="608">
        <v>36</v>
      </c>
      <c r="L48" s="609" t="s">
        <v>399</v>
      </c>
      <c r="M48" s="601"/>
      <c r="N48" s="602"/>
      <c r="P48" s="608">
        <v>36</v>
      </c>
      <c r="Q48" s="609" t="s">
        <v>399</v>
      </c>
      <c r="R48" s="601"/>
      <c r="S48" s="602"/>
    </row>
    <row r="49" spans="1:19">
      <c r="A49" s="608">
        <v>37</v>
      </c>
      <c r="B49" s="609" t="s">
        <v>400</v>
      </c>
      <c r="C49" s="601"/>
      <c r="D49" s="602"/>
      <c r="E49" s="601"/>
      <c r="F49" s="608">
        <v>37</v>
      </c>
      <c r="G49" s="609" t="s">
        <v>400</v>
      </c>
      <c r="H49" s="601"/>
      <c r="I49" s="602"/>
      <c r="K49" s="608">
        <v>37</v>
      </c>
      <c r="L49" s="609" t="s">
        <v>400</v>
      </c>
      <c r="M49" s="601"/>
      <c r="N49" s="602"/>
      <c r="P49" s="608">
        <v>37</v>
      </c>
      <c r="Q49" s="609" t="s">
        <v>400</v>
      </c>
      <c r="R49" s="601"/>
      <c r="S49" s="602"/>
    </row>
    <row r="50" spans="1:19">
      <c r="A50" s="608">
        <v>38</v>
      </c>
      <c r="B50" s="609" t="s">
        <v>401</v>
      </c>
      <c r="C50" s="601"/>
      <c r="D50" s="602"/>
      <c r="E50" s="601"/>
      <c r="F50" s="608">
        <v>38</v>
      </c>
      <c r="G50" s="609" t="s">
        <v>401</v>
      </c>
      <c r="H50" s="601"/>
      <c r="I50" s="602"/>
      <c r="K50" s="608">
        <v>38</v>
      </c>
      <c r="L50" s="609" t="s">
        <v>401</v>
      </c>
      <c r="M50" s="601"/>
      <c r="N50" s="602"/>
      <c r="P50" s="608">
        <v>38</v>
      </c>
      <c r="Q50" s="609" t="s">
        <v>401</v>
      </c>
      <c r="R50" s="601"/>
      <c r="S50" s="602"/>
    </row>
    <row r="51" spans="1:19">
      <c r="A51" s="608">
        <v>39</v>
      </c>
      <c r="B51" s="609" t="s">
        <v>402</v>
      </c>
      <c r="C51" s="601"/>
      <c r="D51" s="602"/>
      <c r="E51" s="601"/>
      <c r="F51" s="608">
        <v>39</v>
      </c>
      <c r="G51" s="609" t="s">
        <v>402</v>
      </c>
      <c r="H51" s="601"/>
      <c r="I51" s="602"/>
      <c r="K51" s="608">
        <v>39</v>
      </c>
      <c r="L51" s="609" t="s">
        <v>402</v>
      </c>
      <c r="M51" s="601"/>
      <c r="N51" s="602"/>
      <c r="P51" s="608">
        <v>39</v>
      </c>
      <c r="Q51" s="609" t="s">
        <v>402</v>
      </c>
      <c r="R51" s="601"/>
      <c r="S51" s="602"/>
    </row>
    <row r="52" spans="1:19">
      <c r="A52" s="608">
        <v>40</v>
      </c>
      <c r="B52" s="609" t="s">
        <v>403</v>
      </c>
      <c r="C52" s="601"/>
      <c r="D52" s="602"/>
      <c r="E52" s="601"/>
      <c r="F52" s="608">
        <v>40</v>
      </c>
      <c r="G52" s="609" t="s">
        <v>403</v>
      </c>
      <c r="H52" s="601"/>
      <c r="I52" s="602"/>
      <c r="K52" s="608">
        <v>40</v>
      </c>
      <c r="L52" s="609" t="s">
        <v>403</v>
      </c>
      <c r="M52" s="601"/>
      <c r="N52" s="602"/>
      <c r="P52" s="608">
        <v>40</v>
      </c>
      <c r="Q52" s="609" t="s">
        <v>403</v>
      </c>
      <c r="R52" s="601"/>
      <c r="S52" s="602"/>
    </row>
    <row r="53" spans="1:19">
      <c r="A53" s="608">
        <v>41</v>
      </c>
      <c r="B53" s="609" t="s">
        <v>404</v>
      </c>
      <c r="C53" s="601"/>
      <c r="D53" s="602"/>
      <c r="E53" s="601"/>
      <c r="F53" s="608">
        <v>41</v>
      </c>
      <c r="G53" s="609" t="s">
        <v>404</v>
      </c>
      <c r="H53" s="601"/>
      <c r="I53" s="602"/>
      <c r="K53" s="608">
        <v>41</v>
      </c>
      <c r="L53" s="609" t="s">
        <v>404</v>
      </c>
      <c r="M53" s="601"/>
      <c r="N53" s="602"/>
      <c r="P53" s="608">
        <v>41</v>
      </c>
      <c r="Q53" s="609" t="s">
        <v>404</v>
      </c>
      <c r="R53" s="601"/>
      <c r="S53" s="602"/>
    </row>
    <row r="54" spans="1:19">
      <c r="A54" s="608">
        <v>42</v>
      </c>
      <c r="B54" s="609" t="s">
        <v>405</v>
      </c>
      <c r="C54" s="601"/>
      <c r="D54" s="602"/>
      <c r="E54" s="601"/>
      <c r="F54" s="608">
        <v>42</v>
      </c>
      <c r="G54" s="609" t="s">
        <v>405</v>
      </c>
      <c r="H54" s="601"/>
      <c r="I54" s="602"/>
      <c r="K54" s="608">
        <v>42</v>
      </c>
      <c r="L54" s="609" t="s">
        <v>405</v>
      </c>
      <c r="M54" s="601"/>
      <c r="N54" s="602"/>
      <c r="P54" s="608">
        <v>42</v>
      </c>
      <c r="Q54" s="609" t="s">
        <v>405</v>
      </c>
      <c r="R54" s="601"/>
      <c r="S54" s="602"/>
    </row>
    <row r="55" spans="1:19">
      <c r="A55" s="608">
        <v>43</v>
      </c>
      <c r="B55" s="609" t="s">
        <v>406</v>
      </c>
      <c r="C55" s="601"/>
      <c r="D55" s="602"/>
      <c r="E55" s="601"/>
      <c r="F55" s="608">
        <v>43</v>
      </c>
      <c r="G55" s="609" t="s">
        <v>406</v>
      </c>
      <c r="H55" s="601"/>
      <c r="I55" s="602"/>
      <c r="K55" s="608">
        <v>43</v>
      </c>
      <c r="L55" s="609" t="s">
        <v>406</v>
      </c>
      <c r="M55" s="601"/>
      <c r="N55" s="602"/>
      <c r="P55" s="608">
        <v>43</v>
      </c>
      <c r="Q55" s="609" t="s">
        <v>406</v>
      </c>
      <c r="R55" s="601"/>
      <c r="S55" s="602"/>
    </row>
    <row r="56" spans="1:19">
      <c r="A56" s="608">
        <v>44</v>
      </c>
      <c r="B56" s="609" t="s">
        <v>407</v>
      </c>
      <c r="C56" s="601"/>
      <c r="D56" s="602"/>
      <c r="E56" s="601"/>
      <c r="F56" s="608">
        <v>44</v>
      </c>
      <c r="G56" s="609" t="s">
        <v>407</v>
      </c>
      <c r="H56" s="601"/>
      <c r="I56" s="602"/>
      <c r="K56" s="608">
        <v>44</v>
      </c>
      <c r="L56" s="609" t="s">
        <v>407</v>
      </c>
      <c r="M56" s="601"/>
      <c r="N56" s="602"/>
      <c r="P56" s="608">
        <v>44</v>
      </c>
      <c r="Q56" s="609" t="s">
        <v>407</v>
      </c>
      <c r="R56" s="601"/>
      <c r="S56" s="602"/>
    </row>
    <row r="57" spans="1:19">
      <c r="A57" s="608">
        <v>45</v>
      </c>
      <c r="B57" s="609" t="s">
        <v>408</v>
      </c>
      <c r="C57" s="601"/>
      <c r="D57" s="602"/>
      <c r="E57" s="601"/>
      <c r="F57" s="608">
        <v>45</v>
      </c>
      <c r="G57" s="609" t="s">
        <v>408</v>
      </c>
      <c r="H57" s="601"/>
      <c r="I57" s="602"/>
      <c r="K57" s="608">
        <v>45</v>
      </c>
      <c r="L57" s="609" t="s">
        <v>408</v>
      </c>
      <c r="M57" s="601"/>
      <c r="N57" s="602"/>
      <c r="P57" s="608">
        <v>45</v>
      </c>
      <c r="Q57" s="609" t="s">
        <v>408</v>
      </c>
      <c r="R57" s="601"/>
      <c r="S57" s="602"/>
    </row>
    <row r="58" spans="1:19">
      <c r="A58" s="608">
        <v>46</v>
      </c>
      <c r="B58" s="609" t="s">
        <v>409</v>
      </c>
      <c r="C58" s="601"/>
      <c r="D58" s="602"/>
      <c r="E58" s="601"/>
      <c r="F58" s="608">
        <v>46</v>
      </c>
      <c r="G58" s="609" t="s">
        <v>409</v>
      </c>
      <c r="H58" s="601"/>
      <c r="I58" s="602"/>
      <c r="K58" s="608">
        <v>46</v>
      </c>
      <c r="L58" s="609" t="s">
        <v>409</v>
      </c>
      <c r="M58" s="601"/>
      <c r="N58" s="602"/>
      <c r="P58" s="608">
        <v>46</v>
      </c>
      <c r="Q58" s="609" t="s">
        <v>409</v>
      </c>
      <c r="R58" s="601"/>
      <c r="S58" s="602"/>
    </row>
    <row r="59" spans="1:19">
      <c r="A59" s="608">
        <v>47</v>
      </c>
      <c r="B59" s="609" t="s">
        <v>410</v>
      </c>
      <c r="C59" s="601"/>
      <c r="D59" s="602"/>
      <c r="E59" s="601"/>
      <c r="F59" s="608">
        <v>47</v>
      </c>
      <c r="G59" s="609" t="s">
        <v>410</v>
      </c>
      <c r="H59" s="601"/>
      <c r="I59" s="602"/>
      <c r="K59" s="608">
        <v>47</v>
      </c>
      <c r="L59" s="609" t="s">
        <v>410</v>
      </c>
      <c r="M59" s="601"/>
      <c r="N59" s="602"/>
      <c r="P59" s="608">
        <v>47</v>
      </c>
      <c r="Q59" s="609" t="s">
        <v>410</v>
      </c>
      <c r="R59" s="601"/>
      <c r="S59" s="602"/>
    </row>
    <row r="60" spans="1:19">
      <c r="A60" s="608">
        <v>48</v>
      </c>
      <c r="B60" s="609" t="s">
        <v>411</v>
      </c>
      <c r="C60" s="601"/>
      <c r="D60" s="602"/>
      <c r="E60" s="601"/>
      <c r="F60" s="608">
        <v>48</v>
      </c>
      <c r="G60" s="609" t="s">
        <v>411</v>
      </c>
      <c r="H60" s="601"/>
      <c r="I60" s="602"/>
      <c r="K60" s="608">
        <v>48</v>
      </c>
      <c r="L60" s="609" t="s">
        <v>411</v>
      </c>
      <c r="M60" s="601"/>
      <c r="N60" s="602"/>
      <c r="P60" s="608">
        <v>48</v>
      </c>
      <c r="Q60" s="609" t="s">
        <v>411</v>
      </c>
      <c r="R60" s="601"/>
      <c r="S60" s="602"/>
    </row>
    <row r="61" spans="1:19">
      <c r="A61" s="608">
        <v>49</v>
      </c>
      <c r="B61" s="609" t="s">
        <v>412</v>
      </c>
      <c r="C61" s="601"/>
      <c r="D61" s="602"/>
      <c r="E61" s="601"/>
      <c r="F61" s="608">
        <v>49</v>
      </c>
      <c r="G61" s="609" t="s">
        <v>412</v>
      </c>
      <c r="H61" s="601"/>
      <c r="I61" s="602"/>
      <c r="K61" s="608">
        <v>49</v>
      </c>
      <c r="L61" s="609" t="s">
        <v>412</v>
      </c>
      <c r="M61" s="601"/>
      <c r="N61" s="602"/>
      <c r="P61" s="608">
        <v>49</v>
      </c>
      <c r="Q61" s="609" t="s">
        <v>412</v>
      </c>
      <c r="R61" s="601"/>
      <c r="S61" s="602"/>
    </row>
    <row r="62" spans="1:19">
      <c r="A62" s="608">
        <v>50</v>
      </c>
      <c r="B62" s="609" t="s">
        <v>413</v>
      </c>
      <c r="C62" s="601"/>
      <c r="D62" s="602"/>
      <c r="E62" s="601"/>
      <c r="F62" s="608">
        <v>50</v>
      </c>
      <c r="G62" s="609" t="s">
        <v>413</v>
      </c>
      <c r="H62" s="601"/>
      <c r="I62" s="602"/>
      <c r="K62" s="608">
        <v>50</v>
      </c>
      <c r="L62" s="609" t="s">
        <v>413</v>
      </c>
      <c r="M62" s="601"/>
      <c r="N62" s="602"/>
      <c r="P62" s="608">
        <v>50</v>
      </c>
      <c r="Q62" s="609" t="s">
        <v>413</v>
      </c>
      <c r="R62" s="601"/>
      <c r="S62" s="602"/>
    </row>
    <row r="63" spans="1:19">
      <c r="A63" s="608">
        <v>51</v>
      </c>
      <c r="B63" s="609" t="s">
        <v>414</v>
      </c>
      <c r="C63" s="601"/>
      <c r="D63" s="602"/>
      <c r="E63" s="601"/>
      <c r="F63" s="608">
        <v>51</v>
      </c>
      <c r="G63" s="609" t="s">
        <v>414</v>
      </c>
      <c r="H63" s="601"/>
      <c r="I63" s="602"/>
      <c r="K63" s="608">
        <v>51</v>
      </c>
      <c r="L63" s="609" t="s">
        <v>414</v>
      </c>
      <c r="M63" s="601"/>
      <c r="N63" s="602"/>
      <c r="P63" s="608">
        <v>51</v>
      </c>
      <c r="Q63" s="609" t="s">
        <v>414</v>
      </c>
      <c r="R63" s="601"/>
      <c r="S63" s="602"/>
    </row>
    <row r="64" spans="1:19">
      <c r="A64" s="608">
        <v>52</v>
      </c>
      <c r="B64" s="609" t="s">
        <v>415</v>
      </c>
      <c r="C64" s="601"/>
      <c r="D64" s="602"/>
      <c r="E64" s="601"/>
      <c r="F64" s="608">
        <v>52</v>
      </c>
      <c r="G64" s="609" t="s">
        <v>415</v>
      </c>
      <c r="H64" s="601"/>
      <c r="I64" s="602"/>
      <c r="K64" s="608">
        <v>52</v>
      </c>
      <c r="L64" s="609" t="s">
        <v>415</v>
      </c>
      <c r="M64" s="601"/>
      <c r="N64" s="602"/>
      <c r="P64" s="608">
        <v>52</v>
      </c>
      <c r="Q64" s="609" t="s">
        <v>415</v>
      </c>
      <c r="R64" s="601"/>
      <c r="S64" s="602"/>
    </row>
    <row r="65" spans="1:19">
      <c r="A65" s="608">
        <v>53</v>
      </c>
      <c r="B65" s="609" t="s">
        <v>416</v>
      </c>
      <c r="C65" s="601"/>
      <c r="D65" s="602"/>
      <c r="E65" s="601"/>
      <c r="F65" s="608">
        <v>53</v>
      </c>
      <c r="G65" s="609" t="s">
        <v>416</v>
      </c>
      <c r="H65" s="601"/>
      <c r="I65" s="602"/>
      <c r="K65" s="608">
        <v>53</v>
      </c>
      <c r="L65" s="609" t="s">
        <v>416</v>
      </c>
      <c r="M65" s="601"/>
      <c r="N65" s="602"/>
      <c r="P65" s="608">
        <v>53</v>
      </c>
      <c r="Q65" s="609" t="s">
        <v>416</v>
      </c>
      <c r="R65" s="601"/>
      <c r="S65" s="602"/>
    </row>
    <row r="66" spans="1:19">
      <c r="A66" s="608">
        <v>54</v>
      </c>
      <c r="B66" s="609" t="s">
        <v>417</v>
      </c>
      <c r="C66" s="601"/>
      <c r="D66" s="602"/>
      <c r="E66" s="601"/>
      <c r="F66" s="608">
        <v>54</v>
      </c>
      <c r="G66" s="609" t="s">
        <v>417</v>
      </c>
      <c r="H66" s="601"/>
      <c r="I66" s="602"/>
      <c r="K66" s="608">
        <v>54</v>
      </c>
      <c r="L66" s="609" t="s">
        <v>417</v>
      </c>
      <c r="M66" s="601"/>
      <c r="N66" s="602"/>
      <c r="P66" s="608">
        <v>54</v>
      </c>
      <c r="Q66" s="609" t="s">
        <v>417</v>
      </c>
      <c r="R66" s="601"/>
      <c r="S66" s="602"/>
    </row>
    <row r="67" spans="1:19">
      <c r="A67" s="608">
        <v>55</v>
      </c>
      <c r="B67" s="609" t="s">
        <v>418</v>
      </c>
      <c r="C67" s="601"/>
      <c r="D67" s="602"/>
      <c r="E67" s="601"/>
      <c r="F67" s="608">
        <v>55</v>
      </c>
      <c r="G67" s="609" t="s">
        <v>418</v>
      </c>
      <c r="H67" s="601"/>
      <c r="I67" s="602"/>
      <c r="K67" s="608">
        <v>55</v>
      </c>
      <c r="L67" s="609" t="s">
        <v>418</v>
      </c>
      <c r="M67" s="601"/>
      <c r="N67" s="602"/>
      <c r="P67" s="608">
        <v>55</v>
      </c>
      <c r="Q67" s="609" t="s">
        <v>418</v>
      </c>
      <c r="R67" s="601"/>
      <c r="S67" s="602"/>
    </row>
    <row r="68" spans="1:19">
      <c r="A68" s="608">
        <v>56</v>
      </c>
      <c r="B68" s="609" t="s">
        <v>419</v>
      </c>
      <c r="C68" s="601"/>
      <c r="D68" s="602"/>
      <c r="E68" s="601"/>
      <c r="F68" s="608">
        <v>56</v>
      </c>
      <c r="G68" s="609" t="s">
        <v>419</v>
      </c>
      <c r="H68" s="601"/>
      <c r="I68" s="602"/>
      <c r="K68" s="608">
        <v>56</v>
      </c>
      <c r="L68" s="609" t="s">
        <v>419</v>
      </c>
      <c r="M68" s="601"/>
      <c r="N68" s="602"/>
      <c r="P68" s="608">
        <v>56</v>
      </c>
      <c r="Q68" s="609" t="s">
        <v>419</v>
      </c>
      <c r="R68" s="601"/>
      <c r="S68" s="602"/>
    </row>
    <row r="69" spans="1:19">
      <c r="A69" s="608">
        <v>57</v>
      </c>
      <c r="B69" s="609" t="s">
        <v>420</v>
      </c>
      <c r="C69" s="601"/>
      <c r="D69" s="602"/>
      <c r="E69" s="601"/>
      <c r="F69" s="608">
        <v>57</v>
      </c>
      <c r="G69" s="609" t="s">
        <v>420</v>
      </c>
      <c r="H69" s="601"/>
      <c r="I69" s="602"/>
      <c r="K69" s="608">
        <v>57</v>
      </c>
      <c r="L69" s="609" t="s">
        <v>420</v>
      </c>
      <c r="M69" s="601"/>
      <c r="N69" s="602"/>
      <c r="P69" s="608">
        <v>57</v>
      </c>
      <c r="Q69" s="609" t="s">
        <v>420</v>
      </c>
      <c r="R69" s="601"/>
      <c r="S69" s="602"/>
    </row>
    <row r="70" spans="1:19">
      <c r="A70" s="608">
        <v>58</v>
      </c>
      <c r="B70" s="609" t="s">
        <v>421</v>
      </c>
      <c r="C70" s="601"/>
      <c r="D70" s="602"/>
      <c r="E70" s="601"/>
      <c r="F70" s="608">
        <v>58</v>
      </c>
      <c r="G70" s="609" t="s">
        <v>421</v>
      </c>
      <c r="H70" s="601"/>
      <c r="I70" s="602"/>
      <c r="K70" s="608">
        <v>58</v>
      </c>
      <c r="L70" s="609" t="s">
        <v>421</v>
      </c>
      <c r="M70" s="601"/>
      <c r="N70" s="602"/>
      <c r="P70" s="608">
        <v>58</v>
      </c>
      <c r="Q70" s="609" t="s">
        <v>421</v>
      </c>
      <c r="R70" s="601"/>
      <c r="S70" s="602"/>
    </row>
    <row r="71" spans="1:19">
      <c r="A71" s="608">
        <v>59</v>
      </c>
      <c r="B71" s="609" t="s">
        <v>422</v>
      </c>
      <c r="C71" s="601"/>
      <c r="D71" s="602"/>
      <c r="E71" s="601"/>
      <c r="F71" s="608">
        <v>59</v>
      </c>
      <c r="G71" s="609" t="s">
        <v>422</v>
      </c>
      <c r="H71" s="601"/>
      <c r="I71" s="602"/>
      <c r="K71" s="608">
        <v>59</v>
      </c>
      <c r="L71" s="609" t="s">
        <v>422</v>
      </c>
      <c r="M71" s="601"/>
      <c r="N71" s="602"/>
      <c r="P71" s="608">
        <v>59</v>
      </c>
      <c r="Q71" s="609" t="s">
        <v>422</v>
      </c>
      <c r="R71" s="601"/>
      <c r="S71" s="602"/>
    </row>
    <row r="72" spans="1:19">
      <c r="A72" s="608">
        <v>60</v>
      </c>
      <c r="B72" s="609" t="s">
        <v>423</v>
      </c>
      <c r="C72" s="601"/>
      <c r="D72" s="602"/>
      <c r="E72" s="601"/>
      <c r="F72" s="608">
        <v>60</v>
      </c>
      <c r="G72" s="609" t="s">
        <v>423</v>
      </c>
      <c r="H72" s="601"/>
      <c r="I72" s="602"/>
      <c r="K72" s="608">
        <v>60</v>
      </c>
      <c r="L72" s="609" t="s">
        <v>423</v>
      </c>
      <c r="M72" s="601"/>
      <c r="N72" s="602"/>
      <c r="P72" s="608">
        <v>60</v>
      </c>
      <c r="Q72" s="609" t="s">
        <v>423</v>
      </c>
      <c r="R72" s="601"/>
      <c r="S72" s="602"/>
    </row>
    <row r="73" spans="1:19">
      <c r="A73" s="608">
        <v>61</v>
      </c>
      <c r="B73" s="609" t="s">
        <v>424</v>
      </c>
      <c r="C73" s="601"/>
      <c r="D73" s="602"/>
      <c r="E73" s="601"/>
      <c r="F73" s="608">
        <v>61</v>
      </c>
      <c r="G73" s="609" t="s">
        <v>424</v>
      </c>
      <c r="H73" s="601"/>
      <c r="I73" s="602"/>
      <c r="K73" s="608">
        <v>61</v>
      </c>
      <c r="L73" s="609" t="s">
        <v>424</v>
      </c>
      <c r="M73" s="601"/>
      <c r="N73" s="602"/>
      <c r="P73" s="608">
        <v>61</v>
      </c>
      <c r="Q73" s="609" t="s">
        <v>424</v>
      </c>
      <c r="R73" s="601"/>
      <c r="S73" s="602"/>
    </row>
    <row r="74" spans="1:19">
      <c r="A74" s="608">
        <v>62</v>
      </c>
      <c r="B74" s="609" t="s">
        <v>425</v>
      </c>
      <c r="C74" s="601"/>
      <c r="D74" s="602"/>
      <c r="E74" s="601"/>
      <c r="F74" s="608">
        <v>62</v>
      </c>
      <c r="G74" s="609" t="s">
        <v>425</v>
      </c>
      <c r="H74" s="601"/>
      <c r="I74" s="602"/>
      <c r="K74" s="608">
        <v>62</v>
      </c>
      <c r="L74" s="609" t="s">
        <v>425</v>
      </c>
      <c r="M74" s="601"/>
      <c r="N74" s="602"/>
      <c r="P74" s="608">
        <v>62</v>
      </c>
      <c r="Q74" s="609" t="s">
        <v>425</v>
      </c>
      <c r="R74" s="601"/>
      <c r="S74" s="602"/>
    </row>
    <row r="75" spans="1:19">
      <c r="A75" s="608">
        <v>63</v>
      </c>
      <c r="B75" s="609" t="s">
        <v>426</v>
      </c>
      <c r="C75" s="601"/>
      <c r="D75" s="602"/>
      <c r="E75" s="601"/>
      <c r="F75" s="608">
        <v>63</v>
      </c>
      <c r="G75" s="609" t="s">
        <v>426</v>
      </c>
      <c r="H75" s="601"/>
      <c r="I75" s="602"/>
      <c r="K75" s="608">
        <v>63</v>
      </c>
      <c r="L75" s="609" t="s">
        <v>426</v>
      </c>
      <c r="M75" s="601"/>
      <c r="N75" s="602"/>
      <c r="P75" s="608">
        <v>63</v>
      </c>
      <c r="Q75" s="609" t="s">
        <v>426</v>
      </c>
      <c r="R75" s="601"/>
      <c r="S75" s="602"/>
    </row>
    <row r="76" spans="1:19">
      <c r="A76" s="608">
        <v>64</v>
      </c>
      <c r="B76" s="609" t="s">
        <v>427</v>
      </c>
      <c r="C76" s="601"/>
      <c r="D76" s="602"/>
      <c r="E76" s="601"/>
      <c r="F76" s="608">
        <v>64</v>
      </c>
      <c r="G76" s="609" t="s">
        <v>427</v>
      </c>
      <c r="H76" s="601"/>
      <c r="I76" s="602"/>
      <c r="K76" s="608">
        <v>64</v>
      </c>
      <c r="L76" s="609" t="s">
        <v>427</v>
      </c>
      <c r="M76" s="601"/>
      <c r="N76" s="602"/>
      <c r="P76" s="608">
        <v>64</v>
      </c>
      <c r="Q76" s="609" t="s">
        <v>427</v>
      </c>
      <c r="R76" s="601"/>
      <c r="S76" s="602"/>
    </row>
    <row r="77" spans="1:19">
      <c r="A77" s="608">
        <v>65</v>
      </c>
      <c r="B77" s="609" t="s">
        <v>428</v>
      </c>
      <c r="C77" s="601"/>
      <c r="D77" s="602"/>
      <c r="E77" s="601"/>
      <c r="F77" s="608">
        <v>65</v>
      </c>
      <c r="G77" s="609" t="s">
        <v>428</v>
      </c>
      <c r="H77" s="601"/>
      <c r="I77" s="602"/>
      <c r="K77" s="608">
        <v>65</v>
      </c>
      <c r="L77" s="609" t="s">
        <v>428</v>
      </c>
      <c r="M77" s="601"/>
      <c r="N77" s="602"/>
      <c r="P77" s="608">
        <v>65</v>
      </c>
      <c r="Q77" s="609" t="s">
        <v>428</v>
      </c>
      <c r="R77" s="601"/>
      <c r="S77" s="602"/>
    </row>
    <row r="78" spans="1:19">
      <c r="A78" s="608">
        <v>66</v>
      </c>
      <c r="B78" s="609" t="s">
        <v>429</v>
      </c>
      <c r="C78" s="601"/>
      <c r="D78" s="602"/>
      <c r="E78" s="601"/>
      <c r="F78" s="608">
        <v>66</v>
      </c>
      <c r="G78" s="609" t="s">
        <v>429</v>
      </c>
      <c r="H78" s="601"/>
      <c r="I78" s="602"/>
      <c r="K78" s="608">
        <v>66</v>
      </c>
      <c r="L78" s="609" t="s">
        <v>429</v>
      </c>
      <c r="M78" s="601"/>
      <c r="N78" s="602"/>
      <c r="P78" s="608">
        <v>66</v>
      </c>
      <c r="Q78" s="609" t="s">
        <v>429</v>
      </c>
      <c r="R78" s="601"/>
      <c r="S78" s="602"/>
    </row>
    <row r="79" spans="1:19">
      <c r="A79" s="608">
        <v>67</v>
      </c>
      <c r="B79" s="609" t="s">
        <v>430</v>
      </c>
      <c r="C79" s="601"/>
      <c r="D79" s="602"/>
      <c r="E79" s="601"/>
      <c r="F79" s="608">
        <v>67</v>
      </c>
      <c r="G79" s="609" t="s">
        <v>430</v>
      </c>
      <c r="H79" s="601"/>
      <c r="I79" s="602"/>
      <c r="K79" s="608">
        <v>67</v>
      </c>
      <c r="L79" s="609" t="s">
        <v>430</v>
      </c>
      <c r="M79" s="601"/>
      <c r="N79" s="602"/>
      <c r="P79" s="608">
        <v>67</v>
      </c>
      <c r="Q79" s="609" t="s">
        <v>430</v>
      </c>
      <c r="R79" s="601"/>
      <c r="S79" s="602"/>
    </row>
    <row r="80" spans="1:19">
      <c r="A80" s="608">
        <v>68</v>
      </c>
      <c r="B80" s="609" t="s">
        <v>431</v>
      </c>
      <c r="C80" s="601"/>
      <c r="D80" s="602"/>
      <c r="E80" s="601"/>
      <c r="F80" s="608">
        <v>68</v>
      </c>
      <c r="G80" s="609" t="s">
        <v>431</v>
      </c>
      <c r="H80" s="601"/>
      <c r="I80" s="602"/>
      <c r="K80" s="608">
        <v>68</v>
      </c>
      <c r="L80" s="609" t="s">
        <v>431</v>
      </c>
      <c r="M80" s="601"/>
      <c r="N80" s="602"/>
      <c r="P80" s="608">
        <v>68</v>
      </c>
      <c r="Q80" s="609" t="s">
        <v>431</v>
      </c>
      <c r="R80" s="601"/>
      <c r="S80" s="602"/>
    </row>
    <row r="81" spans="1:19">
      <c r="A81" s="608">
        <v>69</v>
      </c>
      <c r="B81" s="609" t="s">
        <v>432</v>
      </c>
      <c r="C81" s="601"/>
      <c r="D81" s="602"/>
      <c r="E81" s="601"/>
      <c r="F81" s="608">
        <v>69</v>
      </c>
      <c r="G81" s="609" t="s">
        <v>432</v>
      </c>
      <c r="H81" s="601"/>
      <c r="I81" s="602"/>
      <c r="K81" s="608">
        <v>69</v>
      </c>
      <c r="L81" s="609" t="s">
        <v>432</v>
      </c>
      <c r="M81" s="601"/>
      <c r="N81" s="602"/>
      <c r="P81" s="608">
        <v>69</v>
      </c>
      <c r="Q81" s="609" t="s">
        <v>432</v>
      </c>
      <c r="R81" s="601"/>
      <c r="S81" s="602"/>
    </row>
    <row r="82" spans="1:19">
      <c r="A82" s="608">
        <v>70</v>
      </c>
      <c r="B82" s="609" t="s">
        <v>433</v>
      </c>
      <c r="C82" s="601"/>
      <c r="D82" s="602"/>
      <c r="E82" s="601"/>
      <c r="F82" s="608">
        <v>70</v>
      </c>
      <c r="G82" s="609" t="s">
        <v>433</v>
      </c>
      <c r="H82" s="601"/>
      <c r="I82" s="602"/>
      <c r="K82" s="608">
        <v>70</v>
      </c>
      <c r="L82" s="609" t="s">
        <v>433</v>
      </c>
      <c r="M82" s="601"/>
      <c r="N82" s="602"/>
      <c r="P82" s="608">
        <v>70</v>
      </c>
      <c r="Q82" s="609" t="s">
        <v>433</v>
      </c>
      <c r="R82" s="601"/>
      <c r="S82" s="602"/>
    </row>
    <row r="83" spans="1:19">
      <c r="A83" s="608">
        <v>71</v>
      </c>
      <c r="B83" s="609" t="s">
        <v>434</v>
      </c>
      <c r="C83" s="601"/>
      <c r="D83" s="602"/>
      <c r="E83" s="601"/>
      <c r="F83" s="608">
        <v>71</v>
      </c>
      <c r="G83" s="609" t="s">
        <v>434</v>
      </c>
      <c r="H83" s="601"/>
      <c r="I83" s="602"/>
      <c r="K83" s="608">
        <v>71</v>
      </c>
      <c r="L83" s="609" t="s">
        <v>434</v>
      </c>
      <c r="M83" s="601"/>
      <c r="N83" s="602"/>
      <c r="P83" s="608">
        <v>71</v>
      </c>
      <c r="Q83" s="609" t="s">
        <v>434</v>
      </c>
      <c r="R83" s="601"/>
      <c r="S83" s="602"/>
    </row>
    <row r="84" spans="1:19">
      <c r="A84" s="608">
        <v>72</v>
      </c>
      <c r="B84" s="609" t="s">
        <v>435</v>
      </c>
      <c r="C84" s="601"/>
      <c r="D84" s="602"/>
      <c r="E84" s="601"/>
      <c r="F84" s="608">
        <v>72</v>
      </c>
      <c r="G84" s="609" t="s">
        <v>435</v>
      </c>
      <c r="H84" s="601"/>
      <c r="I84" s="602"/>
      <c r="K84" s="608">
        <v>72</v>
      </c>
      <c r="L84" s="609" t="s">
        <v>435</v>
      </c>
      <c r="M84" s="601"/>
      <c r="N84" s="602"/>
      <c r="P84" s="608">
        <v>72</v>
      </c>
      <c r="Q84" s="609" t="s">
        <v>435</v>
      </c>
      <c r="R84" s="601"/>
      <c r="S84" s="602"/>
    </row>
    <row r="85" spans="1:19">
      <c r="A85" s="608">
        <v>73</v>
      </c>
      <c r="B85" s="609" t="s">
        <v>436</v>
      </c>
      <c r="C85" s="601"/>
      <c r="D85" s="602"/>
      <c r="E85" s="601"/>
      <c r="F85" s="608">
        <v>73</v>
      </c>
      <c r="G85" s="609" t="s">
        <v>436</v>
      </c>
      <c r="H85" s="601"/>
      <c r="I85" s="602"/>
      <c r="K85" s="608">
        <v>73</v>
      </c>
      <c r="L85" s="609" t="s">
        <v>436</v>
      </c>
      <c r="M85" s="601"/>
      <c r="N85" s="602"/>
      <c r="P85" s="608">
        <v>73</v>
      </c>
      <c r="Q85" s="609" t="s">
        <v>436</v>
      </c>
      <c r="R85" s="601"/>
      <c r="S85" s="602"/>
    </row>
    <row r="86" spans="1:19">
      <c r="A86" s="608">
        <v>74</v>
      </c>
      <c r="B86" s="609" t="s">
        <v>437</v>
      </c>
      <c r="C86" s="601"/>
      <c r="D86" s="602"/>
      <c r="E86" s="601"/>
      <c r="F86" s="608">
        <v>74</v>
      </c>
      <c r="G86" s="609" t="s">
        <v>437</v>
      </c>
      <c r="H86" s="601"/>
      <c r="I86" s="602"/>
      <c r="K86" s="608">
        <v>74</v>
      </c>
      <c r="L86" s="609" t="s">
        <v>437</v>
      </c>
      <c r="M86" s="601"/>
      <c r="N86" s="602"/>
      <c r="P86" s="608">
        <v>74</v>
      </c>
      <c r="Q86" s="609" t="s">
        <v>437</v>
      </c>
      <c r="R86" s="601"/>
      <c r="S86" s="602"/>
    </row>
    <row r="87" spans="1:19">
      <c r="A87" s="608">
        <v>75</v>
      </c>
      <c r="B87" s="609" t="s">
        <v>438</v>
      </c>
      <c r="C87" s="601"/>
      <c r="D87" s="602"/>
      <c r="E87" s="601"/>
      <c r="F87" s="608">
        <v>75</v>
      </c>
      <c r="G87" s="609" t="s">
        <v>438</v>
      </c>
      <c r="H87" s="601"/>
      <c r="I87" s="602"/>
      <c r="K87" s="608">
        <v>75</v>
      </c>
      <c r="L87" s="609" t="s">
        <v>438</v>
      </c>
      <c r="M87" s="601"/>
      <c r="N87" s="602"/>
      <c r="P87" s="608">
        <v>75</v>
      </c>
      <c r="Q87" s="609" t="s">
        <v>438</v>
      </c>
      <c r="R87" s="601"/>
      <c r="S87" s="602"/>
    </row>
    <row r="88" spans="1:19">
      <c r="A88" s="608">
        <v>76</v>
      </c>
      <c r="B88" s="609" t="s">
        <v>439</v>
      </c>
      <c r="C88" s="601"/>
      <c r="D88" s="602"/>
      <c r="E88" s="601"/>
      <c r="F88" s="608">
        <v>76</v>
      </c>
      <c r="G88" s="609" t="s">
        <v>439</v>
      </c>
      <c r="H88" s="601"/>
      <c r="I88" s="602"/>
      <c r="K88" s="608">
        <v>76</v>
      </c>
      <c r="L88" s="609" t="s">
        <v>439</v>
      </c>
      <c r="M88" s="601"/>
      <c r="N88" s="602"/>
      <c r="P88" s="608">
        <v>76</v>
      </c>
      <c r="Q88" s="609" t="s">
        <v>439</v>
      </c>
      <c r="R88" s="601"/>
      <c r="S88" s="602"/>
    </row>
    <row r="89" spans="1:19">
      <c r="A89" s="608">
        <v>77</v>
      </c>
      <c r="B89" s="609" t="s">
        <v>440</v>
      </c>
      <c r="C89" s="601"/>
      <c r="D89" s="602"/>
      <c r="E89" s="601"/>
      <c r="F89" s="608">
        <v>77</v>
      </c>
      <c r="G89" s="609" t="s">
        <v>440</v>
      </c>
      <c r="H89" s="601"/>
      <c r="I89" s="602"/>
      <c r="K89" s="608">
        <v>77</v>
      </c>
      <c r="L89" s="609" t="s">
        <v>440</v>
      </c>
      <c r="M89" s="601"/>
      <c r="N89" s="602"/>
      <c r="P89" s="608">
        <v>77</v>
      </c>
      <c r="Q89" s="609" t="s">
        <v>440</v>
      </c>
      <c r="R89" s="601"/>
      <c r="S89" s="602"/>
    </row>
    <row r="90" spans="1:19">
      <c r="A90" s="608">
        <v>78</v>
      </c>
      <c r="B90" s="609" t="s">
        <v>441</v>
      </c>
      <c r="C90" s="601"/>
      <c r="D90" s="602"/>
      <c r="E90" s="601"/>
      <c r="F90" s="608">
        <v>78</v>
      </c>
      <c r="G90" s="609" t="s">
        <v>441</v>
      </c>
      <c r="H90" s="601"/>
      <c r="I90" s="602"/>
      <c r="K90" s="608">
        <v>78</v>
      </c>
      <c r="L90" s="609" t="s">
        <v>441</v>
      </c>
      <c r="M90" s="601"/>
      <c r="N90" s="602"/>
      <c r="P90" s="608">
        <v>78</v>
      </c>
      <c r="Q90" s="609" t="s">
        <v>441</v>
      </c>
      <c r="R90" s="601"/>
      <c r="S90" s="602"/>
    </row>
    <row r="91" spans="1:19">
      <c r="A91" s="608">
        <v>79</v>
      </c>
      <c r="B91" s="609" t="s">
        <v>442</v>
      </c>
      <c r="C91" s="601"/>
      <c r="D91" s="602"/>
      <c r="E91" s="601"/>
      <c r="F91" s="608">
        <v>79</v>
      </c>
      <c r="G91" s="609" t="s">
        <v>442</v>
      </c>
      <c r="H91" s="601"/>
      <c r="I91" s="602"/>
      <c r="K91" s="608">
        <v>79</v>
      </c>
      <c r="L91" s="609" t="s">
        <v>442</v>
      </c>
      <c r="M91" s="601"/>
      <c r="N91" s="602"/>
      <c r="P91" s="608">
        <v>79</v>
      </c>
      <c r="Q91" s="609" t="s">
        <v>442</v>
      </c>
      <c r="R91" s="601"/>
      <c r="S91" s="602"/>
    </row>
    <row r="92" spans="1:19">
      <c r="A92" s="608">
        <v>80</v>
      </c>
      <c r="B92" s="609" t="s">
        <v>443</v>
      </c>
      <c r="C92" s="601"/>
      <c r="D92" s="602"/>
      <c r="E92" s="601"/>
      <c r="F92" s="608">
        <v>80</v>
      </c>
      <c r="G92" s="609" t="s">
        <v>443</v>
      </c>
      <c r="H92" s="601"/>
      <c r="I92" s="602"/>
      <c r="K92" s="608">
        <v>80</v>
      </c>
      <c r="L92" s="609" t="s">
        <v>443</v>
      </c>
      <c r="M92" s="601"/>
      <c r="N92" s="602"/>
      <c r="P92" s="608">
        <v>80</v>
      </c>
      <c r="Q92" s="609" t="s">
        <v>443</v>
      </c>
      <c r="R92" s="601"/>
      <c r="S92" s="602"/>
    </row>
    <row r="93" spans="1:19">
      <c r="A93" s="608">
        <v>81</v>
      </c>
      <c r="B93" s="609" t="s">
        <v>444</v>
      </c>
      <c r="C93" s="601"/>
      <c r="D93" s="602"/>
      <c r="E93" s="601"/>
      <c r="F93" s="608">
        <v>81</v>
      </c>
      <c r="G93" s="609" t="s">
        <v>444</v>
      </c>
      <c r="H93" s="601"/>
      <c r="I93" s="602"/>
      <c r="K93" s="608">
        <v>81</v>
      </c>
      <c r="L93" s="609" t="s">
        <v>444</v>
      </c>
      <c r="M93" s="601"/>
      <c r="N93" s="602"/>
      <c r="P93" s="608">
        <v>81</v>
      </c>
      <c r="Q93" s="609" t="s">
        <v>444</v>
      </c>
      <c r="R93" s="601"/>
      <c r="S93" s="602"/>
    </row>
    <row r="94" spans="1:19">
      <c r="A94" s="608">
        <v>82</v>
      </c>
      <c r="B94" s="609" t="s">
        <v>445</v>
      </c>
      <c r="C94" s="601"/>
      <c r="D94" s="602"/>
      <c r="E94" s="601"/>
      <c r="F94" s="608">
        <v>82</v>
      </c>
      <c r="G94" s="609" t="s">
        <v>445</v>
      </c>
      <c r="H94" s="601"/>
      <c r="I94" s="602"/>
      <c r="K94" s="608">
        <v>82</v>
      </c>
      <c r="L94" s="609" t="s">
        <v>445</v>
      </c>
      <c r="M94" s="601"/>
      <c r="N94" s="602"/>
      <c r="P94" s="608">
        <v>82</v>
      </c>
      <c r="Q94" s="609" t="s">
        <v>445</v>
      </c>
      <c r="R94" s="601"/>
      <c r="S94" s="602"/>
    </row>
    <row r="95" spans="1:19">
      <c r="A95" s="608">
        <v>83</v>
      </c>
      <c r="B95" s="609" t="s">
        <v>446</v>
      </c>
      <c r="C95" s="601"/>
      <c r="D95" s="602"/>
      <c r="E95" s="601"/>
      <c r="F95" s="608">
        <v>83</v>
      </c>
      <c r="G95" s="609" t="s">
        <v>446</v>
      </c>
      <c r="H95" s="601"/>
      <c r="I95" s="602"/>
      <c r="K95" s="608">
        <v>83</v>
      </c>
      <c r="L95" s="609" t="s">
        <v>446</v>
      </c>
      <c r="M95" s="601"/>
      <c r="N95" s="602"/>
      <c r="P95" s="608">
        <v>83</v>
      </c>
      <c r="Q95" s="609" t="s">
        <v>446</v>
      </c>
      <c r="R95" s="601"/>
      <c r="S95" s="602"/>
    </row>
    <row r="96" spans="1:19">
      <c r="A96" s="608">
        <v>84</v>
      </c>
      <c r="B96" s="609" t="s">
        <v>447</v>
      </c>
      <c r="C96" s="601"/>
      <c r="D96" s="602"/>
      <c r="E96" s="601"/>
      <c r="F96" s="608">
        <v>84</v>
      </c>
      <c r="G96" s="609" t="s">
        <v>447</v>
      </c>
      <c r="H96" s="601"/>
      <c r="I96" s="602"/>
      <c r="K96" s="608">
        <v>84</v>
      </c>
      <c r="L96" s="609" t="s">
        <v>447</v>
      </c>
      <c r="M96" s="601"/>
      <c r="N96" s="602"/>
      <c r="P96" s="608">
        <v>84</v>
      </c>
      <c r="Q96" s="609" t="s">
        <v>447</v>
      </c>
      <c r="R96" s="601"/>
      <c r="S96" s="602"/>
    </row>
    <row r="97" spans="1:19">
      <c r="A97" s="608">
        <v>85</v>
      </c>
      <c r="B97" s="609" t="s">
        <v>448</v>
      </c>
      <c r="C97" s="601"/>
      <c r="D97" s="602"/>
      <c r="E97" s="601"/>
      <c r="F97" s="608">
        <v>85</v>
      </c>
      <c r="G97" s="609" t="s">
        <v>448</v>
      </c>
      <c r="H97" s="601"/>
      <c r="I97" s="602"/>
      <c r="K97" s="608">
        <v>85</v>
      </c>
      <c r="L97" s="609" t="s">
        <v>448</v>
      </c>
      <c r="M97" s="601"/>
      <c r="N97" s="602"/>
      <c r="P97" s="608">
        <v>85</v>
      </c>
      <c r="Q97" s="609" t="s">
        <v>448</v>
      </c>
      <c r="R97" s="601"/>
      <c r="S97" s="602"/>
    </row>
    <row r="98" spans="1:19">
      <c r="A98" s="608">
        <v>86</v>
      </c>
      <c r="B98" s="609" t="s">
        <v>449</v>
      </c>
      <c r="C98" s="601"/>
      <c r="D98" s="602"/>
      <c r="E98" s="601"/>
      <c r="F98" s="608">
        <v>86</v>
      </c>
      <c r="G98" s="609" t="s">
        <v>449</v>
      </c>
      <c r="H98" s="601"/>
      <c r="I98" s="602"/>
      <c r="K98" s="608">
        <v>86</v>
      </c>
      <c r="L98" s="609" t="s">
        <v>449</v>
      </c>
      <c r="M98" s="601"/>
      <c r="N98" s="602"/>
      <c r="P98" s="608">
        <v>86</v>
      </c>
      <c r="Q98" s="609" t="s">
        <v>449</v>
      </c>
      <c r="R98" s="601"/>
      <c r="S98" s="602"/>
    </row>
    <row r="99" spans="1:19">
      <c r="A99" s="608">
        <v>87</v>
      </c>
      <c r="B99" s="609" t="s">
        <v>450</v>
      </c>
      <c r="C99" s="601"/>
      <c r="D99" s="602"/>
      <c r="E99" s="601"/>
      <c r="F99" s="608">
        <v>87</v>
      </c>
      <c r="G99" s="609" t="s">
        <v>450</v>
      </c>
      <c r="H99" s="601"/>
      <c r="I99" s="602"/>
      <c r="K99" s="608">
        <v>87</v>
      </c>
      <c r="L99" s="609" t="s">
        <v>450</v>
      </c>
      <c r="M99" s="601"/>
      <c r="N99" s="602"/>
      <c r="P99" s="608">
        <v>87</v>
      </c>
      <c r="Q99" s="609" t="s">
        <v>450</v>
      </c>
      <c r="R99" s="601"/>
      <c r="S99" s="602"/>
    </row>
    <row r="100" spans="1:19">
      <c r="A100" s="608">
        <v>88</v>
      </c>
      <c r="B100" s="609" t="s">
        <v>451</v>
      </c>
      <c r="C100" s="601"/>
      <c r="D100" s="602"/>
      <c r="E100" s="601"/>
      <c r="F100" s="608">
        <v>88</v>
      </c>
      <c r="G100" s="609" t="s">
        <v>451</v>
      </c>
      <c r="H100" s="601"/>
      <c r="I100" s="602"/>
      <c r="K100" s="608">
        <v>88</v>
      </c>
      <c r="L100" s="609" t="s">
        <v>451</v>
      </c>
      <c r="M100" s="601"/>
      <c r="N100" s="602"/>
      <c r="P100" s="608">
        <v>88</v>
      </c>
      <c r="Q100" s="609" t="s">
        <v>451</v>
      </c>
      <c r="R100" s="601"/>
      <c r="S100" s="602"/>
    </row>
    <row r="101" spans="1:19">
      <c r="A101" s="608">
        <v>89</v>
      </c>
      <c r="B101" s="609" t="s">
        <v>452</v>
      </c>
      <c r="C101" s="601"/>
      <c r="D101" s="602"/>
      <c r="E101" s="601"/>
      <c r="F101" s="608">
        <v>89</v>
      </c>
      <c r="G101" s="609" t="s">
        <v>452</v>
      </c>
      <c r="H101" s="601"/>
      <c r="I101" s="602"/>
      <c r="K101" s="608">
        <v>89</v>
      </c>
      <c r="L101" s="609" t="s">
        <v>452</v>
      </c>
      <c r="M101" s="601"/>
      <c r="N101" s="602"/>
      <c r="P101" s="608">
        <v>89</v>
      </c>
      <c r="Q101" s="609" t="s">
        <v>452</v>
      </c>
      <c r="R101" s="601"/>
      <c r="S101" s="602"/>
    </row>
    <row r="102" spans="1:19">
      <c r="A102" s="608">
        <v>90</v>
      </c>
      <c r="B102" s="609" t="s">
        <v>453</v>
      </c>
      <c r="C102" s="601"/>
      <c r="D102" s="602"/>
      <c r="E102" s="601"/>
      <c r="F102" s="608">
        <v>90</v>
      </c>
      <c r="G102" s="609" t="s">
        <v>453</v>
      </c>
      <c r="H102" s="601"/>
      <c r="I102" s="602"/>
      <c r="K102" s="608">
        <v>90</v>
      </c>
      <c r="L102" s="609" t="s">
        <v>453</v>
      </c>
      <c r="M102" s="601"/>
      <c r="N102" s="602"/>
      <c r="P102" s="608">
        <v>90</v>
      </c>
      <c r="Q102" s="609" t="s">
        <v>453</v>
      </c>
      <c r="R102" s="601"/>
      <c r="S102" s="602"/>
    </row>
    <row r="103" spans="1:19">
      <c r="A103" s="608">
        <v>91</v>
      </c>
      <c r="B103" s="609" t="s">
        <v>454</v>
      </c>
      <c r="C103" s="601"/>
      <c r="D103" s="602"/>
      <c r="E103" s="601"/>
      <c r="F103" s="608">
        <v>91</v>
      </c>
      <c r="G103" s="609" t="s">
        <v>454</v>
      </c>
      <c r="H103" s="601"/>
      <c r="I103" s="602"/>
      <c r="K103" s="608">
        <v>91</v>
      </c>
      <c r="L103" s="609" t="s">
        <v>454</v>
      </c>
      <c r="M103" s="601"/>
      <c r="N103" s="602"/>
      <c r="P103" s="608">
        <v>91</v>
      </c>
      <c r="Q103" s="609" t="s">
        <v>454</v>
      </c>
      <c r="R103" s="601"/>
      <c r="S103" s="602"/>
    </row>
    <row r="104" spans="1:19">
      <c r="A104" s="608">
        <v>92</v>
      </c>
      <c r="B104" s="609" t="s">
        <v>455</v>
      </c>
      <c r="C104" s="601"/>
      <c r="D104" s="602"/>
      <c r="E104" s="601"/>
      <c r="F104" s="608">
        <v>92</v>
      </c>
      <c r="G104" s="609" t="s">
        <v>455</v>
      </c>
      <c r="H104" s="601"/>
      <c r="I104" s="602"/>
      <c r="K104" s="608">
        <v>92</v>
      </c>
      <c r="L104" s="609" t="s">
        <v>455</v>
      </c>
      <c r="M104" s="601"/>
      <c r="N104" s="602"/>
      <c r="P104" s="608">
        <v>92</v>
      </c>
      <c r="Q104" s="609" t="s">
        <v>455</v>
      </c>
      <c r="R104" s="601"/>
      <c r="S104" s="602"/>
    </row>
    <row r="105" spans="1:19">
      <c r="A105" s="608">
        <v>93</v>
      </c>
      <c r="B105" s="609" t="s">
        <v>456</v>
      </c>
      <c r="C105" s="601"/>
      <c r="D105" s="602"/>
      <c r="E105" s="601"/>
      <c r="F105" s="608">
        <v>93</v>
      </c>
      <c r="G105" s="609" t="s">
        <v>456</v>
      </c>
      <c r="H105" s="601"/>
      <c r="I105" s="602"/>
      <c r="K105" s="608">
        <v>93</v>
      </c>
      <c r="L105" s="609" t="s">
        <v>456</v>
      </c>
      <c r="M105" s="601"/>
      <c r="N105" s="602"/>
      <c r="P105" s="608">
        <v>93</v>
      </c>
      <c r="Q105" s="609" t="s">
        <v>456</v>
      </c>
      <c r="R105" s="601"/>
      <c r="S105" s="602"/>
    </row>
    <row r="106" spans="1:19">
      <c r="A106" s="608">
        <v>94</v>
      </c>
      <c r="B106" s="609" t="s">
        <v>457</v>
      </c>
      <c r="C106" s="601"/>
      <c r="D106" s="602"/>
      <c r="E106" s="601"/>
      <c r="F106" s="608">
        <v>94</v>
      </c>
      <c r="G106" s="609" t="s">
        <v>457</v>
      </c>
      <c r="H106" s="601"/>
      <c r="I106" s="602"/>
      <c r="K106" s="608">
        <v>94</v>
      </c>
      <c r="L106" s="609" t="s">
        <v>457</v>
      </c>
      <c r="M106" s="601"/>
      <c r="N106" s="602"/>
      <c r="P106" s="608">
        <v>94</v>
      </c>
      <c r="Q106" s="609" t="s">
        <v>457</v>
      </c>
      <c r="R106" s="601"/>
      <c r="S106" s="602"/>
    </row>
    <row r="107" spans="1:19">
      <c r="A107" s="608">
        <v>95</v>
      </c>
      <c r="B107" s="609" t="s">
        <v>458</v>
      </c>
      <c r="C107" s="601"/>
      <c r="D107" s="602"/>
      <c r="E107" s="601"/>
      <c r="F107" s="608">
        <v>95</v>
      </c>
      <c r="G107" s="609" t="s">
        <v>458</v>
      </c>
      <c r="H107" s="601"/>
      <c r="I107" s="602"/>
      <c r="K107" s="608">
        <v>95</v>
      </c>
      <c r="L107" s="609" t="s">
        <v>458</v>
      </c>
      <c r="M107" s="601"/>
      <c r="N107" s="602"/>
      <c r="P107" s="608">
        <v>95</v>
      </c>
      <c r="Q107" s="609" t="s">
        <v>458</v>
      </c>
      <c r="R107" s="601"/>
      <c r="S107" s="602"/>
    </row>
    <row r="108" spans="1:19">
      <c r="A108" s="608">
        <v>96</v>
      </c>
      <c r="B108" s="609" t="s">
        <v>459</v>
      </c>
      <c r="C108" s="601"/>
      <c r="D108" s="602"/>
      <c r="E108" s="601"/>
      <c r="F108" s="608">
        <v>96</v>
      </c>
      <c r="G108" s="609" t="s">
        <v>459</v>
      </c>
      <c r="H108" s="601"/>
      <c r="I108" s="602"/>
      <c r="K108" s="608">
        <v>96</v>
      </c>
      <c r="L108" s="609" t="s">
        <v>459</v>
      </c>
      <c r="M108" s="601"/>
      <c r="N108" s="602"/>
      <c r="P108" s="608">
        <v>96</v>
      </c>
      <c r="Q108" s="609" t="s">
        <v>459</v>
      </c>
      <c r="R108" s="601"/>
      <c r="S108" s="602"/>
    </row>
    <row r="109" spans="1:19">
      <c r="A109" s="608">
        <v>97</v>
      </c>
      <c r="B109" s="609" t="s">
        <v>460</v>
      </c>
      <c r="C109" s="601"/>
      <c r="D109" s="602"/>
      <c r="E109" s="601"/>
      <c r="F109" s="608">
        <v>97</v>
      </c>
      <c r="G109" s="609" t="s">
        <v>460</v>
      </c>
      <c r="H109" s="601"/>
      <c r="I109" s="602"/>
      <c r="K109" s="608">
        <v>97</v>
      </c>
      <c r="L109" s="609" t="s">
        <v>460</v>
      </c>
      <c r="M109" s="601"/>
      <c r="N109" s="602"/>
      <c r="P109" s="608">
        <v>97</v>
      </c>
      <c r="Q109" s="609" t="s">
        <v>460</v>
      </c>
      <c r="R109" s="601"/>
      <c r="S109" s="602"/>
    </row>
    <row r="110" spans="1:19">
      <c r="A110" s="608">
        <v>98</v>
      </c>
      <c r="B110" s="609" t="s">
        <v>461</v>
      </c>
      <c r="C110" s="601"/>
      <c r="D110" s="602"/>
      <c r="E110" s="601"/>
      <c r="F110" s="608">
        <v>98</v>
      </c>
      <c r="G110" s="609" t="s">
        <v>461</v>
      </c>
      <c r="H110" s="601"/>
      <c r="I110" s="602"/>
      <c r="K110" s="608">
        <v>98</v>
      </c>
      <c r="L110" s="609" t="s">
        <v>461</v>
      </c>
      <c r="M110" s="601"/>
      <c r="N110" s="602"/>
      <c r="P110" s="608">
        <v>98</v>
      </c>
      <c r="Q110" s="609" t="s">
        <v>461</v>
      </c>
      <c r="R110" s="601"/>
      <c r="S110" s="602"/>
    </row>
    <row r="111" spans="1:19">
      <c r="A111" s="608">
        <v>99</v>
      </c>
      <c r="B111" s="609" t="s">
        <v>462</v>
      </c>
      <c r="C111" s="601"/>
      <c r="D111" s="602"/>
      <c r="E111" s="601"/>
      <c r="F111" s="608">
        <v>99</v>
      </c>
      <c r="G111" s="609" t="s">
        <v>462</v>
      </c>
      <c r="H111" s="601"/>
      <c r="I111" s="602"/>
      <c r="K111" s="608">
        <v>99</v>
      </c>
      <c r="L111" s="609" t="s">
        <v>462</v>
      </c>
      <c r="M111" s="601"/>
      <c r="N111" s="602"/>
      <c r="P111" s="608">
        <v>99</v>
      </c>
      <c r="Q111" s="609" t="s">
        <v>462</v>
      </c>
      <c r="R111" s="601"/>
      <c r="S111" s="602"/>
    </row>
    <row r="112" spans="1:19" ht="13.5" thickBot="1">
      <c r="A112" s="610">
        <v>100</v>
      </c>
      <c r="B112" s="611" t="s">
        <v>463</v>
      </c>
      <c r="C112" s="612"/>
      <c r="D112" s="613"/>
      <c r="E112" s="601"/>
      <c r="F112" s="610">
        <v>100</v>
      </c>
      <c r="G112" s="611" t="s">
        <v>463</v>
      </c>
      <c r="H112" s="612"/>
      <c r="I112" s="613"/>
      <c r="K112" s="610">
        <v>100</v>
      </c>
      <c r="L112" s="611" t="s">
        <v>463</v>
      </c>
      <c r="M112" s="612"/>
      <c r="N112" s="613"/>
      <c r="P112" s="610">
        <v>100</v>
      </c>
      <c r="Q112" s="611" t="s">
        <v>463</v>
      </c>
      <c r="R112" s="612"/>
      <c r="S112" s="613"/>
    </row>
    <row r="118" spans="1:4">
      <c r="A118" s="625" t="s">
        <v>469</v>
      </c>
    </row>
    <row r="119" spans="1:4" ht="13.5" thickBot="1"/>
    <row r="120" spans="1:4" ht="13.5" thickBot="1">
      <c r="A120" s="614"/>
      <c r="B120" s="615"/>
      <c r="C120" s="615"/>
      <c r="D120" s="616"/>
    </row>
    <row r="121" spans="1:4" ht="13.5" thickBot="1">
      <c r="A121" s="618"/>
      <c r="D121" s="619"/>
    </row>
    <row r="122" spans="1:4" ht="15.75" thickBot="1">
      <c r="A122" s="921" t="e">
        <v>#REF!</v>
      </c>
      <c r="B122" s="922"/>
      <c r="C122" s="598"/>
      <c r="D122" s="599"/>
    </row>
    <row r="123" spans="1:4">
      <c r="A123" s="923"/>
      <c r="B123" s="924"/>
      <c r="C123" s="598"/>
      <c r="D123" s="599"/>
    </row>
    <row r="124" spans="1:4">
      <c r="A124" s="600"/>
      <c r="B124" s="601"/>
      <c r="C124" s="601"/>
      <c r="D124" s="602"/>
    </row>
    <row r="125" spans="1:4">
      <c r="A125" s="925" t="e">
        <f>IF(OR((A122&gt;9999999999),(A122&lt;0)),"Invalid Entry - More than 1000 crore OR -ve value",IF(A122=0, "",+CONCATENATE(U121,B132,D132,B131,D131,B130,D130,B129,D129,B128,D128,B127," Only")))</f>
        <v>#REF!</v>
      </c>
      <c r="B125" s="926"/>
      <c r="C125" s="926"/>
      <c r="D125" s="927"/>
    </row>
    <row r="126" spans="1:4">
      <c r="A126" s="600"/>
      <c r="B126" s="601"/>
      <c r="C126" s="601"/>
      <c r="D126" s="602"/>
    </row>
    <row r="127" spans="1:4">
      <c r="A127" s="603" t="e">
        <f>-INT(A122/100)*100+ROUND(A122,0)</f>
        <v>#REF!</v>
      </c>
      <c r="B127" s="601" t="e">
        <f t="shared" ref="B127:B132" si="6">IF(A127=0,"",LOOKUP(A127,$A$13:$A$112,$B$13:$B$112))</f>
        <v>#REF!</v>
      </c>
      <c r="C127" s="601"/>
      <c r="D127" s="604"/>
    </row>
    <row r="128" spans="1:4">
      <c r="A128" s="603" t="e">
        <f>-INT(A122/1000)*10+INT(A122/100)</f>
        <v>#REF!</v>
      </c>
      <c r="B128" s="601" t="e">
        <f t="shared" si="6"/>
        <v>#REF!</v>
      </c>
      <c r="C128" s="601"/>
      <c r="D128" s="604" t="e">
        <f>+IF(B128="",""," Hundred ")</f>
        <v>#REF!</v>
      </c>
    </row>
    <row r="129" spans="1:4">
      <c r="A129" s="603" t="e">
        <f>-INT(A122/100000)*100+INT(A122/1000)</f>
        <v>#REF!</v>
      </c>
      <c r="B129" s="601" t="e">
        <f t="shared" si="6"/>
        <v>#REF!</v>
      </c>
      <c r="C129" s="601"/>
      <c r="D129" s="604" t="e">
        <f>IF((B129=""),IF(C129="",""," Thousand ")," Thousand ")</f>
        <v>#REF!</v>
      </c>
    </row>
    <row r="130" spans="1:4">
      <c r="A130" s="603" t="e">
        <f>-INT(A122/10000000)*100+INT(A122/100000)</f>
        <v>#REF!</v>
      </c>
      <c r="B130" s="601" t="e">
        <f t="shared" si="6"/>
        <v>#REF!</v>
      </c>
      <c r="C130" s="601"/>
      <c r="D130" s="604" t="e">
        <f>IF((B130=""),IF(C130="",""," Lac ")," Lac ")</f>
        <v>#REF!</v>
      </c>
    </row>
    <row r="131" spans="1:4">
      <c r="A131" s="603" t="e">
        <f>-INT(A122/1000000000)*100+INT(A122/10000000)</f>
        <v>#REF!</v>
      </c>
      <c r="B131" s="605" t="e">
        <f t="shared" si="6"/>
        <v>#REF!</v>
      </c>
      <c r="C131" s="601"/>
      <c r="D131" s="604" t="e">
        <f>IF((B131=""),IF(C131="",""," Crore ")," Crore ")</f>
        <v>#REF!</v>
      </c>
    </row>
    <row r="132" spans="1:4">
      <c r="A132" s="606" t="e">
        <f>-INT(A122/10000000000)*1000+INT(A122/1000000000)</f>
        <v>#REF!</v>
      </c>
      <c r="B132" s="605" t="e">
        <f t="shared" si="6"/>
        <v>#REF!</v>
      </c>
      <c r="C132" s="601"/>
      <c r="D132" s="604" t="e">
        <f>IF((B132=""),IF(C132="",""," Hundred ")," Hundred ")</f>
        <v>#REF!</v>
      </c>
    </row>
    <row r="133" spans="1:4">
      <c r="A133" s="607"/>
      <c r="B133" s="601"/>
      <c r="C133" s="601"/>
      <c r="D133" s="602"/>
    </row>
    <row r="134" spans="1:4">
      <c r="A134" s="608">
        <v>1</v>
      </c>
      <c r="B134" s="609" t="s">
        <v>364</v>
      </c>
      <c r="C134" s="601"/>
      <c r="D134" s="602"/>
    </row>
    <row r="135" spans="1:4">
      <c r="A135" s="608">
        <v>2</v>
      </c>
      <c r="B135" s="609" t="s">
        <v>365</v>
      </c>
      <c r="C135" s="601"/>
      <c r="D135" s="602"/>
    </row>
    <row r="136" spans="1:4">
      <c r="A136" s="608">
        <v>3</v>
      </c>
      <c r="B136" s="609" t="s">
        <v>366</v>
      </c>
      <c r="C136" s="601"/>
      <c r="D136" s="602"/>
    </row>
    <row r="137" spans="1:4">
      <c r="A137" s="608">
        <v>4</v>
      </c>
      <c r="B137" s="609" t="s">
        <v>367</v>
      </c>
      <c r="C137" s="601"/>
      <c r="D137" s="602"/>
    </row>
    <row r="138" spans="1:4">
      <c r="A138" s="608">
        <v>5</v>
      </c>
      <c r="B138" s="609" t="s">
        <v>368</v>
      </c>
      <c r="C138" s="601"/>
      <c r="D138" s="602"/>
    </row>
    <row r="139" spans="1:4">
      <c r="A139" s="608">
        <v>6</v>
      </c>
      <c r="B139" s="609" t="s">
        <v>369</v>
      </c>
      <c r="C139" s="601"/>
      <c r="D139" s="602"/>
    </row>
    <row r="140" spans="1:4">
      <c r="A140" s="608">
        <v>7</v>
      </c>
      <c r="B140" s="609" t="s">
        <v>370</v>
      </c>
      <c r="C140" s="601"/>
      <c r="D140" s="602"/>
    </row>
    <row r="141" spans="1:4">
      <c r="A141" s="608">
        <v>8</v>
      </c>
      <c r="B141" s="609" t="s">
        <v>371</v>
      </c>
      <c r="C141" s="601"/>
      <c r="D141" s="602"/>
    </row>
    <row r="142" spans="1:4">
      <c r="A142" s="608">
        <v>9</v>
      </c>
      <c r="B142" s="609" t="s">
        <v>372</v>
      </c>
      <c r="C142" s="601"/>
      <c r="D142" s="602"/>
    </row>
    <row r="143" spans="1:4">
      <c r="A143" s="608">
        <v>10</v>
      </c>
      <c r="B143" s="609" t="s">
        <v>373</v>
      </c>
      <c r="C143" s="601"/>
      <c r="D143" s="602"/>
    </row>
    <row r="144" spans="1:4">
      <c r="A144" s="608">
        <v>11</v>
      </c>
      <c r="B144" s="609" t="s">
        <v>374</v>
      </c>
      <c r="C144" s="601"/>
      <c r="D144" s="602"/>
    </row>
    <row r="145" spans="1:4">
      <c r="A145" s="608">
        <v>12</v>
      </c>
      <c r="B145" s="609" t="s">
        <v>375</v>
      </c>
      <c r="C145" s="601"/>
      <c r="D145" s="602"/>
    </row>
    <row r="146" spans="1:4">
      <c r="A146" s="608">
        <v>13</v>
      </c>
      <c r="B146" s="609" t="s">
        <v>376</v>
      </c>
      <c r="C146" s="601"/>
      <c r="D146" s="602"/>
    </row>
    <row r="147" spans="1:4">
      <c r="A147" s="608">
        <v>14</v>
      </c>
      <c r="B147" s="609" t="s">
        <v>377</v>
      </c>
      <c r="C147" s="601"/>
      <c r="D147" s="602"/>
    </row>
    <row r="148" spans="1:4">
      <c r="A148" s="608">
        <v>15</v>
      </c>
      <c r="B148" s="609" t="s">
        <v>378</v>
      </c>
      <c r="C148" s="601"/>
      <c r="D148" s="602"/>
    </row>
    <row r="149" spans="1:4">
      <c r="A149" s="608">
        <v>16</v>
      </c>
      <c r="B149" s="609" t="s">
        <v>379</v>
      </c>
      <c r="C149" s="601"/>
      <c r="D149" s="602"/>
    </row>
    <row r="150" spans="1:4">
      <c r="A150" s="608">
        <v>17</v>
      </c>
      <c r="B150" s="609" t="s">
        <v>380</v>
      </c>
      <c r="C150" s="601"/>
      <c r="D150" s="602"/>
    </row>
    <row r="151" spans="1:4">
      <c r="A151" s="608">
        <v>18</v>
      </c>
      <c r="B151" s="609" t="s">
        <v>381</v>
      </c>
      <c r="C151" s="601"/>
      <c r="D151" s="602"/>
    </row>
    <row r="152" spans="1:4">
      <c r="A152" s="608">
        <v>19</v>
      </c>
      <c r="B152" s="609" t="s">
        <v>382</v>
      </c>
      <c r="C152" s="601"/>
      <c r="D152" s="602"/>
    </row>
    <row r="153" spans="1:4">
      <c r="A153" s="608">
        <v>20</v>
      </c>
      <c r="B153" s="609" t="s">
        <v>383</v>
      </c>
      <c r="C153" s="601"/>
      <c r="D153" s="602"/>
    </row>
    <row r="154" spans="1:4">
      <c r="A154" s="608">
        <v>21</v>
      </c>
      <c r="B154" s="609" t="s">
        <v>384</v>
      </c>
      <c r="C154" s="601"/>
      <c r="D154" s="602"/>
    </row>
    <row r="155" spans="1:4">
      <c r="A155" s="608">
        <v>22</v>
      </c>
      <c r="B155" s="609" t="s">
        <v>385</v>
      </c>
      <c r="C155" s="601"/>
      <c r="D155" s="602"/>
    </row>
    <row r="156" spans="1:4">
      <c r="A156" s="608">
        <v>23</v>
      </c>
      <c r="B156" s="609" t="s">
        <v>386</v>
      </c>
      <c r="C156" s="601"/>
      <c r="D156" s="602"/>
    </row>
    <row r="157" spans="1:4">
      <c r="A157" s="608">
        <v>24</v>
      </c>
      <c r="B157" s="609" t="s">
        <v>387</v>
      </c>
      <c r="C157" s="601"/>
      <c r="D157" s="602"/>
    </row>
    <row r="158" spans="1:4">
      <c r="A158" s="608">
        <v>25</v>
      </c>
      <c r="B158" s="609" t="s">
        <v>388</v>
      </c>
      <c r="C158" s="601"/>
      <c r="D158" s="602"/>
    </row>
    <row r="159" spans="1:4">
      <c r="A159" s="608">
        <v>26</v>
      </c>
      <c r="B159" s="609" t="s">
        <v>389</v>
      </c>
      <c r="C159" s="601"/>
      <c r="D159" s="602"/>
    </row>
    <row r="160" spans="1:4">
      <c r="A160" s="608">
        <v>27</v>
      </c>
      <c r="B160" s="609" t="s">
        <v>390</v>
      </c>
      <c r="C160" s="601"/>
      <c r="D160" s="602"/>
    </row>
    <row r="161" spans="1:4">
      <c r="A161" s="608">
        <v>28</v>
      </c>
      <c r="B161" s="609" t="s">
        <v>391</v>
      </c>
      <c r="C161" s="601"/>
      <c r="D161" s="602"/>
    </row>
    <row r="162" spans="1:4">
      <c r="A162" s="608">
        <v>29</v>
      </c>
      <c r="B162" s="609" t="s">
        <v>392</v>
      </c>
      <c r="C162" s="601"/>
      <c r="D162" s="602"/>
    </row>
    <row r="163" spans="1:4">
      <c r="A163" s="608">
        <v>30</v>
      </c>
      <c r="B163" s="609" t="s">
        <v>393</v>
      </c>
      <c r="C163" s="601"/>
      <c r="D163" s="602"/>
    </row>
    <row r="164" spans="1:4">
      <c r="A164" s="608">
        <v>31</v>
      </c>
      <c r="B164" s="609" t="s">
        <v>394</v>
      </c>
      <c r="C164" s="601"/>
      <c r="D164" s="602"/>
    </row>
    <row r="165" spans="1:4">
      <c r="A165" s="608">
        <v>32</v>
      </c>
      <c r="B165" s="609" t="s">
        <v>395</v>
      </c>
      <c r="C165" s="601"/>
      <c r="D165" s="602"/>
    </row>
    <row r="166" spans="1:4">
      <c r="A166" s="608">
        <v>33</v>
      </c>
      <c r="B166" s="609" t="s">
        <v>396</v>
      </c>
      <c r="C166" s="601"/>
      <c r="D166" s="602"/>
    </row>
    <row r="167" spans="1:4">
      <c r="A167" s="608">
        <v>34</v>
      </c>
      <c r="B167" s="609" t="s">
        <v>397</v>
      </c>
      <c r="C167" s="601"/>
      <c r="D167" s="602"/>
    </row>
    <row r="168" spans="1:4">
      <c r="A168" s="608">
        <v>35</v>
      </c>
      <c r="B168" s="609" t="s">
        <v>398</v>
      </c>
      <c r="C168" s="601"/>
      <c r="D168" s="602"/>
    </row>
    <row r="169" spans="1:4">
      <c r="A169" s="608">
        <v>36</v>
      </c>
      <c r="B169" s="609" t="s">
        <v>399</v>
      </c>
      <c r="C169" s="601"/>
      <c r="D169" s="602"/>
    </row>
    <row r="170" spans="1:4">
      <c r="A170" s="608">
        <v>37</v>
      </c>
      <c r="B170" s="609" t="s">
        <v>400</v>
      </c>
      <c r="C170" s="601"/>
      <c r="D170" s="602"/>
    </row>
    <row r="171" spans="1:4">
      <c r="A171" s="608">
        <v>38</v>
      </c>
      <c r="B171" s="609" t="s">
        <v>401</v>
      </c>
      <c r="C171" s="601"/>
      <c r="D171" s="602"/>
    </row>
    <row r="172" spans="1:4">
      <c r="A172" s="608">
        <v>39</v>
      </c>
      <c r="B172" s="609" t="s">
        <v>402</v>
      </c>
      <c r="C172" s="601"/>
      <c r="D172" s="602"/>
    </row>
    <row r="173" spans="1:4">
      <c r="A173" s="608">
        <v>40</v>
      </c>
      <c r="B173" s="609" t="s">
        <v>403</v>
      </c>
      <c r="C173" s="601"/>
      <c r="D173" s="602"/>
    </row>
    <row r="174" spans="1:4">
      <c r="A174" s="608">
        <v>41</v>
      </c>
      <c r="B174" s="609" t="s">
        <v>404</v>
      </c>
      <c r="C174" s="601"/>
      <c r="D174" s="602"/>
    </row>
    <row r="175" spans="1:4">
      <c r="A175" s="608">
        <v>42</v>
      </c>
      <c r="B175" s="609" t="s">
        <v>405</v>
      </c>
      <c r="C175" s="601"/>
      <c r="D175" s="602"/>
    </row>
    <row r="176" spans="1:4">
      <c r="A176" s="608">
        <v>43</v>
      </c>
      <c r="B176" s="609" t="s">
        <v>406</v>
      </c>
      <c r="C176" s="601"/>
      <c r="D176" s="602"/>
    </row>
    <row r="177" spans="1:4">
      <c r="A177" s="608">
        <v>44</v>
      </c>
      <c r="B177" s="609" t="s">
        <v>407</v>
      </c>
      <c r="C177" s="601"/>
      <c r="D177" s="602"/>
    </row>
    <row r="178" spans="1:4">
      <c r="A178" s="608">
        <v>45</v>
      </c>
      <c r="B178" s="609" t="s">
        <v>408</v>
      </c>
      <c r="C178" s="601"/>
      <c r="D178" s="602"/>
    </row>
    <row r="179" spans="1:4">
      <c r="A179" s="608">
        <v>46</v>
      </c>
      <c r="B179" s="609" t="s">
        <v>409</v>
      </c>
      <c r="C179" s="601"/>
      <c r="D179" s="602"/>
    </row>
    <row r="180" spans="1:4">
      <c r="A180" s="608">
        <v>47</v>
      </c>
      <c r="B180" s="609" t="s">
        <v>410</v>
      </c>
      <c r="C180" s="601"/>
      <c r="D180" s="602"/>
    </row>
    <row r="181" spans="1:4">
      <c r="A181" s="608">
        <v>48</v>
      </c>
      <c r="B181" s="609" t="s">
        <v>411</v>
      </c>
      <c r="C181" s="601"/>
      <c r="D181" s="602"/>
    </row>
    <row r="182" spans="1:4">
      <c r="A182" s="608">
        <v>49</v>
      </c>
      <c r="B182" s="609" t="s">
        <v>412</v>
      </c>
      <c r="C182" s="601"/>
      <c r="D182" s="602"/>
    </row>
    <row r="183" spans="1:4">
      <c r="A183" s="608">
        <v>50</v>
      </c>
      <c r="B183" s="609" t="s">
        <v>413</v>
      </c>
      <c r="C183" s="601"/>
      <c r="D183" s="602"/>
    </row>
    <row r="184" spans="1:4">
      <c r="A184" s="608">
        <v>51</v>
      </c>
      <c r="B184" s="609" t="s">
        <v>414</v>
      </c>
      <c r="C184" s="601"/>
      <c r="D184" s="602"/>
    </row>
    <row r="185" spans="1:4">
      <c r="A185" s="608">
        <v>52</v>
      </c>
      <c r="B185" s="609" t="s">
        <v>415</v>
      </c>
      <c r="C185" s="601"/>
      <c r="D185" s="602"/>
    </row>
    <row r="186" spans="1:4">
      <c r="A186" s="608">
        <v>53</v>
      </c>
      <c r="B186" s="609" t="s">
        <v>416</v>
      </c>
      <c r="C186" s="601"/>
      <c r="D186" s="602"/>
    </row>
    <row r="187" spans="1:4">
      <c r="A187" s="608">
        <v>54</v>
      </c>
      <c r="B187" s="609" t="s">
        <v>417</v>
      </c>
      <c r="C187" s="601"/>
      <c r="D187" s="602"/>
    </row>
    <row r="188" spans="1:4">
      <c r="A188" s="608">
        <v>55</v>
      </c>
      <c r="B188" s="609" t="s">
        <v>418</v>
      </c>
      <c r="C188" s="601"/>
      <c r="D188" s="602"/>
    </row>
    <row r="189" spans="1:4">
      <c r="A189" s="608">
        <v>56</v>
      </c>
      <c r="B189" s="609" t="s">
        <v>419</v>
      </c>
      <c r="C189" s="601"/>
      <c r="D189" s="602"/>
    </row>
    <row r="190" spans="1:4">
      <c r="A190" s="608">
        <v>57</v>
      </c>
      <c r="B190" s="609" t="s">
        <v>420</v>
      </c>
      <c r="C190" s="601"/>
      <c r="D190" s="602"/>
    </row>
    <row r="191" spans="1:4">
      <c r="A191" s="608">
        <v>58</v>
      </c>
      <c r="B191" s="609" t="s">
        <v>421</v>
      </c>
      <c r="C191" s="601"/>
      <c r="D191" s="602"/>
    </row>
    <row r="192" spans="1:4">
      <c r="A192" s="608">
        <v>59</v>
      </c>
      <c r="B192" s="609" t="s">
        <v>422</v>
      </c>
      <c r="C192" s="601"/>
      <c r="D192" s="602"/>
    </row>
    <row r="193" spans="1:4">
      <c r="A193" s="608">
        <v>60</v>
      </c>
      <c r="B193" s="609" t="s">
        <v>423</v>
      </c>
      <c r="C193" s="601"/>
      <c r="D193" s="602"/>
    </row>
    <row r="194" spans="1:4">
      <c r="A194" s="608">
        <v>61</v>
      </c>
      <c r="B194" s="609" t="s">
        <v>424</v>
      </c>
      <c r="C194" s="601"/>
      <c r="D194" s="602"/>
    </row>
    <row r="195" spans="1:4">
      <c r="A195" s="608">
        <v>62</v>
      </c>
      <c r="B195" s="609" t="s">
        <v>425</v>
      </c>
      <c r="C195" s="601"/>
      <c r="D195" s="602"/>
    </row>
    <row r="196" spans="1:4">
      <c r="A196" s="608">
        <v>63</v>
      </c>
      <c r="B196" s="609" t="s">
        <v>426</v>
      </c>
      <c r="C196" s="601"/>
      <c r="D196" s="602"/>
    </row>
    <row r="197" spans="1:4">
      <c r="A197" s="608">
        <v>64</v>
      </c>
      <c r="B197" s="609" t="s">
        <v>427</v>
      </c>
      <c r="C197" s="601"/>
      <c r="D197" s="602"/>
    </row>
    <row r="198" spans="1:4">
      <c r="A198" s="608">
        <v>65</v>
      </c>
      <c r="B198" s="609" t="s">
        <v>428</v>
      </c>
      <c r="C198" s="601"/>
      <c r="D198" s="602"/>
    </row>
    <row r="199" spans="1:4">
      <c r="A199" s="608">
        <v>66</v>
      </c>
      <c r="B199" s="609" t="s">
        <v>429</v>
      </c>
      <c r="C199" s="601"/>
      <c r="D199" s="602"/>
    </row>
    <row r="200" spans="1:4">
      <c r="A200" s="608">
        <v>67</v>
      </c>
      <c r="B200" s="609" t="s">
        <v>430</v>
      </c>
      <c r="C200" s="601"/>
      <c r="D200" s="602"/>
    </row>
    <row r="201" spans="1:4">
      <c r="A201" s="608">
        <v>68</v>
      </c>
      <c r="B201" s="609" t="s">
        <v>431</v>
      </c>
      <c r="C201" s="601"/>
      <c r="D201" s="602"/>
    </row>
    <row r="202" spans="1:4">
      <c r="A202" s="608">
        <v>69</v>
      </c>
      <c r="B202" s="609" t="s">
        <v>432</v>
      </c>
      <c r="C202" s="601"/>
      <c r="D202" s="602"/>
    </row>
    <row r="203" spans="1:4">
      <c r="A203" s="608">
        <v>70</v>
      </c>
      <c r="B203" s="609" t="s">
        <v>433</v>
      </c>
      <c r="C203" s="601"/>
      <c r="D203" s="602"/>
    </row>
    <row r="204" spans="1:4">
      <c r="A204" s="608">
        <v>71</v>
      </c>
      <c r="B204" s="609" t="s">
        <v>434</v>
      </c>
      <c r="C204" s="601"/>
      <c r="D204" s="602"/>
    </row>
    <row r="205" spans="1:4">
      <c r="A205" s="608">
        <v>72</v>
      </c>
      <c r="B205" s="609" t="s">
        <v>435</v>
      </c>
      <c r="C205" s="601"/>
      <c r="D205" s="602"/>
    </row>
    <row r="206" spans="1:4">
      <c r="A206" s="608">
        <v>73</v>
      </c>
      <c r="B206" s="609" t="s">
        <v>436</v>
      </c>
      <c r="C206" s="601"/>
      <c r="D206" s="602"/>
    </row>
    <row r="207" spans="1:4">
      <c r="A207" s="608">
        <v>74</v>
      </c>
      <c r="B207" s="609" t="s">
        <v>437</v>
      </c>
      <c r="C207" s="601"/>
      <c r="D207" s="602"/>
    </row>
    <row r="208" spans="1:4">
      <c r="A208" s="608">
        <v>75</v>
      </c>
      <c r="B208" s="609" t="s">
        <v>438</v>
      </c>
      <c r="C208" s="601"/>
      <c r="D208" s="602"/>
    </row>
    <row r="209" spans="1:4">
      <c r="A209" s="608">
        <v>76</v>
      </c>
      <c r="B209" s="609" t="s">
        <v>439</v>
      </c>
      <c r="C209" s="601"/>
      <c r="D209" s="602"/>
    </row>
    <row r="210" spans="1:4">
      <c r="A210" s="608">
        <v>77</v>
      </c>
      <c r="B210" s="609" t="s">
        <v>440</v>
      </c>
      <c r="C210" s="601"/>
      <c r="D210" s="602"/>
    </row>
    <row r="211" spans="1:4">
      <c r="A211" s="608">
        <v>78</v>
      </c>
      <c r="B211" s="609" t="s">
        <v>441</v>
      </c>
      <c r="C211" s="601"/>
      <c r="D211" s="602"/>
    </row>
    <row r="212" spans="1:4">
      <c r="A212" s="608">
        <v>79</v>
      </c>
      <c r="B212" s="609" t="s">
        <v>442</v>
      </c>
      <c r="C212" s="601"/>
      <c r="D212" s="602"/>
    </row>
    <row r="213" spans="1:4">
      <c r="A213" s="608">
        <v>80</v>
      </c>
      <c r="B213" s="609" t="s">
        <v>443</v>
      </c>
      <c r="C213" s="601"/>
      <c r="D213" s="602"/>
    </row>
    <row r="214" spans="1:4">
      <c r="A214" s="608">
        <v>81</v>
      </c>
      <c r="B214" s="609" t="s">
        <v>444</v>
      </c>
      <c r="C214" s="601"/>
      <c r="D214" s="602"/>
    </row>
    <row r="215" spans="1:4">
      <c r="A215" s="608">
        <v>82</v>
      </c>
      <c r="B215" s="609" t="s">
        <v>445</v>
      </c>
      <c r="C215" s="601"/>
      <c r="D215" s="602"/>
    </row>
    <row r="216" spans="1:4">
      <c r="A216" s="608">
        <v>83</v>
      </c>
      <c r="B216" s="609" t="s">
        <v>446</v>
      </c>
      <c r="C216" s="601"/>
      <c r="D216" s="602"/>
    </row>
    <row r="217" spans="1:4">
      <c r="A217" s="608">
        <v>84</v>
      </c>
      <c r="B217" s="609" t="s">
        <v>447</v>
      </c>
      <c r="C217" s="601"/>
      <c r="D217" s="602"/>
    </row>
    <row r="218" spans="1:4">
      <c r="A218" s="608">
        <v>85</v>
      </c>
      <c r="B218" s="609" t="s">
        <v>448</v>
      </c>
      <c r="C218" s="601"/>
      <c r="D218" s="602"/>
    </row>
    <row r="219" spans="1:4">
      <c r="A219" s="608">
        <v>86</v>
      </c>
      <c r="B219" s="609" t="s">
        <v>449</v>
      </c>
      <c r="C219" s="601"/>
      <c r="D219" s="602"/>
    </row>
    <row r="220" spans="1:4">
      <c r="A220" s="608">
        <v>87</v>
      </c>
      <c r="B220" s="609" t="s">
        <v>450</v>
      </c>
      <c r="C220" s="601"/>
      <c r="D220" s="602"/>
    </row>
    <row r="221" spans="1:4">
      <c r="A221" s="608">
        <v>88</v>
      </c>
      <c r="B221" s="609" t="s">
        <v>451</v>
      </c>
      <c r="C221" s="601"/>
      <c r="D221" s="602"/>
    </row>
    <row r="222" spans="1:4">
      <c r="A222" s="608">
        <v>89</v>
      </c>
      <c r="B222" s="609" t="s">
        <v>452</v>
      </c>
      <c r="C222" s="601"/>
      <c r="D222" s="602"/>
    </row>
    <row r="223" spans="1:4">
      <c r="A223" s="608">
        <v>90</v>
      </c>
      <c r="B223" s="609" t="s">
        <v>453</v>
      </c>
      <c r="C223" s="601"/>
      <c r="D223" s="602"/>
    </row>
    <row r="224" spans="1:4">
      <c r="A224" s="608">
        <v>91</v>
      </c>
      <c r="B224" s="609" t="s">
        <v>454</v>
      </c>
      <c r="C224" s="601"/>
      <c r="D224" s="602"/>
    </row>
    <row r="225" spans="1:4">
      <c r="A225" s="608">
        <v>92</v>
      </c>
      <c r="B225" s="609" t="s">
        <v>455</v>
      </c>
      <c r="C225" s="601"/>
      <c r="D225" s="602"/>
    </row>
    <row r="226" spans="1:4">
      <c r="A226" s="608">
        <v>93</v>
      </c>
      <c r="B226" s="609" t="s">
        <v>456</v>
      </c>
      <c r="C226" s="601"/>
      <c r="D226" s="602"/>
    </row>
    <row r="227" spans="1:4">
      <c r="A227" s="608">
        <v>94</v>
      </c>
      <c r="B227" s="609" t="s">
        <v>457</v>
      </c>
      <c r="C227" s="601"/>
      <c r="D227" s="602"/>
    </row>
    <row r="228" spans="1:4">
      <c r="A228" s="608">
        <v>95</v>
      </c>
      <c r="B228" s="609" t="s">
        <v>458</v>
      </c>
      <c r="C228" s="601"/>
      <c r="D228" s="602"/>
    </row>
    <row r="229" spans="1:4">
      <c r="A229" s="608">
        <v>96</v>
      </c>
      <c r="B229" s="609" t="s">
        <v>459</v>
      </c>
      <c r="C229" s="601"/>
      <c r="D229" s="602"/>
    </row>
    <row r="230" spans="1:4">
      <c r="A230" s="608">
        <v>97</v>
      </c>
      <c r="B230" s="609" t="s">
        <v>460</v>
      </c>
      <c r="C230" s="601"/>
      <c r="D230" s="602"/>
    </row>
    <row r="231" spans="1:4">
      <c r="A231" s="608">
        <v>98</v>
      </c>
      <c r="B231" s="609" t="s">
        <v>461</v>
      </c>
      <c r="C231" s="601"/>
      <c r="D231" s="602"/>
    </row>
    <row r="232" spans="1:4">
      <c r="A232" s="608">
        <v>99</v>
      </c>
      <c r="B232" s="609" t="s">
        <v>462</v>
      </c>
      <c r="C232" s="601"/>
      <c r="D232" s="602"/>
    </row>
    <row r="233" spans="1:4" ht="13.5" thickBot="1">
      <c r="A233" s="610">
        <v>100</v>
      </c>
      <c r="B233" s="611" t="s">
        <v>463</v>
      </c>
      <c r="C233" s="612"/>
      <c r="D233" s="613"/>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84F40905-A9D3-43A5-987A-8A757D486A94}" hiddenColumns="1" state="hidden" topLeftCell="P1">
      <selection activeCell="DT28" sqref="DT28"/>
      <pageMargins left="0.75" right="0.75" top="1" bottom="1" header="0.5" footer="0.5"/>
      <pageSetup orientation="portrait" r:id="rId2"/>
      <headerFooter alignWithMargins="0"/>
    </customSheetView>
    <customSheetView guid="{C44C314C-9BEB-403F-A933-6B948E5C1171}" hiddenColumns="1" state="hidden" topLeftCell="P1">
      <selection activeCell="DT28" sqref="DT28"/>
      <pageMargins left="0.75" right="0.75" top="1" bottom="1" header="0.5" footer="0.5"/>
      <pageSetup orientation="portrait" r:id="rId3"/>
      <headerFooter alignWithMargins="0"/>
    </customSheetView>
    <customSheetView guid="{AD0333DF-5B33-49B5-B063-72505D20EFE4}" hiddenColumns="1" state="hidden" topLeftCell="P1">
      <selection activeCell="DT28" sqref="DT28"/>
      <pageMargins left="0.75" right="0.75" top="1" bottom="1" header="0.5" footer="0.5"/>
      <pageSetup orientation="portrait" r:id="rId4"/>
      <headerFooter alignWithMargins="0"/>
    </customSheetView>
    <customSheetView guid="{BE68641D-0C1E-4F8D-890A-A660C199187C}" hiddenColumns="1" state="hidden" topLeftCell="P1">
      <selection activeCell="DT28" sqref="DT28"/>
      <pageMargins left="0.75" right="0.75" top="1" bottom="1" header="0.5" footer="0.5"/>
      <pageSetup orientation="portrait" r:id="rId5"/>
      <headerFooter alignWithMargins="0"/>
    </customSheetView>
    <customSheetView guid="{F658ED72-5E54-4C5B-BB2C-7A2962080984}" hiddenColumns="1" state="hidden" topLeftCell="P1">
      <selection activeCell="DT28" sqref="DT28"/>
      <pageMargins left="0.75" right="0.75" top="1" bottom="1" header="0.5" footer="0.5"/>
      <pageSetup orientation="portrait" r:id="rId6"/>
      <headerFooter alignWithMargins="0"/>
    </customSheetView>
    <customSheetView guid="{DEF6DCE2-4A74-4BE5-B5D5-8143DC3F770A}" hiddenColumns="1" state="hidden" topLeftCell="P1">
      <selection activeCell="DT28" sqref="DT28"/>
      <pageMargins left="0.75" right="0.75" top="1" bottom="1" header="0.5" footer="0.5"/>
      <pageSetup orientation="portrait" r:id="rId7"/>
      <headerFooter alignWithMargins="0"/>
    </customSheetView>
    <customSheetView guid="{F8A50AE1-259E-429D-A506-38EB64D134EF}" hiddenColumns="1" state="hidden" topLeftCell="P1">
      <selection activeCell="DT28" sqref="DT28"/>
      <pageMargins left="0.75" right="0.75" top="1" bottom="1" header="0.5" footer="0.5"/>
      <pageSetup orientation="portrait" r:id="rId8"/>
      <headerFooter alignWithMargins="0"/>
    </customSheetView>
    <customSheetView guid="{99CA2F10-F926-46DC-8609-4EAE5B9F3585}" hiddenColumns="1" state="hidden" topLeftCell="P1">
      <selection activeCell="DT28" sqref="DT28"/>
      <pageMargins left="0.75" right="0.75" top="1" bottom="1" header="0.5" footer="0.5"/>
      <pageSetup orientation="portrait" r:id="rId9"/>
      <headerFooter alignWithMargins="0"/>
    </customSheetView>
    <customSheetView guid="{63D51328-7CBC-4A1E-B96D-BAE91416501B}" hiddenColumns="1" state="hidden" topLeftCell="P1">
      <selection activeCell="DT28" sqref="DT28"/>
      <pageMargins left="0.75" right="0.75" top="1" bottom="1" header="0.5" footer="0.5"/>
      <pageSetup orientation="portrait" r:id="rId10"/>
      <headerFooter alignWithMargins="0"/>
    </customSheetView>
    <customSheetView guid="{112647D2-7580-431B-99B5-DD512E2AD50E}" hiddenColumns="1" state="hidden" topLeftCell="P1">
      <selection activeCell="DT28" sqref="DT28"/>
      <pageMargins left="0.75" right="0.75" top="1" bottom="1" header="0.5" footer="0.5"/>
      <pageSetup orientation="portrait" r:id="rId11"/>
      <headerFooter alignWithMargins="0"/>
    </customSheetView>
    <customSheetView guid="{BDFA0401-0547-4E51-8BD2-84F711B066CA}" hiddenColumns="1" state="hidden" topLeftCell="P1">
      <selection activeCell="DT28" sqref="DT28"/>
      <pageMargins left="0.75" right="0.75" top="1" bottom="1" header="0.5" footer="0.5"/>
      <pageSetup orientation="portrait" r:id="rId12"/>
      <headerFooter alignWithMargins="0"/>
    </customSheetView>
    <customSheetView guid="{9E88A623-8EDB-47F0-815B-9C48385C3E73}" hiddenColumns="1" state="hidden" topLeftCell="P1">
      <selection activeCell="DT28" sqref="DT28"/>
      <pageMargins left="0.75" right="0.75" top="1" bottom="1" header="0.5" footer="0.5"/>
      <pageSetup orientation="portrait" r:id="rId13"/>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32" t="s">
        <v>348</v>
      </c>
      <c r="B1" s="732"/>
      <c r="C1" s="732"/>
      <c r="D1" s="56"/>
      <c r="E1" s="57"/>
      <c r="F1" s="57"/>
      <c r="G1" s="57"/>
      <c r="H1" s="57"/>
      <c r="I1" s="57"/>
      <c r="J1" s="57"/>
      <c r="K1" s="57"/>
    </row>
    <row r="2" spans="1:11" ht="18" customHeight="1">
      <c r="D2" s="32"/>
      <c r="E2" s="61"/>
      <c r="F2" s="61"/>
      <c r="G2" s="61"/>
      <c r="H2" s="61"/>
      <c r="I2" s="61"/>
      <c r="J2" s="61"/>
      <c r="K2" s="61"/>
    </row>
    <row r="3" spans="1:11" ht="18" customHeight="1">
      <c r="A3" s="62" t="s">
        <v>54</v>
      </c>
      <c r="B3" s="60" t="s">
        <v>55</v>
      </c>
      <c r="D3" s="63"/>
      <c r="E3" s="64"/>
      <c r="F3" s="64"/>
      <c r="G3" s="64"/>
      <c r="H3" s="64"/>
      <c r="I3" s="64"/>
      <c r="J3" s="64"/>
      <c r="K3" s="64"/>
    </row>
    <row r="4" spans="1:11" ht="18" customHeight="1">
      <c r="B4" s="65" t="s">
        <v>56</v>
      </c>
      <c r="C4" s="66" t="s">
        <v>57</v>
      </c>
      <c r="D4" s="63"/>
      <c r="E4" s="64"/>
      <c r="F4" s="64"/>
      <c r="G4" s="64"/>
      <c r="H4" s="64"/>
      <c r="I4" s="64"/>
      <c r="J4" s="64"/>
      <c r="K4" s="64"/>
    </row>
    <row r="5" spans="1:11" ht="38.1" customHeight="1">
      <c r="B5" s="65" t="s">
        <v>58</v>
      </c>
      <c r="C5" s="66" t="s">
        <v>59</v>
      </c>
      <c r="D5" s="63"/>
      <c r="E5" s="64"/>
      <c r="F5" s="64"/>
      <c r="G5" s="64"/>
      <c r="H5" s="64"/>
      <c r="I5" s="64"/>
      <c r="J5" s="64"/>
      <c r="K5" s="64"/>
    </row>
    <row r="6" spans="1:11" ht="18" customHeight="1">
      <c r="B6" s="65" t="s">
        <v>60</v>
      </c>
      <c r="C6" s="66" t="s">
        <v>61</v>
      </c>
      <c r="D6" s="63"/>
      <c r="E6" s="64"/>
      <c r="F6" s="64"/>
      <c r="G6" s="64"/>
      <c r="H6" s="64"/>
      <c r="I6" s="64"/>
      <c r="J6" s="64"/>
      <c r="K6" s="64"/>
    </row>
    <row r="7" spans="1:11" ht="18" customHeight="1">
      <c r="B7" s="65" t="s">
        <v>62</v>
      </c>
      <c r="C7" s="66" t="s">
        <v>63</v>
      </c>
      <c r="D7" s="63"/>
      <c r="E7" s="64"/>
      <c r="F7" s="64"/>
      <c r="G7" s="64"/>
      <c r="H7" s="64"/>
      <c r="I7" s="64"/>
      <c r="J7" s="64"/>
      <c r="K7" s="64"/>
    </row>
    <row r="8" spans="1:11" ht="18" customHeight="1">
      <c r="B8" s="65" t="s">
        <v>64</v>
      </c>
      <c r="C8" s="66" t="s">
        <v>65</v>
      </c>
      <c r="D8" s="63"/>
      <c r="E8" s="64"/>
      <c r="F8" s="64"/>
      <c r="G8" s="64"/>
      <c r="H8" s="64"/>
      <c r="I8" s="64"/>
      <c r="J8" s="64"/>
      <c r="K8" s="64"/>
    </row>
    <row r="9" spans="1:11" ht="18" customHeight="1">
      <c r="B9" s="65" t="s">
        <v>66</v>
      </c>
      <c r="C9" s="66" t="s">
        <v>67</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68</v>
      </c>
      <c r="B11" s="60" t="s">
        <v>69</v>
      </c>
      <c r="D11" s="63"/>
      <c r="E11" s="64"/>
      <c r="F11" s="64"/>
      <c r="G11" s="64"/>
      <c r="H11" s="64"/>
      <c r="I11" s="64"/>
      <c r="J11" s="64"/>
      <c r="K11" s="64"/>
    </row>
    <row r="12" spans="1:11" ht="18" customHeight="1">
      <c r="B12" s="730" t="s">
        <v>70</v>
      </c>
      <c r="C12" s="730"/>
      <c r="D12" s="67"/>
      <c r="E12" s="64"/>
      <c r="F12" s="64"/>
      <c r="G12" s="64"/>
      <c r="H12" s="64"/>
      <c r="I12" s="64"/>
      <c r="J12" s="64"/>
      <c r="K12" s="64"/>
    </row>
    <row r="13" spans="1:11" ht="18" customHeight="1">
      <c r="B13" s="68"/>
      <c r="C13" s="66" t="s">
        <v>71</v>
      </c>
      <c r="D13" s="63"/>
      <c r="E13" s="64"/>
      <c r="F13" s="64"/>
      <c r="G13" s="64"/>
      <c r="H13" s="64"/>
      <c r="I13" s="64"/>
      <c r="J13" s="64"/>
      <c r="K13" s="64"/>
    </row>
    <row r="14" spans="1:11" ht="18" customHeight="1">
      <c r="B14" s="730" t="s">
        <v>72</v>
      </c>
      <c r="C14" s="730"/>
      <c r="D14" s="67"/>
      <c r="E14" s="64"/>
      <c r="F14" s="64"/>
      <c r="G14" s="64"/>
      <c r="H14" s="64"/>
      <c r="I14" s="64"/>
      <c r="J14" s="64"/>
      <c r="K14" s="64"/>
    </row>
    <row r="15" spans="1:11" ht="38.1" customHeight="1">
      <c r="B15" s="69" t="s">
        <v>73</v>
      </c>
      <c r="C15" s="66" t="s">
        <v>74</v>
      </c>
      <c r="D15" s="63"/>
      <c r="E15" s="64"/>
      <c r="F15" s="64"/>
      <c r="G15" s="64"/>
      <c r="H15" s="64"/>
      <c r="I15" s="64"/>
      <c r="J15" s="64"/>
      <c r="K15" s="64"/>
    </row>
    <row r="16" spans="1:11" ht="36" customHeight="1">
      <c r="B16" s="69" t="s">
        <v>73</v>
      </c>
      <c r="C16" s="66" t="s">
        <v>75</v>
      </c>
      <c r="D16" s="63"/>
      <c r="E16" s="64"/>
      <c r="F16" s="64"/>
      <c r="G16" s="64"/>
      <c r="H16" s="64"/>
      <c r="I16" s="64"/>
      <c r="J16" s="64"/>
      <c r="K16" s="64"/>
    </row>
    <row r="17" spans="2:11" ht="42" customHeight="1">
      <c r="B17" s="69" t="s">
        <v>73</v>
      </c>
      <c r="C17" s="66" t="s">
        <v>76</v>
      </c>
      <c r="D17" s="63"/>
      <c r="E17" s="64"/>
      <c r="F17" s="64"/>
      <c r="G17" s="64"/>
      <c r="H17" s="64"/>
      <c r="I17" s="64"/>
      <c r="J17" s="64"/>
      <c r="K17" s="64"/>
    </row>
    <row r="18" spans="2:11" ht="18" customHeight="1">
      <c r="B18" s="69" t="s">
        <v>73</v>
      </c>
      <c r="C18" s="66" t="s">
        <v>77</v>
      </c>
      <c r="D18" s="63"/>
      <c r="E18" s="64"/>
      <c r="F18" s="64"/>
      <c r="G18" s="64"/>
      <c r="H18" s="64"/>
      <c r="I18" s="64"/>
      <c r="J18" s="64"/>
      <c r="K18" s="64"/>
    </row>
    <row r="19" spans="2:11" ht="18" customHeight="1">
      <c r="B19" s="69" t="s">
        <v>73</v>
      </c>
      <c r="C19" s="70" t="s">
        <v>78</v>
      </c>
      <c r="D19" s="63"/>
      <c r="E19" s="64"/>
      <c r="F19" s="64"/>
      <c r="G19" s="64"/>
      <c r="H19" s="64"/>
      <c r="I19" s="64"/>
      <c r="J19" s="64"/>
      <c r="K19" s="64"/>
    </row>
    <row r="20" spans="2:11" ht="18" customHeight="1">
      <c r="B20" s="69" t="s">
        <v>73</v>
      </c>
      <c r="C20" s="66" t="s">
        <v>79</v>
      </c>
      <c r="D20" s="63"/>
      <c r="E20" s="64"/>
      <c r="F20" s="64"/>
      <c r="G20" s="64"/>
      <c r="H20" s="64"/>
      <c r="I20" s="64"/>
      <c r="J20" s="64"/>
      <c r="K20" s="64"/>
    </row>
    <row r="21" spans="2:11" ht="18" customHeight="1">
      <c r="B21" s="730" t="s">
        <v>80</v>
      </c>
      <c r="C21" s="730"/>
      <c r="D21" s="67"/>
      <c r="E21" s="64"/>
      <c r="F21" s="64"/>
      <c r="G21" s="64"/>
      <c r="H21" s="64"/>
      <c r="I21" s="64"/>
      <c r="J21" s="64"/>
      <c r="K21" s="64"/>
    </row>
    <row r="22" spans="2:11" ht="54" customHeight="1">
      <c r="B22" s="69" t="s">
        <v>73</v>
      </c>
      <c r="C22" s="66" t="s">
        <v>81</v>
      </c>
      <c r="D22" s="63"/>
      <c r="E22" s="64"/>
      <c r="F22" s="64"/>
      <c r="G22" s="64"/>
      <c r="H22" s="64"/>
      <c r="I22" s="64"/>
      <c r="J22" s="64"/>
      <c r="K22" s="64"/>
    </row>
    <row r="23" spans="2:11" ht="54" customHeight="1">
      <c r="B23" s="69" t="s">
        <v>73</v>
      </c>
      <c r="C23" s="66" t="s">
        <v>82</v>
      </c>
      <c r="D23" s="63"/>
      <c r="E23" s="64"/>
      <c r="F23" s="64"/>
      <c r="G23" s="64"/>
      <c r="H23" s="64"/>
      <c r="I23" s="64"/>
      <c r="J23" s="64"/>
      <c r="K23" s="64"/>
    </row>
    <row r="24" spans="2:11" ht="57.6" customHeight="1">
      <c r="B24" s="69" t="s">
        <v>73</v>
      </c>
      <c r="C24" s="66" t="s">
        <v>83</v>
      </c>
      <c r="D24" s="63"/>
      <c r="E24" s="64"/>
      <c r="F24" s="64"/>
      <c r="G24" s="64"/>
      <c r="H24" s="64"/>
      <c r="I24" s="64"/>
      <c r="J24" s="64"/>
      <c r="K24" s="64"/>
    </row>
    <row r="25" spans="2:11" ht="18" customHeight="1">
      <c r="B25" s="69" t="s">
        <v>73</v>
      </c>
      <c r="C25" s="66" t="s">
        <v>84</v>
      </c>
      <c r="D25" s="63"/>
      <c r="E25" s="64"/>
      <c r="F25" s="64"/>
      <c r="G25" s="64"/>
      <c r="H25" s="64"/>
      <c r="I25" s="64"/>
      <c r="J25" s="64"/>
      <c r="K25" s="64"/>
    </row>
    <row r="26" spans="2:11" ht="38.1" customHeight="1">
      <c r="B26" s="69" t="s">
        <v>73</v>
      </c>
      <c r="C26" s="66" t="s">
        <v>85</v>
      </c>
      <c r="D26" s="63"/>
      <c r="E26" s="64"/>
      <c r="F26" s="64"/>
      <c r="G26" s="64"/>
      <c r="H26" s="64"/>
      <c r="I26" s="64"/>
      <c r="J26" s="64"/>
      <c r="K26" s="64"/>
    </row>
    <row r="27" spans="2:11" ht="18" customHeight="1">
      <c r="B27" s="730" t="s">
        <v>86</v>
      </c>
      <c r="C27" s="730"/>
      <c r="D27" s="67"/>
      <c r="E27" s="64"/>
      <c r="F27" s="64"/>
      <c r="G27" s="64"/>
      <c r="H27" s="64"/>
      <c r="I27" s="64"/>
      <c r="J27" s="64"/>
      <c r="K27" s="64"/>
    </row>
    <row r="28" spans="2:11" ht="54" customHeight="1">
      <c r="B28" s="69" t="s">
        <v>73</v>
      </c>
      <c r="C28" s="66" t="s">
        <v>81</v>
      </c>
      <c r="D28" s="63"/>
      <c r="E28" s="64"/>
      <c r="F28" s="64"/>
      <c r="G28" s="64"/>
      <c r="H28" s="64"/>
      <c r="I28" s="64"/>
      <c r="J28" s="64"/>
      <c r="K28" s="64"/>
    </row>
    <row r="29" spans="2:11" ht="18" customHeight="1">
      <c r="B29" s="69" t="s">
        <v>73</v>
      </c>
      <c r="C29" s="66" t="s">
        <v>84</v>
      </c>
      <c r="D29" s="63"/>
      <c r="E29" s="64"/>
      <c r="F29" s="64"/>
      <c r="G29" s="64"/>
      <c r="H29" s="64"/>
      <c r="I29" s="64"/>
      <c r="J29" s="64"/>
      <c r="K29" s="64"/>
    </row>
    <row r="30" spans="2:11" ht="18" customHeight="1">
      <c r="B30" s="730" t="s">
        <v>87</v>
      </c>
      <c r="C30" s="730"/>
      <c r="D30" s="67"/>
    </row>
    <row r="31" spans="2:11" ht="54" customHeight="1">
      <c r="B31" s="69" t="s">
        <v>73</v>
      </c>
      <c r="C31" s="66" t="s">
        <v>81</v>
      </c>
      <c r="D31" s="63"/>
      <c r="E31" s="64"/>
      <c r="F31" s="64"/>
      <c r="G31" s="64"/>
      <c r="H31" s="64"/>
      <c r="I31" s="64"/>
      <c r="J31" s="64"/>
      <c r="K31" s="64"/>
    </row>
    <row r="32" spans="2:11" ht="18" customHeight="1">
      <c r="B32" s="69" t="s">
        <v>73</v>
      </c>
      <c r="C32" s="66" t="s">
        <v>84</v>
      </c>
      <c r="D32" s="63"/>
    </row>
    <row r="33" spans="2:11" ht="18" customHeight="1">
      <c r="B33" s="730" t="s">
        <v>88</v>
      </c>
      <c r="C33" s="730"/>
      <c r="D33" s="67"/>
    </row>
    <row r="34" spans="2:11" ht="18" customHeight="1">
      <c r="B34" s="69" t="s">
        <v>73</v>
      </c>
      <c r="C34" s="66" t="s">
        <v>89</v>
      </c>
      <c r="D34" s="63"/>
    </row>
    <row r="35" spans="2:11" ht="18" customHeight="1">
      <c r="B35" s="730" t="s">
        <v>90</v>
      </c>
      <c r="C35" s="730"/>
      <c r="D35" s="67"/>
    </row>
    <row r="36" spans="2:11" ht="66.599999999999994" customHeight="1">
      <c r="B36" s="69" t="s">
        <v>73</v>
      </c>
      <c r="C36" s="66" t="s">
        <v>91</v>
      </c>
      <c r="D36" s="63"/>
      <c r="E36" s="64"/>
      <c r="F36" s="64"/>
      <c r="G36" s="64"/>
      <c r="H36" s="64"/>
      <c r="I36" s="64"/>
      <c r="J36" s="64"/>
      <c r="K36" s="64"/>
    </row>
    <row r="37" spans="2:11" ht="146.1" customHeight="1">
      <c r="B37" s="69" t="s">
        <v>73</v>
      </c>
      <c r="C37" s="66" t="s">
        <v>92</v>
      </c>
      <c r="D37" s="63"/>
      <c r="E37" s="64"/>
      <c r="F37" s="64"/>
      <c r="G37" s="64"/>
      <c r="H37" s="64"/>
      <c r="I37" s="64"/>
      <c r="J37" s="64"/>
      <c r="K37" s="64"/>
    </row>
    <row r="38" spans="2:11" ht="164.1" customHeight="1">
      <c r="B38" s="69" t="s">
        <v>73</v>
      </c>
      <c r="C38" s="66" t="s">
        <v>93</v>
      </c>
      <c r="D38" s="63"/>
      <c r="E38" s="64"/>
      <c r="F38" s="64"/>
      <c r="G38" s="64"/>
      <c r="H38" s="64"/>
      <c r="I38" s="64"/>
      <c r="J38" s="64"/>
      <c r="K38" s="64"/>
    </row>
    <row r="39" spans="2:11" ht="75.95" customHeight="1">
      <c r="B39" s="69" t="s">
        <v>73</v>
      </c>
      <c r="C39" s="66" t="s">
        <v>94</v>
      </c>
      <c r="D39" s="63"/>
      <c r="E39" s="64"/>
      <c r="F39" s="64"/>
      <c r="G39" s="64"/>
      <c r="H39" s="64"/>
      <c r="I39" s="64"/>
      <c r="J39" s="64"/>
      <c r="K39" s="64"/>
    </row>
    <row r="40" spans="2:11" ht="38.1" customHeight="1">
      <c r="B40" s="69" t="s">
        <v>73</v>
      </c>
      <c r="C40" s="66" t="s">
        <v>95</v>
      </c>
    </row>
    <row r="41" spans="2:11" ht="18" customHeight="1">
      <c r="B41" s="730" t="s">
        <v>96</v>
      </c>
      <c r="C41" s="730"/>
    </row>
    <row r="42" spans="2:11" ht="38.1" customHeight="1">
      <c r="B42" s="69" t="s">
        <v>73</v>
      </c>
      <c r="C42" s="66" t="s">
        <v>97</v>
      </c>
    </row>
    <row r="43" spans="2:11" ht="18" customHeight="1">
      <c r="B43" s="69" t="s">
        <v>73</v>
      </c>
      <c r="C43" s="71" t="s">
        <v>98</v>
      </c>
    </row>
    <row r="44" spans="2:11" ht="18" customHeight="1">
      <c r="B44" s="730" t="s">
        <v>99</v>
      </c>
      <c r="C44" s="730"/>
    </row>
    <row r="45" spans="2:11" ht="38.1" customHeight="1">
      <c r="B45" s="69" t="s">
        <v>73</v>
      </c>
      <c r="C45" s="66" t="s">
        <v>100</v>
      </c>
    </row>
    <row r="46" spans="2:11" ht="18" customHeight="1">
      <c r="B46" s="69" t="s">
        <v>73</v>
      </c>
      <c r="C46" s="71" t="s">
        <v>98</v>
      </c>
    </row>
    <row r="47" spans="2:11" ht="18" customHeight="1">
      <c r="B47" s="730" t="s">
        <v>101</v>
      </c>
      <c r="C47" s="730" t="s">
        <v>102</v>
      </c>
    </row>
    <row r="48" spans="2:11" ht="48" customHeight="1">
      <c r="B48" s="69" t="s">
        <v>73</v>
      </c>
      <c r="C48" s="66" t="s">
        <v>103</v>
      </c>
    </row>
    <row r="49" spans="1:11" ht="18" customHeight="1">
      <c r="B49" s="69" t="s">
        <v>73</v>
      </c>
      <c r="C49" s="71" t="s">
        <v>98</v>
      </c>
    </row>
    <row r="50" spans="1:11" ht="18" customHeight="1">
      <c r="B50" s="730" t="s">
        <v>104</v>
      </c>
      <c r="C50" s="730"/>
    </row>
    <row r="51" spans="1:11" ht="38.1" customHeight="1">
      <c r="B51" s="69" t="s">
        <v>73</v>
      </c>
      <c r="C51" s="66" t="s">
        <v>105</v>
      </c>
    </row>
    <row r="52" spans="1:11" ht="38.1" customHeight="1">
      <c r="B52" s="69" t="s">
        <v>73</v>
      </c>
      <c r="C52" s="66" t="s">
        <v>106</v>
      </c>
    </row>
    <row r="53" spans="1:11" ht="18" customHeight="1">
      <c r="B53" s="730" t="s">
        <v>107</v>
      </c>
      <c r="C53" s="730"/>
    </row>
    <row r="54" spans="1:11" ht="18" customHeight="1">
      <c r="B54" s="69" t="s">
        <v>73</v>
      </c>
      <c r="C54" s="72" t="s">
        <v>108</v>
      </c>
    </row>
    <row r="55" spans="1:11" ht="18" customHeight="1">
      <c r="B55" s="69" t="s">
        <v>73</v>
      </c>
      <c r="C55" s="72" t="s">
        <v>109</v>
      </c>
    </row>
    <row r="56" spans="1:11" ht="18" customHeight="1">
      <c r="B56" s="730" t="s">
        <v>110</v>
      </c>
      <c r="C56" s="730"/>
    </row>
    <row r="57" spans="1:11" ht="18" customHeight="1">
      <c r="B57" s="69" t="s">
        <v>73</v>
      </c>
      <c r="C57" s="66" t="s">
        <v>111</v>
      </c>
      <c r="D57" s="63"/>
      <c r="E57" s="64"/>
      <c r="F57" s="64"/>
      <c r="G57" s="64"/>
      <c r="H57" s="64"/>
      <c r="I57" s="64"/>
      <c r="J57" s="64"/>
      <c r="K57" s="64"/>
    </row>
    <row r="58" spans="1:11" ht="18" customHeight="1">
      <c r="B58" s="69" t="s">
        <v>73</v>
      </c>
      <c r="C58" s="66" t="s">
        <v>112</v>
      </c>
      <c r="D58" s="63"/>
      <c r="E58" s="64"/>
      <c r="F58" s="64"/>
      <c r="G58" s="64"/>
      <c r="H58" s="64"/>
      <c r="I58" s="64"/>
      <c r="J58" s="64"/>
      <c r="K58" s="64"/>
    </row>
    <row r="59" spans="1:11" ht="36" customHeight="1">
      <c r="B59" s="69" t="s">
        <v>73</v>
      </c>
      <c r="C59" s="66" t="s">
        <v>113</v>
      </c>
      <c r="D59" s="63"/>
      <c r="E59" s="64"/>
      <c r="F59" s="64"/>
      <c r="G59" s="64"/>
      <c r="H59" s="64"/>
      <c r="I59" s="64"/>
      <c r="J59" s="64"/>
      <c r="K59" s="64"/>
    </row>
    <row r="60" spans="1:11" ht="18" customHeight="1">
      <c r="B60" s="69" t="s">
        <v>73</v>
      </c>
      <c r="C60" s="66" t="s">
        <v>114</v>
      </c>
      <c r="D60" s="63"/>
      <c r="E60" s="64"/>
      <c r="F60" s="64"/>
      <c r="G60" s="64"/>
      <c r="H60" s="64"/>
      <c r="I60" s="64"/>
      <c r="J60" s="64"/>
      <c r="K60" s="64"/>
    </row>
    <row r="61" spans="1:11" ht="18" customHeight="1">
      <c r="A61" s="60"/>
      <c r="C61" s="73"/>
    </row>
    <row r="62" spans="1:11" ht="18" customHeight="1">
      <c r="A62" s="731"/>
      <c r="B62" s="731"/>
      <c r="C62" s="731"/>
      <c r="D62" s="74"/>
    </row>
    <row r="63" spans="1:11" ht="18" customHeight="1">
      <c r="A63" s="728" t="s">
        <v>115</v>
      </c>
      <c r="B63" s="728"/>
      <c r="C63" s="728"/>
      <c r="D63" s="74"/>
    </row>
    <row r="64" spans="1:11" ht="36" customHeight="1">
      <c r="A64" s="729" t="s">
        <v>116</v>
      </c>
      <c r="B64" s="729"/>
      <c r="C64" s="729"/>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 guid="{9E88A623-8EDB-47F0-815B-9C48385C3E73}" showGridLines="0" state="hidden" topLeftCell="A43">
      <selection activeCell="A36" sqref="A36:IV36"/>
      <rowBreaks count="1" manualBreakCount="1">
        <brk id="29" max="2" man="1"/>
      </rowBreaks>
      <pageMargins left="0.75" right="0.75" top="0.55000000000000004" bottom="0.47" header="0.32" footer="0.25"/>
      <pageSetup orientation="portrait" r:id="rId16"/>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7"/>
  <headerFooter alignWithMargins="0">
    <oddFooter>&amp;RPage &amp;P of &amp;N</oddFooter>
  </headerFooter>
  <rowBreaks count="1" manualBreakCount="1">
    <brk id="29" max="2"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4" zoomScaleSheetLayoutView="100" workbookViewId="0">
      <selection activeCell="F27" sqref="F27"/>
    </sheetView>
  </sheetViews>
  <sheetFormatPr defaultColWidth="9.140625" defaultRowHeight="15.75"/>
  <cols>
    <col min="1" max="1" width="3.7109375" style="506" customWidth="1"/>
    <col min="2" max="2" width="33" style="503" customWidth="1"/>
    <col min="3" max="3" width="11.7109375" style="503" customWidth="1"/>
    <col min="4" max="5" width="6.42578125" style="503" customWidth="1"/>
    <col min="6" max="6" width="8.85546875" style="506" customWidth="1"/>
    <col min="7" max="7" width="39" style="506" customWidth="1"/>
    <col min="8" max="8" width="11.85546875" style="506" hidden="1" customWidth="1"/>
    <col min="9" max="10" width="11.85546875" style="506" customWidth="1"/>
    <col min="11" max="11" width="11.85546875" style="506" hidden="1" customWidth="1"/>
    <col min="12" max="25" width="11.85546875" style="506" customWidth="1"/>
    <col min="26" max="26" width="9.140625" style="506" customWidth="1"/>
    <col min="27" max="27" width="15.28515625" style="506" customWidth="1"/>
    <col min="28" max="16384" width="9.140625" style="506"/>
  </cols>
  <sheetData>
    <row r="1" spans="1:29" s="503" customFormat="1" ht="105.75" customHeight="1">
      <c r="A1" s="503" t="s">
        <v>477</v>
      </c>
      <c r="B1" s="745"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C1" s="745"/>
      <c r="D1" s="745"/>
      <c r="E1" s="745"/>
      <c r="F1" s="745"/>
      <c r="G1" s="745"/>
      <c r="H1" s="504"/>
      <c r="I1" s="504"/>
      <c r="J1" s="504"/>
      <c r="K1" s="504"/>
      <c r="L1" s="504"/>
      <c r="M1" s="504"/>
      <c r="N1" s="504"/>
      <c r="O1" s="504"/>
      <c r="P1" s="504"/>
      <c r="Q1" s="504"/>
      <c r="R1" s="504"/>
      <c r="S1" s="504"/>
      <c r="T1" s="504"/>
      <c r="U1" s="504"/>
      <c r="V1" s="504"/>
      <c r="W1" s="504"/>
      <c r="X1" s="504"/>
      <c r="Y1" s="504"/>
      <c r="AA1" s="505"/>
      <c r="AB1" s="505"/>
      <c r="AC1" s="505"/>
    </row>
    <row r="2" spans="1:29" ht="16.5" customHeight="1">
      <c r="B2" s="746" t="str">
        <f>Cover!B3</f>
        <v>Spec. No: CC/NT/W-RT/DOM/A00/23/02849</v>
      </c>
      <c r="C2" s="746"/>
      <c r="D2" s="746"/>
      <c r="E2" s="746"/>
      <c r="F2" s="746"/>
      <c r="G2" s="746"/>
      <c r="H2" s="503"/>
      <c r="I2" s="503"/>
      <c r="J2" s="503"/>
      <c r="K2" s="503"/>
      <c r="L2" s="503"/>
      <c r="M2" s="503"/>
      <c r="N2" s="503"/>
      <c r="O2" s="503"/>
      <c r="P2" s="503"/>
      <c r="Q2" s="503"/>
      <c r="R2" s="503"/>
      <c r="S2" s="503"/>
      <c r="T2" s="503"/>
      <c r="U2" s="503"/>
      <c r="V2" s="503"/>
      <c r="W2" s="503"/>
      <c r="X2" s="503"/>
      <c r="Y2" s="503"/>
      <c r="AA2" s="506" t="s">
        <v>117</v>
      </c>
      <c r="AB2" s="507">
        <v>1</v>
      </c>
      <c r="AC2" s="508"/>
    </row>
    <row r="3" spans="1:29" ht="12" customHeight="1">
      <c r="B3" s="509"/>
      <c r="C3" s="509"/>
      <c r="D3" s="509"/>
      <c r="E3" s="509"/>
      <c r="F3" s="503"/>
      <c r="G3" s="503"/>
      <c r="H3" s="503"/>
      <c r="I3" s="503"/>
      <c r="J3" s="503"/>
      <c r="K3" s="503"/>
      <c r="L3" s="503"/>
      <c r="M3" s="503"/>
      <c r="N3" s="503"/>
      <c r="O3" s="503"/>
      <c r="P3" s="503"/>
      <c r="Q3" s="503"/>
      <c r="R3" s="503"/>
      <c r="S3" s="503"/>
      <c r="T3" s="503"/>
      <c r="U3" s="503"/>
      <c r="V3" s="503"/>
      <c r="W3" s="503"/>
      <c r="X3" s="503"/>
      <c r="Y3" s="503"/>
      <c r="AA3" s="506" t="s">
        <v>118</v>
      </c>
      <c r="AB3" s="507" t="s">
        <v>119</v>
      </c>
      <c r="AC3" s="508"/>
    </row>
    <row r="4" spans="1:29" ht="20.100000000000001" customHeight="1">
      <c r="B4" s="747" t="s">
        <v>120</v>
      </c>
      <c r="C4" s="747"/>
      <c r="D4" s="747"/>
      <c r="E4" s="747"/>
      <c r="F4" s="747"/>
      <c r="G4" s="747"/>
      <c r="H4" s="503"/>
      <c r="I4" s="503"/>
      <c r="J4" s="503"/>
      <c r="K4" s="503"/>
      <c r="L4" s="503"/>
      <c r="M4" s="503"/>
      <c r="N4" s="503"/>
      <c r="O4" s="503"/>
      <c r="P4" s="503"/>
      <c r="Q4" s="503"/>
      <c r="R4" s="503"/>
      <c r="S4" s="503"/>
      <c r="T4" s="503"/>
      <c r="U4" s="503"/>
      <c r="V4" s="503"/>
      <c r="W4" s="503"/>
      <c r="X4" s="503"/>
      <c r="Y4" s="503"/>
      <c r="AB4" s="507"/>
      <c r="AC4" s="508"/>
    </row>
    <row r="5" spans="1:29" ht="12" customHeight="1">
      <c r="B5" s="510"/>
      <c r="C5" s="510"/>
      <c r="F5" s="503"/>
      <c r="G5" s="503"/>
      <c r="H5" s="503"/>
      <c r="I5" s="503"/>
      <c r="J5" s="503"/>
      <c r="K5" s="503"/>
      <c r="L5" s="503"/>
      <c r="M5" s="503"/>
      <c r="N5" s="503"/>
      <c r="O5" s="503"/>
      <c r="P5" s="503"/>
      <c r="Q5" s="503"/>
      <c r="R5" s="503"/>
      <c r="S5" s="503"/>
      <c r="T5" s="503"/>
      <c r="U5" s="503"/>
      <c r="V5" s="503"/>
      <c r="W5" s="503"/>
      <c r="X5" s="503"/>
      <c r="Y5" s="503"/>
      <c r="AA5" s="508"/>
      <c r="AB5" s="508"/>
      <c r="AC5" s="508"/>
    </row>
    <row r="6" spans="1:29" s="503" customFormat="1" ht="50.25" customHeight="1">
      <c r="B6" s="752" t="s">
        <v>350</v>
      </c>
      <c r="C6" s="752"/>
      <c r="D6" s="748" t="s">
        <v>117</v>
      </c>
      <c r="E6" s="748"/>
      <c r="F6" s="748"/>
      <c r="G6" s="748"/>
      <c r="H6" s="511"/>
      <c r="I6" s="511"/>
      <c r="J6" s="511"/>
      <c r="K6" s="530">
        <f>IF(D6="Sole Bidder", 1,2)</f>
        <v>1</v>
      </c>
      <c r="L6" s="511"/>
      <c r="M6" s="511"/>
      <c r="N6" s="511"/>
      <c r="O6" s="511"/>
      <c r="P6" s="511"/>
      <c r="Q6" s="511"/>
      <c r="R6" s="511"/>
      <c r="S6" s="511"/>
      <c r="U6" s="511"/>
      <c r="V6" s="511"/>
      <c r="W6" s="511"/>
      <c r="X6" s="511"/>
      <c r="Y6" s="511"/>
      <c r="AA6" s="512">
        <f>IF(D6= "Sole Bidder", 0, D7)</f>
        <v>0</v>
      </c>
      <c r="AB6" s="505"/>
      <c r="AC6" s="505"/>
    </row>
    <row r="7" spans="1:29" ht="50.1" customHeight="1">
      <c r="B7" s="513" t="str">
        <f>IF(D6= "JV (Joint Venture)", "Total Nos. of  Partners in the JV [excluding the Lead Partner]", "")</f>
        <v/>
      </c>
      <c r="C7" s="514"/>
      <c r="D7" s="749" t="s">
        <v>119</v>
      </c>
      <c r="E7" s="750"/>
      <c r="F7" s="750"/>
      <c r="G7" s="751"/>
      <c r="AA7" s="508"/>
      <c r="AB7" s="508"/>
      <c r="AC7" s="508"/>
    </row>
    <row r="8" spans="1:29" ht="19.5" customHeight="1">
      <c r="B8" s="515"/>
      <c r="C8" s="515"/>
      <c r="D8" s="511"/>
    </row>
    <row r="9" spans="1:29" ht="20.100000000000001" customHeight="1">
      <c r="B9" s="516" t="str">
        <f>IF(D6= "Sole Bidder", "Name of Sole Bidder", "Name of Lead Partner")</f>
        <v>Name of Sole Bidder</v>
      </c>
      <c r="C9" s="517"/>
      <c r="D9" s="733"/>
      <c r="E9" s="734"/>
      <c r="F9" s="734"/>
      <c r="G9" s="735"/>
    </row>
    <row r="10" spans="1:29" ht="20.100000000000001" customHeight="1">
      <c r="B10" s="518" t="str">
        <f>IF(D6= "Sole Bidder", "Address of Sole Bidder", "Address of Lead Partner")</f>
        <v>Address of Sole Bidder</v>
      </c>
      <c r="C10" s="519"/>
      <c r="D10" s="733"/>
      <c r="E10" s="734"/>
      <c r="F10" s="734"/>
      <c r="G10" s="735"/>
    </row>
    <row r="11" spans="1:29" ht="20.100000000000001" customHeight="1">
      <c r="B11" s="520"/>
      <c r="C11" s="521"/>
      <c r="D11" s="733"/>
      <c r="E11" s="734"/>
      <c r="F11" s="734"/>
      <c r="G11" s="735"/>
    </row>
    <row r="12" spans="1:29" ht="20.100000000000001" customHeight="1">
      <c r="B12" s="522"/>
      <c r="C12" s="523"/>
      <c r="D12" s="733"/>
      <c r="E12" s="734"/>
      <c r="F12" s="734"/>
      <c r="G12" s="735"/>
    </row>
    <row r="13" spans="1:29" ht="20.100000000000001" customHeight="1"/>
    <row r="14" spans="1:29" ht="20.100000000000001" customHeight="1">
      <c r="B14" s="516" t="str">
        <f>IF(D6="JV (Joint Venture)", "Name of other Partner","Name of other Partner - 1")</f>
        <v>Name of other Partner - 1</v>
      </c>
      <c r="C14" s="517"/>
      <c r="D14" s="739"/>
      <c r="E14" s="740"/>
      <c r="F14" s="740"/>
      <c r="G14" s="741"/>
    </row>
    <row r="15" spans="1:29" ht="20.100000000000001" customHeight="1">
      <c r="B15" s="518" t="str">
        <f>IF(D6="JV (Joint Venture)", "Address of other Partner","Address of other Partner - 1")</f>
        <v>Address of other Partner - 1</v>
      </c>
      <c r="C15" s="519"/>
      <c r="D15" s="742"/>
      <c r="E15" s="743"/>
      <c r="F15" s="743"/>
      <c r="G15" s="744"/>
    </row>
    <row r="16" spans="1:29" ht="20.100000000000001" customHeight="1">
      <c r="B16" s="520"/>
      <c r="C16" s="521"/>
      <c r="D16" s="742"/>
      <c r="E16" s="743"/>
      <c r="F16" s="743"/>
      <c r="G16" s="744"/>
    </row>
    <row r="17" spans="2:8" ht="20.100000000000001" customHeight="1">
      <c r="B17" s="522"/>
      <c r="C17" s="523"/>
      <c r="D17" s="742"/>
      <c r="E17" s="743"/>
      <c r="F17" s="743"/>
      <c r="G17" s="744"/>
    </row>
    <row r="18" spans="2:8" ht="20.100000000000001" customHeight="1"/>
    <row r="19" spans="2:8" ht="20.100000000000001" hidden="1" customHeight="1">
      <c r="B19" s="516" t="s">
        <v>122</v>
      </c>
      <c r="C19" s="517"/>
      <c r="D19" s="739" t="s">
        <v>121</v>
      </c>
      <c r="E19" s="740"/>
      <c r="F19" s="740"/>
      <c r="G19" s="741"/>
    </row>
    <row r="20" spans="2:8" ht="20.100000000000001" hidden="1" customHeight="1">
      <c r="B20" s="518" t="s">
        <v>123</v>
      </c>
      <c r="C20" s="519"/>
      <c r="D20" s="739" t="s">
        <v>121</v>
      </c>
      <c r="E20" s="740"/>
      <c r="F20" s="740"/>
      <c r="G20" s="741"/>
    </row>
    <row r="21" spans="2:8" ht="20.100000000000001" hidden="1" customHeight="1">
      <c r="B21" s="520"/>
      <c r="C21" s="521"/>
      <c r="D21" s="739" t="s">
        <v>121</v>
      </c>
      <c r="E21" s="740"/>
      <c r="F21" s="740"/>
      <c r="G21" s="741"/>
    </row>
    <row r="22" spans="2:8" ht="20.100000000000001" hidden="1" customHeight="1">
      <c r="B22" s="522"/>
      <c r="C22" s="523"/>
      <c r="D22" s="739" t="s">
        <v>121</v>
      </c>
      <c r="E22" s="740"/>
      <c r="F22" s="740"/>
      <c r="G22" s="741"/>
    </row>
    <row r="23" spans="2:8" ht="20.100000000000001" customHeight="1"/>
    <row r="24" spans="2:8" ht="21" customHeight="1">
      <c r="B24" s="524" t="s">
        <v>124</v>
      </c>
      <c r="C24" s="525"/>
      <c r="D24" s="736"/>
      <c r="E24" s="737"/>
      <c r="F24" s="737"/>
      <c r="G24" s="738"/>
    </row>
    <row r="25" spans="2:8" ht="21" customHeight="1">
      <c r="B25" s="524" t="s">
        <v>125</v>
      </c>
      <c r="C25" s="525"/>
      <c r="D25" s="736"/>
      <c r="E25" s="737"/>
      <c r="F25" s="737"/>
      <c r="G25" s="738"/>
    </row>
    <row r="26" spans="2:8" ht="21" customHeight="1">
      <c r="B26" s="526"/>
      <c r="C26" s="526"/>
      <c r="D26" s="526"/>
    </row>
    <row r="27" spans="2:8" s="503" customFormat="1" ht="21" customHeight="1">
      <c r="B27" s="524" t="s">
        <v>126</v>
      </c>
      <c r="C27" s="525"/>
      <c r="D27" s="527"/>
      <c r="E27" s="529"/>
      <c r="F27" s="527"/>
      <c r="G27" s="528" t="str">
        <f>IF(D27&gt;H27, "Invalid Date !", "")</f>
        <v/>
      </c>
      <c r="H27" s="505">
        <f>IF(E27="Feb",28,IF(OR(E27="Apr", E27="Jun", E27="Sep", E27="Nov"),30,31))</f>
        <v>31</v>
      </c>
    </row>
    <row r="28" spans="2:8" ht="21" customHeight="1">
      <c r="B28" s="524" t="s">
        <v>127</v>
      </c>
      <c r="C28" s="525"/>
      <c r="D28" s="739"/>
      <c r="E28" s="753"/>
      <c r="F28" s="753"/>
      <c r="G28" s="754"/>
    </row>
    <row r="29" spans="2:8">
      <c r="E29" s="506"/>
    </row>
  </sheetData>
  <sheetProtection algorithmName="SHA-512" hashValue="qQ6JvmiR5cntPbsTrdcxornjYuMh6pAvVFrpTiKiOBPvLwTCYH3PsF3sAPvQJYGkhXWEKtnHRwMF2oepfgKoyA==" saltValue="giIHLtkg9yNV3LPaFHotdQ==" spinCount="100000" sheet="1" formatColumns="0" formatRows="0" selectLockedCells="1"/>
  <customSheetViews>
    <customSheetView guid="{CCA37BAE-906F-43D5-9FD9-B13563E4B9D7}" showGridLines="0" printArea="1" hiddenRows="1" hiddenColumns="1" view="pageBreakPreview" topLeftCell="A4">
      <selection activeCell="F27" sqref="F27"/>
      <pageMargins left="0.75" right="0.75" top="0.69" bottom="0.7" header="0.4" footer="0.37"/>
      <pageSetup scale="86" orientation="portrait" r:id="rId1"/>
      <headerFooter alignWithMargins="0"/>
    </customSheetView>
    <customSheetView guid="{84F40905-A9D3-43A5-987A-8A757D486A94}" showGridLines="0" printArea="1" hiddenRows="1" hiddenColumns="1" view="pageBreakPreview">
      <selection activeCell="D25" sqref="D25:G25"/>
      <pageMargins left="0.75" right="0.75" top="0.69" bottom="0.7" header="0.4" footer="0.37"/>
      <pageSetup scale="86" orientation="portrait" r:id="rId2"/>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5"/>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6"/>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7"/>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11"/>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1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15"/>
      <headerFooter alignWithMargins="0"/>
    </customSheetView>
    <customSheetView guid="{9E88A623-8EDB-47F0-815B-9C48385C3E73}" showGridLines="0" printArea="1" hiddenRows="1" hiddenColumns="1" view="pageBreakPreview">
      <selection activeCell="D25" sqref="D25:G25"/>
      <pageMargins left="0.75" right="0.75" top="0.69" bottom="0.7" header="0.4" footer="0.37"/>
      <pageSetup scale="86" orientation="portrait" r:id="rId16"/>
      <headerFooter alignWithMargins="0"/>
    </customSheetView>
  </customSheetViews>
  <mergeCells count="21">
    <mergeCell ref="D28:G28"/>
    <mergeCell ref="D14:G14"/>
    <mergeCell ref="D22:G22"/>
    <mergeCell ref="D16:G16"/>
    <mergeCell ref="D17:G17"/>
    <mergeCell ref="D21:G21"/>
    <mergeCell ref="D25:G25"/>
    <mergeCell ref="B1:G1"/>
    <mergeCell ref="B2:G2"/>
    <mergeCell ref="B4:G4"/>
    <mergeCell ref="D6:G6"/>
    <mergeCell ref="D7:G7"/>
    <mergeCell ref="B6:C6"/>
    <mergeCell ref="D9:G9"/>
    <mergeCell ref="D10:G10"/>
    <mergeCell ref="D11:G11"/>
    <mergeCell ref="D12:G12"/>
    <mergeCell ref="D24:G24"/>
    <mergeCell ref="D19:G19"/>
    <mergeCell ref="D20:G20"/>
    <mergeCell ref="D15:G15"/>
  </mergeCells>
  <conditionalFormatting sqref="B19:C22">
    <cfRule type="expression" dxfId="32" priority="3" stopIfTrue="1">
      <formula>$AA$6&lt;2</formula>
    </cfRule>
  </conditionalFormatting>
  <conditionalFormatting sqref="B14:C17">
    <cfRule type="expression" dxfId="31" priority="4" stopIfTrue="1">
      <formula>$AA$6&lt;1</formula>
    </cfRule>
  </conditionalFormatting>
  <conditionalFormatting sqref="B7:G7">
    <cfRule type="expression" dxfId="30" priority="5" stopIfTrue="1">
      <formula>$D$6="Sole Bidder"</formula>
    </cfRule>
  </conditionalFormatting>
  <conditionalFormatting sqref="D14:G17">
    <cfRule type="expression" dxfId="29" priority="2" stopIfTrue="1">
      <formula>$AA$6&lt;1</formula>
    </cfRule>
  </conditionalFormatting>
  <conditionalFormatting sqref="D19:G22">
    <cfRule type="expression" dxfId="28"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90"/>
  <sheetViews>
    <sheetView view="pageBreakPreview" topLeftCell="A13" zoomScale="60" zoomScaleNormal="92" workbookViewId="0">
      <selection activeCell="M18" sqref="M18"/>
    </sheetView>
  </sheetViews>
  <sheetFormatPr defaultColWidth="9.140625" defaultRowHeight="15.75"/>
  <cols>
    <col min="1" max="1" width="4.7109375" style="435" customWidth="1"/>
    <col min="2" max="2" width="18.7109375" style="435" customWidth="1"/>
    <col min="3" max="3" width="8.5703125" style="435" customWidth="1"/>
    <col min="4" max="4" width="24.85546875" style="495" customWidth="1"/>
    <col min="5" max="5" width="18.7109375" style="435" customWidth="1"/>
    <col min="6" max="6" width="15.85546875" style="435" customWidth="1"/>
    <col min="7" max="7" width="21.85546875" style="435" customWidth="1"/>
    <col min="8" max="8" width="12.42578125" style="493" customWidth="1"/>
    <col min="9" max="9" width="22.28515625" style="435" customWidth="1"/>
    <col min="10" max="10" width="61.140625" style="495" customWidth="1"/>
    <col min="11" max="11" width="7.140625" style="435" customWidth="1"/>
    <col min="12" max="12" width="9" style="435" customWidth="1"/>
    <col min="13" max="13" width="26.42578125" style="435" customWidth="1"/>
    <col min="14" max="14" width="21.28515625" style="435" customWidth="1"/>
    <col min="15" max="15" width="14" style="435" hidden="1" customWidth="1"/>
    <col min="16" max="16" width="16.85546875" style="435" hidden="1" customWidth="1"/>
    <col min="17" max="17" width="13" style="435" hidden="1" customWidth="1"/>
    <col min="18" max="18" width="20.140625" style="435" hidden="1" customWidth="1"/>
    <col min="19" max="19" width="16.140625" style="435" hidden="1" customWidth="1"/>
    <col min="20" max="20" width="15" style="435" hidden="1" customWidth="1"/>
    <col min="21" max="21" width="24.5703125" style="435" hidden="1" customWidth="1"/>
    <col min="22" max="22" width="24" style="435" hidden="1" customWidth="1"/>
    <col min="23" max="23" width="9.140625" style="435" hidden="1" customWidth="1"/>
    <col min="24" max="25" width="9.140625" style="435" customWidth="1"/>
    <col min="26" max="33" width="9.140625" style="435" hidden="1" customWidth="1"/>
    <col min="34" max="35" width="9.140625" style="435" customWidth="1"/>
    <col min="36" max="36" width="9.140625" style="435" hidden="1" customWidth="1"/>
    <col min="37" max="37" width="9.140625" style="435" customWidth="1"/>
    <col min="38" max="38" width="0.28515625" style="435" customWidth="1"/>
    <col min="39" max="44" width="9.140625" style="435" customWidth="1"/>
    <col min="45" max="16384" width="9.140625" style="435"/>
  </cols>
  <sheetData>
    <row r="1" spans="1:256" ht="22.5" customHeight="1">
      <c r="A1" s="659" t="str">
        <f>Basic!B5</f>
        <v>Spec. No: CC/NT/W-RT/DOM/A00/23/02849</v>
      </c>
      <c r="B1" s="6"/>
      <c r="C1" s="6"/>
      <c r="D1" s="390"/>
      <c r="E1" s="6"/>
      <c r="F1" s="6"/>
      <c r="G1" s="6"/>
      <c r="H1" s="6"/>
      <c r="I1" s="6"/>
      <c r="J1" s="660"/>
      <c r="K1" s="6"/>
      <c r="L1" s="6"/>
      <c r="M1" s="6"/>
      <c r="N1" s="6" t="s">
        <v>474</v>
      </c>
    </row>
    <row r="2" spans="1:256">
      <c r="A2" s="4"/>
      <c r="B2" s="4"/>
      <c r="C2" s="4"/>
      <c r="D2" s="324"/>
      <c r="E2" s="4"/>
      <c r="F2" s="4"/>
      <c r="G2" s="4"/>
      <c r="H2" s="4"/>
      <c r="I2" s="4"/>
      <c r="J2" s="324"/>
      <c r="K2" s="4"/>
      <c r="L2" s="4"/>
      <c r="M2" s="4"/>
      <c r="N2" s="4"/>
    </row>
    <row r="3" spans="1:256" ht="71.25" customHeight="1">
      <c r="A3" s="755"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755"/>
      <c r="C3" s="755"/>
      <c r="D3" s="755"/>
      <c r="E3" s="755"/>
      <c r="F3" s="755"/>
      <c r="G3" s="755"/>
      <c r="H3" s="755"/>
      <c r="I3" s="755"/>
      <c r="J3" s="755"/>
      <c r="K3" s="755"/>
      <c r="L3" s="755"/>
      <c r="M3" s="755"/>
      <c r="N3" s="755"/>
    </row>
    <row r="4" spans="1:256" ht="16.5">
      <c r="A4" s="756" t="s">
        <v>0</v>
      </c>
      <c r="B4" s="756"/>
      <c r="C4" s="756"/>
      <c r="D4" s="756"/>
      <c r="E4" s="756"/>
      <c r="F4" s="756"/>
      <c r="G4" s="756"/>
      <c r="H4" s="756"/>
      <c r="I4" s="756"/>
      <c r="J4" s="756"/>
      <c r="K4" s="756"/>
      <c r="L4" s="756"/>
      <c r="M4" s="756"/>
      <c r="N4" s="756"/>
    </row>
    <row r="5" spans="1:256" ht="27" customHeight="1">
      <c r="A5" s="531"/>
      <c r="B5" s="531"/>
      <c r="C5" s="531"/>
      <c r="D5" s="531"/>
      <c r="E5" s="531"/>
      <c r="F5" s="531"/>
      <c r="G5" s="531"/>
      <c r="H5" s="531"/>
      <c r="I5" s="531"/>
      <c r="J5" s="531"/>
      <c r="K5" s="531"/>
      <c r="L5" s="531"/>
      <c r="M5" s="531"/>
      <c r="N5" s="531"/>
    </row>
    <row r="6" spans="1:256" ht="23.25" customHeight="1">
      <c r="A6" s="757" t="s">
        <v>349</v>
      </c>
      <c r="B6" s="757"/>
      <c r="C6" s="4"/>
      <c r="D6" s="324"/>
      <c r="E6" s="4"/>
      <c r="F6" s="4"/>
      <c r="G6" s="4"/>
      <c r="H6" s="4"/>
      <c r="I6" s="4"/>
      <c r="J6" s="324"/>
      <c r="K6" s="4"/>
      <c r="L6" s="4"/>
      <c r="M6" s="4"/>
      <c r="N6" s="4"/>
    </row>
    <row r="7" spans="1:256" ht="24" customHeight="1">
      <c r="A7" s="761">
        <f>IF(Z7=1,Z8,"JOINT VENTURE OF "&amp;Z8&amp;" &amp; "&amp;Z9)</f>
        <v>0</v>
      </c>
      <c r="B7" s="761"/>
      <c r="C7" s="761"/>
      <c r="D7" s="761"/>
      <c r="E7" s="761"/>
      <c r="F7" s="761"/>
      <c r="G7" s="761"/>
      <c r="H7" s="761"/>
      <c r="I7" s="761"/>
      <c r="J7" s="377"/>
      <c r="K7" s="418" t="s">
        <v>1</v>
      </c>
      <c r="L7" s="376"/>
      <c r="N7" s="4"/>
      <c r="Z7" s="493">
        <f>'Names of Bidder'!K6</f>
        <v>1</v>
      </c>
    </row>
    <row r="8" spans="1:256" ht="24" customHeight="1">
      <c r="A8" s="758" t="str">
        <f>"Bidder’s Name and Address  (" &amp; MID('Names of Bidder'!B9,9, 20) &amp; ") :"</f>
        <v>Bidder’s Name and Address  (Sole Bidder) :</v>
      </c>
      <c r="B8" s="758"/>
      <c r="C8" s="758"/>
      <c r="D8" s="758"/>
      <c r="E8" s="758"/>
      <c r="F8" s="758"/>
      <c r="G8" s="758"/>
      <c r="H8" s="401"/>
      <c r="I8" s="401"/>
      <c r="J8" s="401"/>
      <c r="K8" s="238" t="s">
        <v>2</v>
      </c>
      <c r="L8" s="401"/>
      <c r="N8" s="4"/>
      <c r="U8" s="491"/>
      <c r="Z8" s="763">
        <f>'Names of Bidder'!D9</f>
        <v>0</v>
      </c>
      <c r="AA8" s="763"/>
      <c r="AB8" s="763"/>
      <c r="AC8" s="763"/>
      <c r="AD8" s="763"/>
      <c r="AE8" s="763"/>
      <c r="AF8" s="763"/>
      <c r="AG8" s="763"/>
      <c r="AH8" s="763"/>
      <c r="AI8" s="763"/>
      <c r="AJ8" s="763"/>
      <c r="AK8" s="763"/>
      <c r="AL8" s="763"/>
    </row>
    <row r="9" spans="1:256" ht="24" customHeight="1">
      <c r="A9" s="422" t="s">
        <v>12</v>
      </c>
      <c r="B9" s="376"/>
      <c r="C9" s="761" t="str">
        <f>IF('Names of Bidder'!D9=0, "", 'Names of Bidder'!D9)</f>
        <v/>
      </c>
      <c r="D9" s="761"/>
      <c r="E9" s="761"/>
      <c r="F9" s="761"/>
      <c r="G9" s="761"/>
      <c r="H9" s="378"/>
      <c r="I9" s="378"/>
      <c r="J9" s="377"/>
      <c r="K9" s="238" t="s">
        <v>3</v>
      </c>
      <c r="N9" s="4"/>
      <c r="U9" s="491"/>
      <c r="Z9" s="763">
        <f>'Names of Bidder'!D14</f>
        <v>0</v>
      </c>
      <c r="AA9" s="763"/>
      <c r="AB9" s="763"/>
      <c r="AC9" s="763"/>
      <c r="AD9" s="763"/>
      <c r="AE9" s="763"/>
      <c r="AF9" s="763"/>
      <c r="AG9" s="763"/>
      <c r="AH9" s="763"/>
      <c r="AI9" s="763"/>
      <c r="AJ9" s="763"/>
      <c r="AK9" s="763"/>
      <c r="AL9" s="763"/>
    </row>
    <row r="10" spans="1:256" ht="24" customHeight="1">
      <c r="A10" s="422" t="s">
        <v>11</v>
      </c>
      <c r="B10" s="376"/>
      <c r="C10" s="760" t="str">
        <f>IF('Names of Bidder'!D10=0, "", 'Names of Bidder'!D10)</f>
        <v/>
      </c>
      <c r="D10" s="760"/>
      <c r="E10" s="760"/>
      <c r="F10" s="760"/>
      <c r="G10" s="760"/>
      <c r="H10" s="378"/>
      <c r="I10" s="378"/>
      <c r="J10" s="377"/>
      <c r="K10" s="238" t="s">
        <v>4</v>
      </c>
      <c r="N10" s="4"/>
      <c r="Z10" s="763" t="str">
        <f>"JOINT VENTURE OF "&amp;Z8&amp;" &amp; "&amp;Z9</f>
        <v>JOINT VENTURE OF 0 &amp; 0</v>
      </c>
      <c r="AA10" s="763"/>
      <c r="AB10" s="763"/>
      <c r="AC10" s="763"/>
      <c r="AD10" s="763"/>
      <c r="AE10" s="763"/>
      <c r="AF10" s="763"/>
      <c r="AG10" s="763"/>
      <c r="AH10" s="763"/>
      <c r="AI10" s="763"/>
      <c r="AJ10" s="763"/>
      <c r="AK10" s="763"/>
      <c r="AL10" s="763"/>
    </row>
    <row r="11" spans="1:256" ht="24" customHeight="1">
      <c r="A11" s="378"/>
      <c r="B11" s="378"/>
      <c r="C11" s="760" t="str">
        <f>IF('Names of Bidder'!D11=0, "", 'Names of Bidder'!D11)</f>
        <v/>
      </c>
      <c r="D11" s="760"/>
      <c r="E11" s="760"/>
      <c r="F11" s="760"/>
      <c r="G11" s="760"/>
      <c r="H11" s="378"/>
      <c r="I11" s="378"/>
      <c r="J11" s="377"/>
      <c r="K11" s="238" t="s">
        <v>5</v>
      </c>
      <c r="N11" s="4"/>
    </row>
    <row r="12" spans="1:256" ht="24" customHeight="1">
      <c r="A12" s="378"/>
      <c r="B12" s="378"/>
      <c r="C12" s="760" t="str">
        <f>IF('Names of Bidder'!D12=0, "", 'Names of Bidder'!D12)</f>
        <v/>
      </c>
      <c r="D12" s="760"/>
      <c r="E12" s="760"/>
      <c r="F12" s="760"/>
      <c r="G12" s="760"/>
      <c r="H12" s="378"/>
      <c r="I12" s="378"/>
      <c r="J12" s="377"/>
      <c r="K12" s="238" t="s">
        <v>6</v>
      </c>
      <c r="N12" s="4"/>
    </row>
    <row r="13" spans="1:256" s="492" customFormat="1" ht="26.25" customHeight="1">
      <c r="A13" s="762" t="s">
        <v>307</v>
      </c>
      <c r="B13" s="762"/>
      <c r="C13" s="762"/>
      <c r="D13" s="762"/>
      <c r="E13" s="762"/>
      <c r="F13" s="762"/>
      <c r="G13" s="762"/>
      <c r="H13" s="762"/>
      <c r="I13" s="762"/>
      <c r="J13" s="762"/>
      <c r="K13" s="762"/>
      <c r="L13" s="762"/>
      <c r="M13" s="762"/>
      <c r="N13" s="762"/>
    </row>
    <row r="14" spans="1:256" ht="15.75" customHeight="1">
      <c r="A14" s="4"/>
      <c r="B14" s="4"/>
      <c r="C14" s="4"/>
      <c r="D14" s="324"/>
      <c r="E14" s="4"/>
      <c r="F14" s="4"/>
      <c r="G14" s="4"/>
      <c r="H14" s="4"/>
      <c r="I14" s="4"/>
      <c r="J14" s="324"/>
      <c r="K14" s="759" t="s">
        <v>354</v>
      </c>
      <c r="L14" s="759"/>
      <c r="M14" s="759"/>
      <c r="N14" s="759"/>
    </row>
    <row r="15" spans="1:256" ht="122.25" customHeight="1">
      <c r="A15" s="362" t="s">
        <v>7</v>
      </c>
      <c r="B15" s="362" t="s">
        <v>266</v>
      </c>
      <c r="C15" s="362" t="s">
        <v>278</v>
      </c>
      <c r="D15" s="362" t="s">
        <v>280</v>
      </c>
      <c r="E15" s="362" t="s">
        <v>13</v>
      </c>
      <c r="F15" s="362" t="s">
        <v>308</v>
      </c>
      <c r="G15" s="407" t="s">
        <v>311</v>
      </c>
      <c r="H15" s="362" t="s">
        <v>314</v>
      </c>
      <c r="I15" s="408" t="s">
        <v>312</v>
      </c>
      <c r="J15" s="362" t="s">
        <v>8</v>
      </c>
      <c r="K15" s="15" t="s">
        <v>9</v>
      </c>
      <c r="L15" s="15" t="s">
        <v>10</v>
      </c>
      <c r="M15" s="362" t="s">
        <v>353</v>
      </c>
      <c r="N15" s="362" t="s">
        <v>352</v>
      </c>
    </row>
    <row r="16" spans="1:256" ht="22.15" customHeight="1">
      <c r="A16" s="15">
        <v>1</v>
      </c>
      <c r="B16" s="15">
        <v>2</v>
      </c>
      <c r="C16" s="15">
        <v>3</v>
      </c>
      <c r="D16" s="362">
        <v>4</v>
      </c>
      <c r="E16" s="15">
        <v>5</v>
      </c>
      <c r="F16" s="15">
        <v>6</v>
      </c>
      <c r="G16" s="682">
        <v>7</v>
      </c>
      <c r="H16" s="15">
        <v>8</v>
      </c>
      <c r="I16" s="683">
        <v>9</v>
      </c>
      <c r="J16" s="362">
        <v>10</v>
      </c>
      <c r="K16" s="15">
        <v>11</v>
      </c>
      <c r="L16" s="15">
        <v>12</v>
      </c>
      <c r="M16" s="15">
        <v>13</v>
      </c>
      <c r="N16" s="15" t="s">
        <v>351</v>
      </c>
      <c r="IV16" s="435">
        <f>SUM(A16:IU16)</f>
        <v>91</v>
      </c>
    </row>
    <row r="17" spans="1:22" s="539" customFormat="1" ht="31.5" customHeight="1">
      <c r="A17" s="684" t="s">
        <v>482</v>
      </c>
      <c r="B17" s="685" t="s">
        <v>487</v>
      </c>
      <c r="C17" s="686"/>
      <c r="D17" s="686"/>
      <c r="E17" s="686"/>
      <c r="F17" s="686"/>
      <c r="G17" s="686"/>
      <c r="H17" s="686"/>
      <c r="I17" s="686"/>
      <c r="J17" s="686"/>
      <c r="K17" s="686"/>
      <c r="L17" s="686"/>
      <c r="M17" s="686"/>
      <c r="N17" s="687"/>
    </row>
    <row r="18" spans="1:22" ht="49.5" customHeight="1">
      <c r="A18" s="490">
        <v>1</v>
      </c>
      <c r="B18" s="694">
        <v>7000020163</v>
      </c>
      <c r="C18" s="694">
        <v>10</v>
      </c>
      <c r="D18" s="695" t="s">
        <v>488</v>
      </c>
      <c r="E18" s="694">
        <v>1000006176</v>
      </c>
      <c r="F18" s="694">
        <v>85042320</v>
      </c>
      <c r="G18" s="671"/>
      <c r="H18" s="670">
        <v>18</v>
      </c>
      <c r="I18" s="672"/>
      <c r="J18" s="695" t="s">
        <v>490</v>
      </c>
      <c r="K18" s="694" t="s">
        <v>299</v>
      </c>
      <c r="L18" s="694">
        <v>1</v>
      </c>
      <c r="M18" s="680"/>
      <c r="N18" s="696" t="str">
        <f>IF(M18=0, "INCLUDED", IF(ISERROR(M18*L18), M18, M18*L18))</f>
        <v>INCLUDED</v>
      </c>
      <c r="O18" s="560">
        <f>IF(N18="Included",0,N18)</f>
        <v>0</v>
      </c>
      <c r="P18" s="560">
        <f>IF( I18="",H18*(IF(N18="Included",0,N18))/100,I18*(IF(N18="Included",0,N18)))</f>
        <v>0</v>
      </c>
      <c r="Q18" s="565">
        <f>Discount!$H$36</f>
        <v>0</v>
      </c>
      <c r="R18" s="565">
        <f>Q18*O18</f>
        <v>0</v>
      </c>
      <c r="S18" s="565">
        <f>IF(I18="",H18*R18/100,I18*R18)</f>
        <v>0</v>
      </c>
      <c r="T18" s="666">
        <f>M18*L18</f>
        <v>0</v>
      </c>
      <c r="U18" s="681">
        <f>L18*M18</f>
        <v>0</v>
      </c>
      <c r="V18" s="681">
        <f>U18*0.18</f>
        <v>0</v>
      </c>
    </row>
    <row r="19" spans="1:22" ht="47.25" customHeight="1">
      <c r="A19" s="490">
        <v>2</v>
      </c>
      <c r="B19" s="694">
        <v>7000020163</v>
      </c>
      <c r="C19" s="694">
        <v>20</v>
      </c>
      <c r="D19" s="695" t="s">
        <v>488</v>
      </c>
      <c r="E19" s="694">
        <v>1000014015</v>
      </c>
      <c r="F19" s="694">
        <v>85049010</v>
      </c>
      <c r="G19" s="671"/>
      <c r="H19" s="670">
        <v>18</v>
      </c>
      <c r="I19" s="672"/>
      <c r="J19" s="695" t="s">
        <v>491</v>
      </c>
      <c r="K19" s="694" t="s">
        <v>300</v>
      </c>
      <c r="L19" s="694">
        <v>1</v>
      </c>
      <c r="M19" s="680"/>
      <c r="N19" s="696" t="str">
        <f t="shared" ref="N19" si="0">IF(M19=0, "INCLUDED", IF(ISERROR(M19*L19), M19, M19*L19))</f>
        <v>INCLUDED</v>
      </c>
      <c r="O19" s="560">
        <f t="shared" ref="O19" si="1">IF(N19="Included",0,N19)</f>
        <v>0</v>
      </c>
      <c r="P19" s="560">
        <f t="shared" ref="P19" si="2">IF( I19="",H19*(IF(N19="Included",0,N19))/100,I19*(IF(N19="Included",0,N19)))</f>
        <v>0</v>
      </c>
      <c r="Q19" s="565">
        <f>Discount!$H$36</f>
        <v>0</v>
      </c>
      <c r="R19" s="565">
        <f t="shared" ref="R19" si="3">Q19*O19</f>
        <v>0</v>
      </c>
      <c r="S19" s="565">
        <f t="shared" ref="S19" si="4">IF(I19="",H19*R19/100,I19*R19)</f>
        <v>0</v>
      </c>
      <c r="T19" s="666">
        <f t="shared" ref="T19" si="5">M19*L19</f>
        <v>0</v>
      </c>
      <c r="U19" s="681">
        <f t="shared" ref="U19" si="6">L19*M19</f>
        <v>0</v>
      </c>
      <c r="V19" s="681">
        <f t="shared" ref="V19" si="7">U19*0.18</f>
        <v>0</v>
      </c>
    </row>
    <row r="20" spans="1:22" ht="49.5" customHeight="1">
      <c r="A20" s="490">
        <v>3</v>
      </c>
      <c r="B20" s="694">
        <v>7000020163</v>
      </c>
      <c r="C20" s="694">
        <v>30</v>
      </c>
      <c r="D20" s="695" t="s">
        <v>488</v>
      </c>
      <c r="E20" s="694">
        <v>1000015913</v>
      </c>
      <c r="F20" s="694">
        <v>85049010</v>
      </c>
      <c r="G20" s="671"/>
      <c r="H20" s="670">
        <v>18</v>
      </c>
      <c r="I20" s="672"/>
      <c r="J20" s="695" t="s">
        <v>492</v>
      </c>
      <c r="K20" s="694" t="s">
        <v>299</v>
      </c>
      <c r="L20" s="694">
        <v>1</v>
      </c>
      <c r="M20" s="680"/>
      <c r="N20" s="696" t="str">
        <f>IF(M20=0, "INCLUDED", IF(ISERROR(M20*L20), M20, M20*L20))</f>
        <v>INCLUDED</v>
      </c>
      <c r="O20" s="560">
        <f>IF(N20="Included",0,N20)</f>
        <v>0</v>
      </c>
      <c r="P20" s="560">
        <f>IF( I20="",H20*(IF(N20="Included",0,N20))/100,I20*(IF(N20="Included",0,N20)))</f>
        <v>0</v>
      </c>
      <c r="Q20" s="565">
        <f>Discount!$H$36</f>
        <v>0</v>
      </c>
      <c r="R20" s="565">
        <f>Q20*O20</f>
        <v>0</v>
      </c>
      <c r="S20" s="565">
        <f>IF(I20="",H20*R20/100,I20*R20)</f>
        <v>0</v>
      </c>
      <c r="T20" s="666">
        <f>M20*L20</f>
        <v>0</v>
      </c>
      <c r="U20" s="681">
        <f>L20*M20</f>
        <v>0</v>
      </c>
      <c r="V20" s="681">
        <f>U20*0.18</f>
        <v>0</v>
      </c>
    </row>
    <row r="21" spans="1:22" ht="47.25" customHeight="1">
      <c r="A21" s="490">
        <v>4</v>
      </c>
      <c r="B21" s="694">
        <v>7000020163</v>
      </c>
      <c r="C21" s="694">
        <v>40</v>
      </c>
      <c r="D21" s="695" t="s">
        <v>488</v>
      </c>
      <c r="E21" s="694">
        <v>1000028234</v>
      </c>
      <c r="F21" s="694">
        <v>85049010</v>
      </c>
      <c r="G21" s="671"/>
      <c r="H21" s="670">
        <v>18</v>
      </c>
      <c r="I21" s="672"/>
      <c r="J21" s="695" t="s">
        <v>493</v>
      </c>
      <c r="K21" s="694" t="s">
        <v>300</v>
      </c>
      <c r="L21" s="694">
        <v>1</v>
      </c>
      <c r="M21" s="680"/>
      <c r="N21" s="696" t="str">
        <f t="shared" ref="N21" si="8">IF(M21=0, "INCLUDED", IF(ISERROR(M21*L21), M21, M21*L21))</f>
        <v>INCLUDED</v>
      </c>
      <c r="O21" s="560">
        <f t="shared" ref="O21" si="9">IF(N21="Included",0,N21)</f>
        <v>0</v>
      </c>
      <c r="P21" s="560">
        <f t="shared" ref="P21" si="10">IF( I21="",H21*(IF(N21="Included",0,N21))/100,I21*(IF(N21="Included",0,N21)))</f>
        <v>0</v>
      </c>
      <c r="Q21" s="565">
        <f>Discount!$H$36</f>
        <v>0</v>
      </c>
      <c r="R21" s="565">
        <f t="shared" ref="R21" si="11">Q21*O21</f>
        <v>0</v>
      </c>
      <c r="S21" s="565">
        <f t="shared" ref="S21" si="12">IF(I21="",H21*R21/100,I21*R21)</f>
        <v>0</v>
      </c>
      <c r="T21" s="666">
        <f t="shared" ref="T21" si="13">M21*L21</f>
        <v>0</v>
      </c>
      <c r="U21" s="681">
        <f t="shared" ref="U21" si="14">L21*M21</f>
        <v>0</v>
      </c>
      <c r="V21" s="681">
        <f t="shared" ref="V21" si="15">U21*0.18</f>
        <v>0</v>
      </c>
    </row>
    <row r="22" spans="1:22" ht="49.5" customHeight="1">
      <c r="A22" s="490">
        <v>5</v>
      </c>
      <c r="B22" s="694">
        <v>7000020163</v>
      </c>
      <c r="C22" s="694">
        <v>50</v>
      </c>
      <c r="D22" s="695" t="s">
        <v>489</v>
      </c>
      <c r="E22" s="694">
        <v>1000030934</v>
      </c>
      <c r="F22" s="694">
        <v>85049010</v>
      </c>
      <c r="G22" s="671"/>
      <c r="H22" s="670">
        <v>18</v>
      </c>
      <c r="I22" s="672"/>
      <c r="J22" s="695" t="s">
        <v>494</v>
      </c>
      <c r="K22" s="694" t="s">
        <v>299</v>
      </c>
      <c r="L22" s="694">
        <v>1</v>
      </c>
      <c r="M22" s="680"/>
      <c r="N22" s="696" t="str">
        <f>IF(M22=0, "INCLUDED", IF(ISERROR(M22*L22), M22, M22*L22))</f>
        <v>INCLUDED</v>
      </c>
      <c r="O22" s="560">
        <f>IF(N22="Included",0,N22)</f>
        <v>0</v>
      </c>
      <c r="P22" s="560">
        <f>IF( I22="",H22*(IF(N22="Included",0,N22))/100,I22*(IF(N22="Included",0,N22)))</f>
        <v>0</v>
      </c>
      <c r="Q22" s="565">
        <f>Discount!$H$36</f>
        <v>0</v>
      </c>
      <c r="R22" s="565">
        <f>Q22*O22</f>
        <v>0</v>
      </c>
      <c r="S22" s="565">
        <f>IF(I22="",H22*R22/100,I22*R22)</f>
        <v>0</v>
      </c>
      <c r="T22" s="666">
        <f>M22*L22</f>
        <v>0</v>
      </c>
      <c r="U22" s="681">
        <f>L22*M22</f>
        <v>0</v>
      </c>
      <c r="V22" s="681">
        <f>U22*0.18</f>
        <v>0</v>
      </c>
    </row>
    <row r="23" spans="1:22" ht="49.5" customHeight="1">
      <c r="A23" s="490">
        <v>6</v>
      </c>
      <c r="B23" s="694">
        <v>7000020163</v>
      </c>
      <c r="C23" s="694">
        <v>60</v>
      </c>
      <c r="D23" s="695" t="s">
        <v>489</v>
      </c>
      <c r="E23" s="694">
        <v>1000030920</v>
      </c>
      <c r="F23" s="694">
        <v>85049010</v>
      </c>
      <c r="G23" s="671"/>
      <c r="H23" s="670">
        <v>18</v>
      </c>
      <c r="I23" s="672"/>
      <c r="J23" s="695" t="s">
        <v>495</v>
      </c>
      <c r="K23" s="694" t="s">
        <v>299</v>
      </c>
      <c r="L23" s="694">
        <v>1</v>
      </c>
      <c r="M23" s="680"/>
      <c r="N23" s="696" t="str">
        <f>IF(M23=0, "INCLUDED", IF(ISERROR(M23*L23), M23, M23*L23))</f>
        <v>INCLUDED</v>
      </c>
      <c r="O23" s="560">
        <f>IF(N23="Included",0,N23)</f>
        <v>0</v>
      </c>
      <c r="P23" s="560">
        <f>IF( I23="",H23*(IF(N23="Included",0,N23))/100,I23*(IF(N23="Included",0,N23)))</f>
        <v>0</v>
      </c>
      <c r="Q23" s="565">
        <f>Discount!$H$36</f>
        <v>0</v>
      </c>
      <c r="R23" s="565">
        <f>Q23*O23</f>
        <v>0</v>
      </c>
      <c r="S23" s="565">
        <f>IF(I23="",H23*R23/100,I23*R23)</f>
        <v>0</v>
      </c>
      <c r="T23" s="666">
        <f>M23*L23</f>
        <v>0</v>
      </c>
      <c r="U23" s="681">
        <f>L23*M23</f>
        <v>0</v>
      </c>
      <c r="V23" s="681">
        <f>U23*0.18</f>
        <v>0</v>
      </c>
    </row>
    <row r="24" spans="1:22" ht="47.25" customHeight="1">
      <c r="A24" s="490">
        <v>7</v>
      </c>
      <c r="B24" s="694">
        <v>7000020163</v>
      </c>
      <c r="C24" s="694">
        <v>70</v>
      </c>
      <c r="D24" s="695" t="s">
        <v>489</v>
      </c>
      <c r="E24" s="694">
        <v>1000007921</v>
      </c>
      <c r="F24" s="694">
        <v>85049010</v>
      </c>
      <c r="G24" s="671"/>
      <c r="H24" s="670">
        <v>18</v>
      </c>
      <c r="I24" s="672"/>
      <c r="J24" s="695" t="s">
        <v>496</v>
      </c>
      <c r="K24" s="694" t="s">
        <v>300</v>
      </c>
      <c r="L24" s="694">
        <v>1</v>
      </c>
      <c r="M24" s="680"/>
      <c r="N24" s="696" t="str">
        <f t="shared" ref="N24" si="16">IF(M24=0, "INCLUDED", IF(ISERROR(M24*L24), M24, M24*L24))</f>
        <v>INCLUDED</v>
      </c>
      <c r="O24" s="560">
        <f t="shared" ref="O24" si="17">IF(N24="Included",0,N24)</f>
        <v>0</v>
      </c>
      <c r="P24" s="560">
        <f t="shared" ref="P24" si="18">IF( I24="",H24*(IF(N24="Included",0,N24))/100,I24*(IF(N24="Included",0,N24)))</f>
        <v>0</v>
      </c>
      <c r="Q24" s="565">
        <f>Discount!$H$36</f>
        <v>0</v>
      </c>
      <c r="R24" s="565">
        <f t="shared" ref="R24" si="19">Q24*O24</f>
        <v>0</v>
      </c>
      <c r="S24" s="565">
        <f t="shared" ref="S24" si="20">IF(I24="",H24*R24/100,I24*R24)</f>
        <v>0</v>
      </c>
      <c r="T24" s="666">
        <f t="shared" ref="T24" si="21">M24*L24</f>
        <v>0</v>
      </c>
      <c r="U24" s="681">
        <f t="shared" ref="U24" si="22">L24*M24</f>
        <v>0</v>
      </c>
      <c r="V24" s="681">
        <f t="shared" ref="V24" si="23">U24*0.18</f>
        <v>0</v>
      </c>
    </row>
    <row r="25" spans="1:22" ht="49.5" customHeight="1">
      <c r="A25" s="490">
        <v>8</v>
      </c>
      <c r="B25" s="694">
        <v>7000020163</v>
      </c>
      <c r="C25" s="694">
        <v>80</v>
      </c>
      <c r="D25" s="695" t="s">
        <v>489</v>
      </c>
      <c r="E25" s="694">
        <v>1000028774</v>
      </c>
      <c r="F25" s="694">
        <v>85049010</v>
      </c>
      <c r="G25" s="671"/>
      <c r="H25" s="670">
        <v>18</v>
      </c>
      <c r="I25" s="672"/>
      <c r="J25" s="695" t="s">
        <v>497</v>
      </c>
      <c r="K25" s="694" t="s">
        <v>299</v>
      </c>
      <c r="L25" s="694">
        <v>1</v>
      </c>
      <c r="M25" s="680"/>
      <c r="N25" s="696" t="str">
        <f>IF(M25=0, "INCLUDED", IF(ISERROR(M25*L25), M25, M25*L25))</f>
        <v>INCLUDED</v>
      </c>
      <c r="O25" s="560">
        <f>IF(N25="Included",0,N25)</f>
        <v>0</v>
      </c>
      <c r="P25" s="560">
        <f>IF( I25="",H25*(IF(N25="Included",0,N25))/100,I25*(IF(N25="Included",0,N25)))</f>
        <v>0</v>
      </c>
      <c r="Q25" s="565">
        <f>Discount!$H$36</f>
        <v>0</v>
      </c>
      <c r="R25" s="565">
        <f>Q25*O25</f>
        <v>0</v>
      </c>
      <c r="S25" s="565">
        <f>IF(I25="",H25*R25/100,I25*R25)</f>
        <v>0</v>
      </c>
      <c r="T25" s="666">
        <f>M25*L25</f>
        <v>0</v>
      </c>
      <c r="U25" s="681">
        <f>L25*M25</f>
        <v>0</v>
      </c>
      <c r="V25" s="681">
        <f>U25*0.18</f>
        <v>0</v>
      </c>
    </row>
    <row r="26" spans="1:22" ht="47.25" customHeight="1">
      <c r="A26" s="490">
        <v>9</v>
      </c>
      <c r="B26" s="694">
        <v>7000020163</v>
      </c>
      <c r="C26" s="694">
        <v>90</v>
      </c>
      <c r="D26" s="695" t="s">
        <v>489</v>
      </c>
      <c r="E26" s="694">
        <v>1000026245</v>
      </c>
      <c r="F26" s="694">
        <v>85049010</v>
      </c>
      <c r="G26" s="671"/>
      <c r="H26" s="670">
        <v>18</v>
      </c>
      <c r="I26" s="672"/>
      <c r="J26" s="695" t="s">
        <v>498</v>
      </c>
      <c r="K26" s="694" t="s">
        <v>300</v>
      </c>
      <c r="L26" s="694">
        <v>1</v>
      </c>
      <c r="M26" s="680"/>
      <c r="N26" s="696" t="str">
        <f t="shared" ref="N26" si="24">IF(M26=0, "INCLUDED", IF(ISERROR(M26*L26), M26, M26*L26))</f>
        <v>INCLUDED</v>
      </c>
      <c r="O26" s="560">
        <f t="shared" ref="O26" si="25">IF(N26="Included",0,N26)</f>
        <v>0</v>
      </c>
      <c r="P26" s="560">
        <f t="shared" ref="P26" si="26">IF( I26="",H26*(IF(N26="Included",0,N26))/100,I26*(IF(N26="Included",0,N26)))</f>
        <v>0</v>
      </c>
      <c r="Q26" s="565">
        <f>Discount!$H$36</f>
        <v>0</v>
      </c>
      <c r="R26" s="565">
        <f t="shared" ref="R26" si="27">Q26*O26</f>
        <v>0</v>
      </c>
      <c r="S26" s="565">
        <f t="shared" ref="S26" si="28">IF(I26="",H26*R26/100,I26*R26)</f>
        <v>0</v>
      </c>
      <c r="T26" s="666">
        <f t="shared" ref="T26" si="29">M26*L26</f>
        <v>0</v>
      </c>
      <c r="U26" s="681">
        <f t="shared" ref="U26" si="30">L26*M26</f>
        <v>0</v>
      </c>
      <c r="V26" s="681">
        <f t="shared" ref="V26" si="31">U26*0.18</f>
        <v>0</v>
      </c>
    </row>
    <row r="27" spans="1:22" ht="49.5" customHeight="1">
      <c r="A27" s="490">
        <v>10</v>
      </c>
      <c r="B27" s="694">
        <v>7000020163</v>
      </c>
      <c r="C27" s="694">
        <v>100</v>
      </c>
      <c r="D27" s="695" t="s">
        <v>489</v>
      </c>
      <c r="E27" s="694">
        <v>1000032089</v>
      </c>
      <c r="F27" s="694">
        <v>85049010</v>
      </c>
      <c r="G27" s="671"/>
      <c r="H27" s="670">
        <v>18</v>
      </c>
      <c r="I27" s="672"/>
      <c r="J27" s="695" t="s">
        <v>499</v>
      </c>
      <c r="K27" s="694" t="s">
        <v>500</v>
      </c>
      <c r="L27" s="694">
        <v>5</v>
      </c>
      <c r="M27" s="680"/>
      <c r="N27" s="696" t="str">
        <f>IF(M27=0, "INCLUDED", IF(ISERROR(M27*L27), M27, M27*L27))</f>
        <v>INCLUDED</v>
      </c>
      <c r="O27" s="560">
        <f>IF(N27="Included",0,N27)</f>
        <v>0</v>
      </c>
      <c r="P27" s="560">
        <f>IF( I27="",H27*(IF(N27="Included",0,N27))/100,I27*(IF(N27="Included",0,N27)))</f>
        <v>0</v>
      </c>
      <c r="Q27" s="565">
        <f>Discount!$H$36</f>
        <v>0</v>
      </c>
      <c r="R27" s="565">
        <f>Q27*O27</f>
        <v>0</v>
      </c>
      <c r="S27" s="565">
        <f>IF(I27="",H27*R27/100,I27*R27)</f>
        <v>0</v>
      </c>
      <c r="T27" s="666">
        <f>M27*L27</f>
        <v>0</v>
      </c>
      <c r="U27" s="681">
        <f>L27*M27</f>
        <v>0</v>
      </c>
      <c r="V27" s="681">
        <f>U27*0.18</f>
        <v>0</v>
      </c>
    </row>
    <row r="28" spans="1:22" ht="47.25" customHeight="1">
      <c r="A28" s="490">
        <v>11</v>
      </c>
      <c r="B28" s="694">
        <v>7000020163</v>
      </c>
      <c r="C28" s="694">
        <v>110</v>
      </c>
      <c r="D28" s="695" t="s">
        <v>489</v>
      </c>
      <c r="E28" s="694">
        <v>1000028280</v>
      </c>
      <c r="F28" s="694">
        <v>85049010</v>
      </c>
      <c r="G28" s="671"/>
      <c r="H28" s="670">
        <v>18</v>
      </c>
      <c r="I28" s="672"/>
      <c r="J28" s="695" t="s">
        <v>501</v>
      </c>
      <c r="K28" s="694" t="s">
        <v>299</v>
      </c>
      <c r="L28" s="694">
        <v>1</v>
      </c>
      <c r="M28" s="680"/>
      <c r="N28" s="696" t="str">
        <f t="shared" ref="N28:N48" si="32">IF(M28=0, "INCLUDED", IF(ISERROR(M28*L28), M28, M28*L28))</f>
        <v>INCLUDED</v>
      </c>
      <c r="O28" s="560">
        <f t="shared" ref="O28:O48" si="33">IF(N28="Included",0,N28)</f>
        <v>0</v>
      </c>
      <c r="P28" s="560">
        <f t="shared" ref="P28:P48" si="34">IF( I28="",H28*(IF(N28="Included",0,N28))/100,I28*(IF(N28="Included",0,N28)))</f>
        <v>0</v>
      </c>
      <c r="Q28" s="565">
        <f>Discount!$H$36</f>
        <v>0</v>
      </c>
      <c r="R28" s="565">
        <f t="shared" ref="R28:R48" si="35">Q28*O28</f>
        <v>0</v>
      </c>
      <c r="S28" s="565">
        <f t="shared" ref="S28:S48" si="36">IF(I28="",H28*R28/100,I28*R28)</f>
        <v>0</v>
      </c>
      <c r="T28" s="666">
        <f t="shared" ref="T28:T48" si="37">M28*L28</f>
        <v>0</v>
      </c>
      <c r="U28" s="681">
        <f t="shared" ref="U28:U48" si="38">L28*M28</f>
        <v>0</v>
      </c>
      <c r="V28" s="681">
        <f t="shared" ref="V28:V48" si="39">U28*0.18</f>
        <v>0</v>
      </c>
    </row>
    <row r="29" spans="1:22" s="539" customFormat="1" ht="31.5" customHeight="1">
      <c r="A29" s="684" t="s">
        <v>483</v>
      </c>
      <c r="B29" s="685" t="s">
        <v>502</v>
      </c>
      <c r="C29" s="686"/>
      <c r="D29" s="686"/>
      <c r="E29" s="686"/>
      <c r="F29" s="686"/>
      <c r="G29" s="686"/>
      <c r="H29" s="686"/>
      <c r="I29" s="686"/>
      <c r="J29" s="686"/>
      <c r="K29" s="686"/>
      <c r="L29" s="686"/>
      <c r="M29" s="686"/>
      <c r="N29" s="687"/>
    </row>
    <row r="30" spans="1:22" ht="49.5" customHeight="1">
      <c r="A30" s="490">
        <v>12</v>
      </c>
      <c r="B30" s="694">
        <v>7000020163</v>
      </c>
      <c r="C30" s="694">
        <v>130</v>
      </c>
      <c r="D30" s="695" t="s">
        <v>488</v>
      </c>
      <c r="E30" s="694">
        <v>1000006176</v>
      </c>
      <c r="F30" s="694">
        <v>85042320</v>
      </c>
      <c r="G30" s="671"/>
      <c r="H30" s="670">
        <v>18</v>
      </c>
      <c r="I30" s="672"/>
      <c r="J30" s="695" t="s">
        <v>490</v>
      </c>
      <c r="K30" s="694" t="s">
        <v>299</v>
      </c>
      <c r="L30" s="694">
        <v>1</v>
      </c>
      <c r="M30" s="680"/>
      <c r="N30" s="696" t="str">
        <f t="shared" ref="N30:N38" si="40">IF(M30=0, "INCLUDED", IF(ISERROR(M30*L30), M30, M30*L30))</f>
        <v>INCLUDED</v>
      </c>
      <c r="O30" s="560">
        <f t="shared" ref="O30:O38" si="41">IF(N30="Included",0,N30)</f>
        <v>0</v>
      </c>
      <c r="P30" s="560">
        <f t="shared" ref="P30:P38" si="42">IF( I30="",H30*(IF(N30="Included",0,N30))/100,I30*(IF(N30="Included",0,N30)))</f>
        <v>0</v>
      </c>
      <c r="Q30" s="565">
        <f>Discount!$H$36</f>
        <v>0</v>
      </c>
      <c r="R30" s="565">
        <f t="shared" ref="R30:R38" si="43">Q30*O30</f>
        <v>0</v>
      </c>
      <c r="S30" s="565">
        <f t="shared" ref="S30:S38" si="44">IF(I30="",H30*R30/100,I30*R30)</f>
        <v>0</v>
      </c>
      <c r="T30" s="666">
        <f t="shared" ref="T30:T38" si="45">M30*L30</f>
        <v>0</v>
      </c>
      <c r="U30" s="681">
        <f t="shared" ref="U30:U38" si="46">L30*M30</f>
        <v>0</v>
      </c>
      <c r="V30" s="681">
        <f t="shared" ref="V30:V38" si="47">U30*0.18</f>
        <v>0</v>
      </c>
    </row>
    <row r="31" spans="1:22" ht="51.75" customHeight="1">
      <c r="A31" s="490">
        <v>13</v>
      </c>
      <c r="B31" s="694">
        <v>7000020163</v>
      </c>
      <c r="C31" s="694">
        <v>140</v>
      </c>
      <c r="D31" s="695" t="s">
        <v>488</v>
      </c>
      <c r="E31" s="694">
        <v>1000014015</v>
      </c>
      <c r="F31" s="694">
        <v>85049010</v>
      </c>
      <c r="G31" s="671"/>
      <c r="H31" s="670">
        <v>18</v>
      </c>
      <c r="I31" s="672"/>
      <c r="J31" s="695" t="s">
        <v>491</v>
      </c>
      <c r="K31" s="694" t="s">
        <v>300</v>
      </c>
      <c r="L31" s="694">
        <v>1</v>
      </c>
      <c r="M31" s="680"/>
      <c r="N31" s="696" t="str">
        <f t="shared" ref="N31:N33" si="48">IF(M31=0, "INCLUDED", IF(ISERROR(M31*L31), M31, M31*L31))</f>
        <v>INCLUDED</v>
      </c>
      <c r="O31" s="560">
        <f t="shared" ref="O31:O33" si="49">IF(N31="Included",0,N31)</f>
        <v>0</v>
      </c>
      <c r="P31" s="560">
        <f t="shared" ref="P31:P33" si="50">IF( I31="",H31*(IF(N31="Included",0,N31))/100,I31*(IF(N31="Included",0,N31)))</f>
        <v>0</v>
      </c>
      <c r="Q31" s="565">
        <f>Discount!$H$36</f>
        <v>0</v>
      </c>
      <c r="R31" s="565">
        <f t="shared" ref="R31:R33" si="51">Q31*O31</f>
        <v>0</v>
      </c>
      <c r="S31" s="565">
        <f t="shared" ref="S31:S33" si="52">IF(I31="",H31*R31/100,I31*R31)</f>
        <v>0</v>
      </c>
      <c r="T31" s="666">
        <f t="shared" ref="T31:T33" si="53">M31*L31</f>
        <v>0</v>
      </c>
      <c r="U31" s="681">
        <f t="shared" ref="U31:U33" si="54">L31*M31</f>
        <v>0</v>
      </c>
      <c r="V31" s="681">
        <f t="shared" ref="V31:V33" si="55">U31*0.18</f>
        <v>0</v>
      </c>
    </row>
    <row r="32" spans="1:22" ht="49.5" customHeight="1">
      <c r="A32" s="490">
        <v>14</v>
      </c>
      <c r="B32" s="694">
        <v>7000020163</v>
      </c>
      <c r="C32" s="694">
        <v>150</v>
      </c>
      <c r="D32" s="695" t="s">
        <v>488</v>
      </c>
      <c r="E32" s="694">
        <v>1000015913</v>
      </c>
      <c r="F32" s="694">
        <v>85049010</v>
      </c>
      <c r="G32" s="671"/>
      <c r="H32" s="670">
        <v>18</v>
      </c>
      <c r="I32" s="672"/>
      <c r="J32" s="695" t="s">
        <v>492</v>
      </c>
      <c r="K32" s="694" t="s">
        <v>299</v>
      </c>
      <c r="L32" s="694">
        <v>1</v>
      </c>
      <c r="M32" s="680"/>
      <c r="N32" s="696" t="str">
        <f t="shared" si="48"/>
        <v>INCLUDED</v>
      </c>
      <c r="O32" s="560">
        <f t="shared" si="49"/>
        <v>0</v>
      </c>
      <c r="P32" s="560">
        <f t="shared" si="50"/>
        <v>0</v>
      </c>
      <c r="Q32" s="565">
        <f>Discount!$H$36</f>
        <v>0</v>
      </c>
      <c r="R32" s="565">
        <f t="shared" si="51"/>
        <v>0</v>
      </c>
      <c r="S32" s="565">
        <f t="shared" si="52"/>
        <v>0</v>
      </c>
      <c r="T32" s="666">
        <f t="shared" si="53"/>
        <v>0</v>
      </c>
      <c r="U32" s="681">
        <f t="shared" si="54"/>
        <v>0</v>
      </c>
      <c r="V32" s="681">
        <f t="shared" si="55"/>
        <v>0</v>
      </c>
    </row>
    <row r="33" spans="1:22" ht="51.75" customHeight="1">
      <c r="A33" s="490">
        <v>15</v>
      </c>
      <c r="B33" s="694">
        <v>7000020163</v>
      </c>
      <c r="C33" s="694">
        <v>160</v>
      </c>
      <c r="D33" s="695" t="s">
        <v>488</v>
      </c>
      <c r="E33" s="694">
        <v>1000028234</v>
      </c>
      <c r="F33" s="694">
        <v>85049010</v>
      </c>
      <c r="G33" s="671"/>
      <c r="H33" s="670">
        <v>18</v>
      </c>
      <c r="I33" s="672"/>
      <c r="J33" s="695" t="s">
        <v>493</v>
      </c>
      <c r="K33" s="694" t="s">
        <v>300</v>
      </c>
      <c r="L33" s="694">
        <v>1</v>
      </c>
      <c r="M33" s="680"/>
      <c r="N33" s="696" t="str">
        <f t="shared" si="48"/>
        <v>INCLUDED</v>
      </c>
      <c r="O33" s="560">
        <f t="shared" si="49"/>
        <v>0</v>
      </c>
      <c r="P33" s="560">
        <f t="shared" si="50"/>
        <v>0</v>
      </c>
      <c r="Q33" s="565">
        <f>Discount!$H$36</f>
        <v>0</v>
      </c>
      <c r="R33" s="565">
        <f t="shared" si="51"/>
        <v>0</v>
      </c>
      <c r="S33" s="565">
        <f t="shared" si="52"/>
        <v>0</v>
      </c>
      <c r="T33" s="666">
        <f t="shared" si="53"/>
        <v>0</v>
      </c>
      <c r="U33" s="681">
        <f t="shared" si="54"/>
        <v>0</v>
      </c>
      <c r="V33" s="681">
        <f t="shared" si="55"/>
        <v>0</v>
      </c>
    </row>
    <row r="34" spans="1:22" ht="51.75" customHeight="1">
      <c r="A34" s="490">
        <v>16</v>
      </c>
      <c r="B34" s="694">
        <v>7000020163</v>
      </c>
      <c r="C34" s="694">
        <v>170</v>
      </c>
      <c r="D34" s="695" t="s">
        <v>489</v>
      </c>
      <c r="E34" s="694">
        <v>1000030934</v>
      </c>
      <c r="F34" s="694">
        <v>85049010</v>
      </c>
      <c r="G34" s="671"/>
      <c r="H34" s="670">
        <v>18</v>
      </c>
      <c r="I34" s="672"/>
      <c r="J34" s="695" t="s">
        <v>494</v>
      </c>
      <c r="K34" s="694" t="s">
        <v>299</v>
      </c>
      <c r="L34" s="694">
        <v>1</v>
      </c>
      <c r="M34" s="680"/>
      <c r="N34" s="696" t="str">
        <f t="shared" si="40"/>
        <v>INCLUDED</v>
      </c>
      <c r="O34" s="560">
        <f t="shared" si="41"/>
        <v>0</v>
      </c>
      <c r="P34" s="560">
        <f t="shared" si="42"/>
        <v>0</v>
      </c>
      <c r="Q34" s="565">
        <f>Discount!$H$36</f>
        <v>0</v>
      </c>
      <c r="R34" s="565">
        <f t="shared" si="43"/>
        <v>0</v>
      </c>
      <c r="S34" s="565">
        <f t="shared" si="44"/>
        <v>0</v>
      </c>
      <c r="T34" s="666">
        <f t="shared" si="45"/>
        <v>0</v>
      </c>
      <c r="U34" s="681">
        <f t="shared" si="46"/>
        <v>0</v>
      </c>
      <c r="V34" s="681">
        <f t="shared" si="47"/>
        <v>0</v>
      </c>
    </row>
    <row r="35" spans="1:22" ht="49.5" customHeight="1">
      <c r="A35" s="490">
        <v>17</v>
      </c>
      <c r="B35" s="694">
        <v>7000020163</v>
      </c>
      <c r="C35" s="694">
        <v>180</v>
      </c>
      <c r="D35" s="695" t="s">
        <v>489</v>
      </c>
      <c r="E35" s="694">
        <v>1000030920</v>
      </c>
      <c r="F35" s="694">
        <v>85049010</v>
      </c>
      <c r="G35" s="671"/>
      <c r="H35" s="670">
        <v>18</v>
      </c>
      <c r="I35" s="672"/>
      <c r="J35" s="695" t="s">
        <v>495</v>
      </c>
      <c r="K35" s="694" t="s">
        <v>299</v>
      </c>
      <c r="L35" s="694">
        <v>1</v>
      </c>
      <c r="M35" s="680"/>
      <c r="N35" s="696" t="str">
        <f t="shared" si="40"/>
        <v>INCLUDED</v>
      </c>
      <c r="O35" s="560">
        <f t="shared" si="41"/>
        <v>0</v>
      </c>
      <c r="P35" s="560">
        <f t="shared" si="42"/>
        <v>0</v>
      </c>
      <c r="Q35" s="565">
        <f>Discount!$H$36</f>
        <v>0</v>
      </c>
      <c r="R35" s="565">
        <f t="shared" si="43"/>
        <v>0</v>
      </c>
      <c r="S35" s="565">
        <f t="shared" si="44"/>
        <v>0</v>
      </c>
      <c r="T35" s="666">
        <f t="shared" si="45"/>
        <v>0</v>
      </c>
      <c r="U35" s="681">
        <f t="shared" si="46"/>
        <v>0</v>
      </c>
      <c r="V35" s="681">
        <f t="shared" si="47"/>
        <v>0</v>
      </c>
    </row>
    <row r="36" spans="1:22" ht="51.75" customHeight="1">
      <c r="A36" s="490">
        <v>18</v>
      </c>
      <c r="B36" s="694">
        <v>7000020163</v>
      </c>
      <c r="C36" s="694">
        <v>190</v>
      </c>
      <c r="D36" s="695" t="s">
        <v>489</v>
      </c>
      <c r="E36" s="694">
        <v>1000007921</v>
      </c>
      <c r="F36" s="694">
        <v>85049010</v>
      </c>
      <c r="G36" s="671"/>
      <c r="H36" s="670">
        <v>18</v>
      </c>
      <c r="I36" s="672"/>
      <c r="J36" s="695" t="s">
        <v>496</v>
      </c>
      <c r="K36" s="694" t="s">
        <v>300</v>
      </c>
      <c r="L36" s="694">
        <v>1</v>
      </c>
      <c r="M36" s="680"/>
      <c r="N36" s="696" t="str">
        <f t="shared" ref="N36:N37" si="56">IF(M36=0, "INCLUDED", IF(ISERROR(M36*L36), M36, M36*L36))</f>
        <v>INCLUDED</v>
      </c>
      <c r="O36" s="560">
        <f t="shared" ref="O36:O37" si="57">IF(N36="Included",0,N36)</f>
        <v>0</v>
      </c>
      <c r="P36" s="560">
        <f t="shared" ref="P36:P37" si="58">IF( I36="",H36*(IF(N36="Included",0,N36))/100,I36*(IF(N36="Included",0,N36)))</f>
        <v>0</v>
      </c>
      <c r="Q36" s="565">
        <f>Discount!$H$36</f>
        <v>0</v>
      </c>
      <c r="R36" s="565">
        <f t="shared" ref="R36:R37" si="59">Q36*O36</f>
        <v>0</v>
      </c>
      <c r="S36" s="565">
        <f t="shared" ref="S36:S37" si="60">IF(I36="",H36*R36/100,I36*R36)</f>
        <v>0</v>
      </c>
      <c r="T36" s="666">
        <f t="shared" ref="T36:T37" si="61">M36*L36</f>
        <v>0</v>
      </c>
      <c r="U36" s="681">
        <f t="shared" ref="U36:U37" si="62">L36*M36</f>
        <v>0</v>
      </c>
      <c r="V36" s="681">
        <f t="shared" ref="V36:V37" si="63">U36*0.18</f>
        <v>0</v>
      </c>
    </row>
    <row r="37" spans="1:22" ht="49.5" customHeight="1">
      <c r="A37" s="490">
        <v>19</v>
      </c>
      <c r="B37" s="694">
        <v>7000020163</v>
      </c>
      <c r="C37" s="694">
        <v>200</v>
      </c>
      <c r="D37" s="695" t="s">
        <v>489</v>
      </c>
      <c r="E37" s="694">
        <v>1000028774</v>
      </c>
      <c r="F37" s="694">
        <v>85049010</v>
      </c>
      <c r="G37" s="671"/>
      <c r="H37" s="670">
        <v>18</v>
      </c>
      <c r="I37" s="672"/>
      <c r="J37" s="695" t="s">
        <v>497</v>
      </c>
      <c r="K37" s="694" t="s">
        <v>299</v>
      </c>
      <c r="L37" s="694">
        <v>1</v>
      </c>
      <c r="M37" s="680"/>
      <c r="N37" s="696" t="str">
        <f t="shared" si="56"/>
        <v>INCLUDED</v>
      </c>
      <c r="O37" s="560">
        <f t="shared" si="57"/>
        <v>0</v>
      </c>
      <c r="P37" s="560">
        <f t="shared" si="58"/>
        <v>0</v>
      </c>
      <c r="Q37" s="565">
        <f>Discount!$H$36</f>
        <v>0</v>
      </c>
      <c r="R37" s="565">
        <f t="shared" si="59"/>
        <v>0</v>
      </c>
      <c r="S37" s="565">
        <f t="shared" si="60"/>
        <v>0</v>
      </c>
      <c r="T37" s="666">
        <f t="shared" si="61"/>
        <v>0</v>
      </c>
      <c r="U37" s="681">
        <f t="shared" si="62"/>
        <v>0</v>
      </c>
      <c r="V37" s="681">
        <f t="shared" si="63"/>
        <v>0</v>
      </c>
    </row>
    <row r="38" spans="1:22" ht="51.75" customHeight="1">
      <c r="A38" s="490">
        <v>20</v>
      </c>
      <c r="B38" s="694">
        <v>7000020163</v>
      </c>
      <c r="C38" s="694">
        <v>210</v>
      </c>
      <c r="D38" s="695" t="s">
        <v>489</v>
      </c>
      <c r="E38" s="694">
        <v>1000026245</v>
      </c>
      <c r="F38" s="694">
        <v>85049010</v>
      </c>
      <c r="G38" s="671"/>
      <c r="H38" s="670">
        <v>18</v>
      </c>
      <c r="I38" s="672"/>
      <c r="J38" s="695" t="s">
        <v>498</v>
      </c>
      <c r="K38" s="694" t="s">
        <v>300</v>
      </c>
      <c r="L38" s="694">
        <v>1</v>
      </c>
      <c r="M38" s="680"/>
      <c r="N38" s="696" t="str">
        <f t="shared" si="40"/>
        <v>INCLUDED</v>
      </c>
      <c r="O38" s="560">
        <f t="shared" si="41"/>
        <v>0</v>
      </c>
      <c r="P38" s="560">
        <f t="shared" si="42"/>
        <v>0</v>
      </c>
      <c r="Q38" s="565">
        <f>Discount!$H$36</f>
        <v>0</v>
      </c>
      <c r="R38" s="565">
        <f t="shared" si="43"/>
        <v>0</v>
      </c>
      <c r="S38" s="565">
        <f t="shared" si="44"/>
        <v>0</v>
      </c>
      <c r="T38" s="666">
        <f t="shared" si="45"/>
        <v>0</v>
      </c>
      <c r="U38" s="681">
        <f t="shared" si="46"/>
        <v>0</v>
      </c>
      <c r="V38" s="681">
        <f t="shared" si="47"/>
        <v>0</v>
      </c>
    </row>
    <row r="39" spans="1:22" ht="49.5" customHeight="1">
      <c r="A39" s="490">
        <v>21</v>
      </c>
      <c r="B39" s="694">
        <v>7000020163</v>
      </c>
      <c r="C39" s="694">
        <v>220</v>
      </c>
      <c r="D39" s="695" t="s">
        <v>489</v>
      </c>
      <c r="E39" s="694">
        <v>1000032089</v>
      </c>
      <c r="F39" s="694">
        <v>85049010</v>
      </c>
      <c r="G39" s="671"/>
      <c r="H39" s="670">
        <v>18</v>
      </c>
      <c r="I39" s="672"/>
      <c r="J39" s="695" t="s">
        <v>499</v>
      </c>
      <c r="K39" s="694" t="s">
        <v>500</v>
      </c>
      <c r="L39" s="694">
        <v>5</v>
      </c>
      <c r="M39" s="680"/>
      <c r="N39" s="696" t="str">
        <f t="shared" si="32"/>
        <v>INCLUDED</v>
      </c>
      <c r="O39" s="560">
        <f t="shared" si="33"/>
        <v>0</v>
      </c>
      <c r="P39" s="560">
        <f t="shared" si="34"/>
        <v>0</v>
      </c>
      <c r="Q39" s="565">
        <f>Discount!$H$36</f>
        <v>0</v>
      </c>
      <c r="R39" s="565">
        <f t="shared" si="35"/>
        <v>0</v>
      </c>
      <c r="S39" s="565">
        <f t="shared" si="36"/>
        <v>0</v>
      </c>
      <c r="T39" s="666">
        <f t="shared" si="37"/>
        <v>0</v>
      </c>
      <c r="U39" s="681">
        <f t="shared" si="38"/>
        <v>0</v>
      </c>
      <c r="V39" s="681">
        <f t="shared" si="39"/>
        <v>0</v>
      </c>
    </row>
    <row r="40" spans="1:22" ht="51.75" customHeight="1">
      <c r="A40" s="490">
        <v>22</v>
      </c>
      <c r="B40" s="694">
        <v>7000020163</v>
      </c>
      <c r="C40" s="694">
        <v>230</v>
      </c>
      <c r="D40" s="695" t="s">
        <v>489</v>
      </c>
      <c r="E40" s="694">
        <v>1000028280</v>
      </c>
      <c r="F40" s="694">
        <v>85049010</v>
      </c>
      <c r="G40" s="671"/>
      <c r="H40" s="670">
        <v>18</v>
      </c>
      <c r="I40" s="672"/>
      <c r="J40" s="695" t="s">
        <v>501</v>
      </c>
      <c r="K40" s="694" t="s">
        <v>299</v>
      </c>
      <c r="L40" s="694">
        <v>1</v>
      </c>
      <c r="M40" s="680"/>
      <c r="N40" s="696" t="str">
        <f t="shared" si="32"/>
        <v>INCLUDED</v>
      </c>
      <c r="O40" s="560">
        <f t="shared" si="33"/>
        <v>0</v>
      </c>
      <c r="P40" s="560">
        <f t="shared" si="34"/>
        <v>0</v>
      </c>
      <c r="Q40" s="565">
        <f>Discount!$H$36</f>
        <v>0</v>
      </c>
      <c r="R40" s="565">
        <f t="shared" si="35"/>
        <v>0</v>
      </c>
      <c r="S40" s="565">
        <f t="shared" si="36"/>
        <v>0</v>
      </c>
      <c r="T40" s="666">
        <f t="shared" si="37"/>
        <v>0</v>
      </c>
      <c r="U40" s="681">
        <f t="shared" si="38"/>
        <v>0</v>
      </c>
      <c r="V40" s="681">
        <f t="shared" si="39"/>
        <v>0</v>
      </c>
    </row>
    <row r="41" spans="1:22" s="539" customFormat="1" ht="31.5" customHeight="1">
      <c r="A41" s="684" t="s">
        <v>484</v>
      </c>
      <c r="B41" s="685" t="s">
        <v>503</v>
      </c>
      <c r="C41" s="686"/>
      <c r="D41" s="686"/>
      <c r="E41" s="686"/>
      <c r="F41" s="686"/>
      <c r="G41" s="686"/>
      <c r="H41" s="686"/>
      <c r="I41" s="686"/>
      <c r="J41" s="686"/>
      <c r="K41" s="686"/>
      <c r="L41" s="686"/>
      <c r="M41" s="686"/>
      <c r="N41" s="687"/>
    </row>
    <row r="42" spans="1:22" ht="56.25" customHeight="1">
      <c r="A42" s="490">
        <v>23</v>
      </c>
      <c r="B42" s="694">
        <v>7000020167</v>
      </c>
      <c r="C42" s="694">
        <v>130</v>
      </c>
      <c r="D42" s="695" t="s">
        <v>488</v>
      </c>
      <c r="E42" s="694">
        <v>1000000705</v>
      </c>
      <c r="F42" s="694">
        <v>85042330</v>
      </c>
      <c r="G42" s="671"/>
      <c r="H42" s="670">
        <v>18</v>
      </c>
      <c r="I42" s="672"/>
      <c r="J42" s="695" t="s">
        <v>504</v>
      </c>
      <c r="K42" s="695" t="s">
        <v>299</v>
      </c>
      <c r="L42" s="695">
        <v>1</v>
      </c>
      <c r="M42" s="680"/>
      <c r="N42" s="696" t="str">
        <f t="shared" si="32"/>
        <v>INCLUDED</v>
      </c>
      <c r="O42" s="560">
        <f t="shared" si="33"/>
        <v>0</v>
      </c>
      <c r="P42" s="560">
        <f t="shared" si="34"/>
        <v>0</v>
      </c>
      <c r="Q42" s="565">
        <f>Discount!$H$36</f>
        <v>0</v>
      </c>
      <c r="R42" s="565">
        <f t="shared" si="35"/>
        <v>0</v>
      </c>
      <c r="S42" s="565">
        <f t="shared" si="36"/>
        <v>0</v>
      </c>
      <c r="T42" s="666">
        <f t="shared" si="37"/>
        <v>0</v>
      </c>
      <c r="U42" s="681">
        <f t="shared" si="38"/>
        <v>0</v>
      </c>
      <c r="V42" s="681">
        <f t="shared" si="39"/>
        <v>0</v>
      </c>
    </row>
    <row r="43" spans="1:22" ht="56.25" customHeight="1">
      <c r="A43" s="490">
        <v>24</v>
      </c>
      <c r="B43" s="694">
        <v>7000020167</v>
      </c>
      <c r="C43" s="694">
        <v>140</v>
      </c>
      <c r="D43" s="695" t="s">
        <v>488</v>
      </c>
      <c r="E43" s="694">
        <v>1000013947</v>
      </c>
      <c r="F43" s="694">
        <v>85049010</v>
      </c>
      <c r="G43" s="671"/>
      <c r="H43" s="670">
        <v>18</v>
      </c>
      <c r="I43" s="672"/>
      <c r="J43" s="695" t="s">
        <v>481</v>
      </c>
      <c r="K43" s="695" t="s">
        <v>300</v>
      </c>
      <c r="L43" s="695">
        <v>1</v>
      </c>
      <c r="M43" s="680"/>
      <c r="N43" s="696" t="str">
        <f t="shared" ref="N43:N47" si="64">IF(M43=0, "INCLUDED", IF(ISERROR(M43*L43), M43, M43*L43))</f>
        <v>INCLUDED</v>
      </c>
      <c r="O43" s="560">
        <f t="shared" ref="O43:O47" si="65">IF(N43="Included",0,N43)</f>
        <v>0</v>
      </c>
      <c r="P43" s="560">
        <f t="shared" ref="P43:P47" si="66">IF( I43="",H43*(IF(N43="Included",0,N43))/100,I43*(IF(N43="Included",0,N43)))</f>
        <v>0</v>
      </c>
      <c r="Q43" s="565">
        <f>Discount!$H$36</f>
        <v>0</v>
      </c>
      <c r="R43" s="565">
        <f t="shared" ref="R43:R47" si="67">Q43*O43</f>
        <v>0</v>
      </c>
      <c r="S43" s="565">
        <f t="shared" ref="S43:S47" si="68">IF(I43="",H43*R43/100,I43*R43)</f>
        <v>0</v>
      </c>
      <c r="T43" s="666">
        <f t="shared" ref="T43:T47" si="69">M43*L43</f>
        <v>0</v>
      </c>
      <c r="U43" s="681">
        <f t="shared" ref="U43:U47" si="70">L43*M43</f>
        <v>0</v>
      </c>
      <c r="V43" s="681">
        <f t="shared" ref="V43:V47" si="71">U43*0.18</f>
        <v>0</v>
      </c>
    </row>
    <row r="44" spans="1:22" ht="54.75" customHeight="1">
      <c r="A44" s="490">
        <v>25</v>
      </c>
      <c r="B44" s="694">
        <v>7000020167</v>
      </c>
      <c r="C44" s="694">
        <v>150</v>
      </c>
      <c r="D44" s="695" t="s">
        <v>489</v>
      </c>
      <c r="E44" s="694">
        <v>1000030934</v>
      </c>
      <c r="F44" s="694">
        <v>85049010</v>
      </c>
      <c r="G44" s="671"/>
      <c r="H44" s="670">
        <v>18</v>
      </c>
      <c r="I44" s="672"/>
      <c r="J44" s="695" t="s">
        <v>494</v>
      </c>
      <c r="K44" s="694" t="s">
        <v>299</v>
      </c>
      <c r="L44" s="694">
        <v>1</v>
      </c>
      <c r="M44" s="680"/>
      <c r="N44" s="696" t="str">
        <f t="shared" si="64"/>
        <v>INCLUDED</v>
      </c>
      <c r="O44" s="560">
        <f t="shared" si="65"/>
        <v>0</v>
      </c>
      <c r="P44" s="560">
        <f t="shared" si="66"/>
        <v>0</v>
      </c>
      <c r="Q44" s="565">
        <f>Discount!$H$36</f>
        <v>0</v>
      </c>
      <c r="R44" s="565">
        <f t="shared" si="67"/>
        <v>0</v>
      </c>
      <c r="S44" s="565">
        <f t="shared" si="68"/>
        <v>0</v>
      </c>
      <c r="T44" s="666">
        <f t="shared" si="69"/>
        <v>0</v>
      </c>
      <c r="U44" s="681">
        <f t="shared" si="70"/>
        <v>0</v>
      </c>
      <c r="V44" s="681">
        <f t="shared" si="71"/>
        <v>0</v>
      </c>
    </row>
    <row r="45" spans="1:22" ht="54.75" customHeight="1">
      <c r="A45" s="490">
        <v>26</v>
      </c>
      <c r="B45" s="694">
        <v>7000020167</v>
      </c>
      <c r="C45" s="694">
        <v>160</v>
      </c>
      <c r="D45" s="695" t="s">
        <v>489</v>
      </c>
      <c r="E45" s="694">
        <v>1000030920</v>
      </c>
      <c r="F45" s="694">
        <v>85049010</v>
      </c>
      <c r="G45" s="671"/>
      <c r="H45" s="670">
        <v>18</v>
      </c>
      <c r="I45" s="672"/>
      <c r="J45" s="695" t="s">
        <v>495</v>
      </c>
      <c r="K45" s="694" t="s">
        <v>299</v>
      </c>
      <c r="L45" s="694">
        <v>1</v>
      </c>
      <c r="M45" s="680"/>
      <c r="N45" s="696" t="str">
        <f t="shared" si="64"/>
        <v>INCLUDED</v>
      </c>
      <c r="O45" s="560">
        <f t="shared" si="65"/>
        <v>0</v>
      </c>
      <c r="P45" s="560">
        <f t="shared" si="66"/>
        <v>0</v>
      </c>
      <c r="Q45" s="565">
        <f>Discount!$H$36</f>
        <v>0</v>
      </c>
      <c r="R45" s="565">
        <f t="shared" si="67"/>
        <v>0</v>
      </c>
      <c r="S45" s="565">
        <f t="shared" si="68"/>
        <v>0</v>
      </c>
      <c r="T45" s="666">
        <f t="shared" si="69"/>
        <v>0</v>
      </c>
      <c r="U45" s="681">
        <f t="shared" si="70"/>
        <v>0</v>
      </c>
      <c r="V45" s="681">
        <f t="shared" si="71"/>
        <v>0</v>
      </c>
    </row>
    <row r="46" spans="1:22" ht="54.75" customHeight="1">
      <c r="A46" s="490">
        <v>27</v>
      </c>
      <c r="B46" s="695">
        <v>7000020167</v>
      </c>
      <c r="C46" s="695">
        <v>170</v>
      </c>
      <c r="D46" s="695" t="s">
        <v>489</v>
      </c>
      <c r="E46" s="695">
        <v>1000007921</v>
      </c>
      <c r="F46" s="695">
        <v>85049010</v>
      </c>
      <c r="G46" s="671"/>
      <c r="H46" s="670">
        <v>18</v>
      </c>
      <c r="I46" s="672"/>
      <c r="J46" s="695" t="s">
        <v>496</v>
      </c>
      <c r="K46" s="670" t="s">
        <v>300</v>
      </c>
      <c r="L46" s="697">
        <v>1</v>
      </c>
      <c r="M46" s="680"/>
      <c r="N46" s="696" t="str">
        <f t="shared" si="64"/>
        <v>INCLUDED</v>
      </c>
      <c r="O46" s="560">
        <f t="shared" si="65"/>
        <v>0</v>
      </c>
      <c r="P46" s="560">
        <f t="shared" si="66"/>
        <v>0</v>
      </c>
      <c r="Q46" s="565">
        <f>Discount!$H$36</f>
        <v>0</v>
      </c>
      <c r="R46" s="565">
        <f t="shared" si="67"/>
        <v>0</v>
      </c>
      <c r="S46" s="565">
        <f t="shared" si="68"/>
        <v>0</v>
      </c>
      <c r="T46" s="666">
        <f t="shared" si="69"/>
        <v>0</v>
      </c>
      <c r="U46" s="681">
        <f t="shared" si="70"/>
        <v>0</v>
      </c>
      <c r="V46" s="681">
        <f t="shared" si="71"/>
        <v>0</v>
      </c>
    </row>
    <row r="47" spans="1:22" ht="54.75" customHeight="1">
      <c r="A47" s="490">
        <v>28</v>
      </c>
      <c r="B47" s="695">
        <v>7000020167</v>
      </c>
      <c r="C47" s="695">
        <v>180</v>
      </c>
      <c r="D47" s="695" t="s">
        <v>489</v>
      </c>
      <c r="E47" s="695">
        <v>1000028774</v>
      </c>
      <c r="F47" s="695">
        <v>85049010</v>
      </c>
      <c r="G47" s="671"/>
      <c r="H47" s="670">
        <v>18</v>
      </c>
      <c r="I47" s="672"/>
      <c r="J47" s="695" t="s">
        <v>497</v>
      </c>
      <c r="K47" s="670" t="s">
        <v>299</v>
      </c>
      <c r="L47" s="697">
        <v>1</v>
      </c>
      <c r="M47" s="680"/>
      <c r="N47" s="696" t="str">
        <f t="shared" si="64"/>
        <v>INCLUDED</v>
      </c>
      <c r="O47" s="560">
        <f t="shared" si="65"/>
        <v>0</v>
      </c>
      <c r="P47" s="560">
        <f t="shared" si="66"/>
        <v>0</v>
      </c>
      <c r="Q47" s="565">
        <f>Discount!$H$36</f>
        <v>0</v>
      </c>
      <c r="R47" s="565">
        <f t="shared" si="67"/>
        <v>0</v>
      </c>
      <c r="S47" s="565">
        <f t="shared" si="68"/>
        <v>0</v>
      </c>
      <c r="T47" s="666">
        <f t="shared" si="69"/>
        <v>0</v>
      </c>
      <c r="U47" s="681">
        <f t="shared" si="70"/>
        <v>0</v>
      </c>
      <c r="V47" s="681">
        <f t="shared" si="71"/>
        <v>0</v>
      </c>
    </row>
    <row r="48" spans="1:22" ht="56.25" customHeight="1">
      <c r="A48" s="490">
        <v>29</v>
      </c>
      <c r="B48" s="694">
        <v>7000020167</v>
      </c>
      <c r="C48" s="694">
        <v>190</v>
      </c>
      <c r="D48" s="695" t="s">
        <v>489</v>
      </c>
      <c r="E48" s="694">
        <v>1000026245</v>
      </c>
      <c r="F48" s="694">
        <v>85049010</v>
      </c>
      <c r="G48" s="671"/>
      <c r="H48" s="670">
        <v>18</v>
      </c>
      <c r="I48" s="672"/>
      <c r="J48" s="695" t="s">
        <v>498</v>
      </c>
      <c r="K48" s="695" t="s">
        <v>300</v>
      </c>
      <c r="L48" s="695">
        <v>1</v>
      </c>
      <c r="M48" s="680"/>
      <c r="N48" s="696" t="str">
        <f t="shared" si="32"/>
        <v>INCLUDED</v>
      </c>
      <c r="O48" s="560">
        <f t="shared" si="33"/>
        <v>0</v>
      </c>
      <c r="P48" s="560">
        <f t="shared" si="34"/>
        <v>0</v>
      </c>
      <c r="Q48" s="565">
        <f>Discount!$H$36</f>
        <v>0</v>
      </c>
      <c r="R48" s="565">
        <f t="shared" si="35"/>
        <v>0</v>
      </c>
      <c r="S48" s="565">
        <f t="shared" si="36"/>
        <v>0</v>
      </c>
      <c r="T48" s="666">
        <f t="shared" si="37"/>
        <v>0</v>
      </c>
      <c r="U48" s="681">
        <f t="shared" si="38"/>
        <v>0</v>
      </c>
      <c r="V48" s="681">
        <f t="shared" si="39"/>
        <v>0</v>
      </c>
    </row>
    <row r="49" spans="1:22" ht="54.75" customHeight="1">
      <c r="A49" s="490">
        <v>30</v>
      </c>
      <c r="B49" s="694">
        <v>7000020167</v>
      </c>
      <c r="C49" s="694">
        <v>200</v>
      </c>
      <c r="D49" s="695" t="s">
        <v>489</v>
      </c>
      <c r="E49" s="694">
        <v>1000032089</v>
      </c>
      <c r="F49" s="694">
        <v>85049010</v>
      </c>
      <c r="G49" s="671"/>
      <c r="H49" s="670">
        <v>18</v>
      </c>
      <c r="I49" s="672"/>
      <c r="J49" s="695" t="s">
        <v>499</v>
      </c>
      <c r="K49" s="694" t="s">
        <v>500</v>
      </c>
      <c r="L49" s="694">
        <v>5</v>
      </c>
      <c r="M49" s="680"/>
      <c r="N49" s="696" t="str">
        <f t="shared" ref="N49:N50" si="72">IF(M49=0, "INCLUDED", IF(ISERROR(M49*L49), M49, M49*L49))</f>
        <v>INCLUDED</v>
      </c>
      <c r="O49" s="560">
        <f t="shared" ref="O49:O50" si="73">IF(N49="Included",0,N49)</f>
        <v>0</v>
      </c>
      <c r="P49" s="560">
        <f t="shared" ref="P49:P50" si="74">IF( I49="",H49*(IF(N49="Included",0,N49))/100,I49*(IF(N49="Included",0,N49)))</f>
        <v>0</v>
      </c>
      <c r="Q49" s="565">
        <f>Discount!$H$36</f>
        <v>0</v>
      </c>
      <c r="R49" s="565">
        <f t="shared" ref="R49:R50" si="75">Q49*O49</f>
        <v>0</v>
      </c>
      <c r="S49" s="565">
        <f t="shared" ref="S49:S50" si="76">IF(I49="",H49*R49/100,I49*R49)</f>
        <v>0</v>
      </c>
      <c r="T49" s="666">
        <f t="shared" ref="T49:T50" si="77">M49*L49</f>
        <v>0</v>
      </c>
      <c r="U49" s="681">
        <f t="shared" ref="U49:U50" si="78">L49*M49</f>
        <v>0</v>
      </c>
      <c r="V49" s="681">
        <f t="shared" ref="V49:V50" si="79">U49*0.18</f>
        <v>0</v>
      </c>
    </row>
    <row r="50" spans="1:22" ht="54.75" customHeight="1">
      <c r="A50" s="490">
        <v>31</v>
      </c>
      <c r="B50" s="694">
        <v>7000020167</v>
      </c>
      <c r="C50" s="694">
        <v>210</v>
      </c>
      <c r="D50" s="695" t="s">
        <v>489</v>
      </c>
      <c r="E50" s="694">
        <v>1000028280</v>
      </c>
      <c r="F50" s="694">
        <v>85049010</v>
      </c>
      <c r="G50" s="671"/>
      <c r="H50" s="670">
        <v>18</v>
      </c>
      <c r="I50" s="672"/>
      <c r="J50" s="695" t="s">
        <v>501</v>
      </c>
      <c r="K50" s="694" t="s">
        <v>299</v>
      </c>
      <c r="L50" s="694">
        <v>1</v>
      </c>
      <c r="M50" s="680"/>
      <c r="N50" s="696" t="str">
        <f t="shared" si="72"/>
        <v>INCLUDED</v>
      </c>
      <c r="O50" s="560">
        <f t="shared" si="73"/>
        <v>0</v>
      </c>
      <c r="P50" s="560">
        <f t="shared" si="74"/>
        <v>0</v>
      </c>
      <c r="Q50" s="565">
        <f>Discount!$H$36</f>
        <v>0</v>
      </c>
      <c r="R50" s="565">
        <f t="shared" si="75"/>
        <v>0</v>
      </c>
      <c r="S50" s="565">
        <f t="shared" si="76"/>
        <v>0</v>
      </c>
      <c r="T50" s="666">
        <f t="shared" si="77"/>
        <v>0</v>
      </c>
      <c r="U50" s="681">
        <f t="shared" si="78"/>
        <v>0</v>
      </c>
      <c r="V50" s="681">
        <f t="shared" si="79"/>
        <v>0</v>
      </c>
    </row>
    <row r="51" spans="1:22" ht="22.5" customHeight="1">
      <c r="A51" s="764" t="s">
        <v>472</v>
      </c>
      <c r="B51" s="764"/>
      <c r="C51" s="764"/>
      <c r="D51" s="764"/>
      <c r="E51" s="764"/>
      <c r="F51" s="764"/>
      <c r="G51" s="764"/>
      <c r="H51" s="764"/>
      <c r="I51" s="764"/>
      <c r="J51" s="764"/>
      <c r="K51" s="764"/>
      <c r="L51" s="764"/>
      <c r="M51" s="764"/>
      <c r="N51" s="653">
        <f>SUM(N18:N50)</f>
        <v>0</v>
      </c>
      <c r="O51" s="561"/>
      <c r="P51" s="562">
        <f>SUM(P18:P50)</f>
        <v>0</v>
      </c>
      <c r="Q51" s="563"/>
      <c r="R51" s="655">
        <f>SUM(R18:R50)</f>
        <v>0</v>
      </c>
      <c r="S51" s="564">
        <f>SUM(S18:S50)</f>
        <v>0</v>
      </c>
      <c r="T51" s="666">
        <f>SUM(T18:T50)</f>
        <v>0</v>
      </c>
      <c r="U51" s="681">
        <f>SUM(U18:U50)</f>
        <v>0</v>
      </c>
      <c r="V51" s="681">
        <f>SUM(V18:V50)</f>
        <v>0</v>
      </c>
    </row>
    <row r="52" spans="1:22" ht="22.5" customHeight="1">
      <c r="A52" s="764" t="s">
        <v>271</v>
      </c>
      <c r="B52" s="764"/>
      <c r="C52" s="764"/>
      <c r="D52" s="764"/>
      <c r="E52" s="764"/>
      <c r="F52" s="764"/>
      <c r="G52" s="764"/>
      <c r="H52" s="764"/>
      <c r="I52" s="764"/>
      <c r="J52" s="764"/>
      <c r="K52" s="764"/>
      <c r="L52" s="764"/>
      <c r="M52" s="764"/>
      <c r="N52" s="653">
        <f>'Sch-7'!M18</f>
        <v>0</v>
      </c>
      <c r="Q52" s="472"/>
      <c r="R52" s="472"/>
      <c r="S52" s="472"/>
      <c r="U52" s="681">
        <f>N51-U51</f>
        <v>0</v>
      </c>
      <c r="V52" s="681">
        <f>P51-V51</f>
        <v>0</v>
      </c>
    </row>
    <row r="53" spans="1:22" ht="22.5" customHeight="1">
      <c r="A53" s="764" t="s">
        <v>473</v>
      </c>
      <c r="B53" s="764"/>
      <c r="C53" s="764"/>
      <c r="D53" s="764"/>
      <c r="E53" s="764"/>
      <c r="F53" s="764"/>
      <c r="G53" s="764"/>
      <c r="H53" s="764"/>
      <c r="I53" s="764"/>
      <c r="J53" s="764"/>
      <c r="K53" s="764"/>
      <c r="L53" s="764"/>
      <c r="M53" s="764"/>
      <c r="N53" s="653">
        <f>N51+N52</f>
        <v>0</v>
      </c>
      <c r="Q53" s="472"/>
      <c r="R53" s="472"/>
      <c r="S53" s="472"/>
    </row>
    <row r="54" spans="1:22" ht="47.25" customHeight="1">
      <c r="B54" s="766" t="s">
        <v>310</v>
      </c>
      <c r="C54" s="766"/>
      <c r="D54" s="766"/>
      <c r="E54" s="766"/>
      <c r="F54" s="766"/>
      <c r="G54" s="766"/>
      <c r="H54" s="766"/>
      <c r="I54" s="766"/>
      <c r="J54" s="766"/>
      <c r="K54" s="766"/>
      <c r="L54" s="766"/>
      <c r="M54" s="766"/>
      <c r="N54" s="766"/>
      <c r="Q54" s="472"/>
      <c r="R54" s="472"/>
      <c r="S54" s="472"/>
    </row>
    <row r="55" spans="1:22">
      <c r="H55" s="435"/>
      <c r="O55" s="472"/>
      <c r="P55" s="472"/>
      <c r="Q55" s="472"/>
      <c r="R55" s="472"/>
      <c r="S55" s="472"/>
    </row>
    <row r="56" spans="1:22" ht="16.5">
      <c r="B56" s="435" t="s">
        <v>316</v>
      </c>
      <c r="C56" s="768" t="str">
        <f>'Names of Bidder'!D27&amp;" "&amp;'Names of Bidder'!E27&amp;" "&amp;'Names of Bidder'!F27</f>
        <v xml:space="preserve">  </v>
      </c>
      <c r="D56" s="765"/>
      <c r="H56" s="435"/>
      <c r="I56" s="494"/>
      <c r="J56" s="658" t="s">
        <v>318</v>
      </c>
      <c r="K56" s="767" t="str">
        <f>IF('Names of Bidder'!D24="","",'Names of Bidder'!D24)</f>
        <v/>
      </c>
      <c r="L56" s="767"/>
      <c r="M56" s="767"/>
      <c r="N56" s="767"/>
      <c r="O56" s="472"/>
      <c r="P56" s="472"/>
      <c r="Q56" s="472"/>
      <c r="R56" s="472"/>
      <c r="S56" s="472"/>
    </row>
    <row r="57" spans="1:22" ht="16.5">
      <c r="B57" s="435" t="s">
        <v>317</v>
      </c>
      <c r="C57" s="765" t="str">
        <f>IF('Names of Bidder'!D28="","",'Names of Bidder'!D28)</f>
        <v/>
      </c>
      <c r="D57" s="765"/>
      <c r="H57" s="435"/>
      <c r="I57" s="494"/>
      <c r="J57" s="658" t="s">
        <v>125</v>
      </c>
      <c r="K57" s="767" t="str">
        <f>IF('Names of Bidder'!D25="","",'Names of Bidder'!D25)</f>
        <v/>
      </c>
      <c r="L57" s="767"/>
      <c r="M57" s="767"/>
      <c r="N57" s="767"/>
      <c r="O57" s="472"/>
      <c r="P57" s="472"/>
      <c r="Q57" s="472"/>
      <c r="R57" s="472"/>
      <c r="S57" s="472"/>
    </row>
    <row r="58" spans="1:22">
      <c r="H58" s="435"/>
      <c r="O58" s="472"/>
      <c r="P58" s="472"/>
      <c r="Q58" s="472"/>
      <c r="R58" s="472"/>
      <c r="S58" s="472"/>
    </row>
    <row r="59" spans="1:22">
      <c r="G59" s="495"/>
      <c r="H59" s="495"/>
      <c r="I59" s="495"/>
    </row>
    <row r="60" spans="1:22">
      <c r="G60" s="495"/>
      <c r="H60" s="495"/>
      <c r="I60" s="495"/>
    </row>
    <row r="61" spans="1:22">
      <c r="G61" s="495"/>
      <c r="H61" s="495"/>
      <c r="I61" s="495"/>
    </row>
    <row r="62" spans="1:22">
      <c r="G62" s="495"/>
      <c r="H62" s="495"/>
      <c r="I62" s="495"/>
      <c r="M62" s="668"/>
    </row>
    <row r="63" spans="1:22">
      <c r="G63" s="495"/>
      <c r="H63" s="495"/>
      <c r="I63" s="495"/>
    </row>
    <row r="64" spans="1:22">
      <c r="G64" s="495"/>
      <c r="H64" s="495"/>
      <c r="I64" s="495"/>
    </row>
    <row r="65" spans="7:15">
      <c r="G65" s="495"/>
      <c r="H65" s="495"/>
      <c r="I65" s="495"/>
      <c r="O65" s="668"/>
    </row>
    <row r="66" spans="7:15">
      <c r="G66" s="495"/>
      <c r="H66" s="495"/>
      <c r="I66" s="495"/>
    </row>
    <row r="67" spans="7:15">
      <c r="G67" s="495"/>
      <c r="H67" s="495"/>
      <c r="I67" s="495"/>
    </row>
    <row r="68" spans="7:15">
      <c r="G68" s="495"/>
      <c r="H68" s="495"/>
      <c r="I68" s="495"/>
    </row>
    <row r="69" spans="7:15">
      <c r="G69" s="495"/>
      <c r="H69" s="495"/>
      <c r="I69" s="495"/>
    </row>
    <row r="70" spans="7:15">
      <c r="G70" s="495"/>
      <c r="H70" s="495"/>
      <c r="I70" s="495"/>
    </row>
    <row r="71" spans="7:15">
      <c r="G71" s="495"/>
      <c r="H71" s="495"/>
      <c r="I71" s="495"/>
    </row>
    <row r="72" spans="7:15">
      <c r="G72" s="495"/>
      <c r="H72" s="495"/>
      <c r="I72" s="495"/>
    </row>
    <row r="73" spans="7:15">
      <c r="G73" s="495"/>
      <c r="H73" s="495"/>
      <c r="I73" s="495"/>
    </row>
    <row r="74" spans="7:15">
      <c r="G74" s="495"/>
      <c r="H74" s="495"/>
      <c r="I74" s="495"/>
    </row>
    <row r="75" spans="7:15">
      <c r="G75" s="495"/>
      <c r="H75" s="495"/>
      <c r="I75" s="495"/>
    </row>
    <row r="76" spans="7:15">
      <c r="G76" s="495"/>
      <c r="H76" s="495"/>
      <c r="I76" s="495"/>
    </row>
    <row r="77" spans="7:15">
      <c r="G77" s="495"/>
      <c r="H77" s="495"/>
      <c r="I77" s="495"/>
    </row>
    <row r="78" spans="7:15">
      <c r="G78" s="495"/>
      <c r="H78" s="495"/>
      <c r="I78" s="495"/>
    </row>
    <row r="79" spans="7:15">
      <c r="G79" s="495"/>
      <c r="H79" s="495"/>
      <c r="I79" s="495"/>
    </row>
    <row r="80" spans="7:15">
      <c r="G80" s="495"/>
      <c r="H80" s="495"/>
      <c r="I80" s="495"/>
    </row>
    <row r="81" spans="7:9">
      <c r="G81" s="495"/>
      <c r="H81" s="495"/>
      <c r="I81" s="495"/>
    </row>
    <row r="82" spans="7:9">
      <c r="G82" s="495"/>
      <c r="H82" s="495"/>
      <c r="I82" s="495"/>
    </row>
    <row r="83" spans="7:9">
      <c r="G83" s="495"/>
      <c r="H83" s="495"/>
      <c r="I83" s="495"/>
    </row>
    <row r="84" spans="7:9">
      <c r="G84" s="495"/>
      <c r="H84" s="495"/>
      <c r="I84" s="495"/>
    </row>
    <row r="85" spans="7:9">
      <c r="G85" s="495"/>
      <c r="H85" s="495"/>
      <c r="I85" s="495"/>
    </row>
    <row r="86" spans="7:9">
      <c r="G86" s="495"/>
      <c r="H86" s="495"/>
      <c r="I86" s="495"/>
    </row>
    <row r="87" spans="7:9">
      <c r="G87" s="495"/>
      <c r="H87" s="495"/>
      <c r="I87" s="495"/>
    </row>
    <row r="88" spans="7:9">
      <c r="G88" s="495"/>
      <c r="H88" s="495"/>
      <c r="I88" s="495"/>
    </row>
    <row r="89" spans="7:9">
      <c r="G89" s="495"/>
      <c r="H89" s="495"/>
      <c r="I89" s="495"/>
    </row>
    <row r="90" spans="7:9">
      <c r="G90" s="495"/>
      <c r="H90" s="495"/>
      <c r="I90" s="495"/>
    </row>
  </sheetData>
  <sheetProtection algorithmName="SHA-512" hashValue="y9tm4I8KFl3jMAg/7Z21QuGAGTKn7zY7eE+Utv39VhVW9CIMIO1N+N9A8yS7Wq+pcy+3QcqkuzB0YMNf07kOjg==" saltValue="b/bu2ABb+rXlAIPQtq2g/w==" spinCount="100000" sheet="1" formatRows="0" selectLockedCells="1"/>
  <customSheetViews>
    <customSheetView guid="{CCA37BAE-906F-43D5-9FD9-B13563E4B9D7}" scale="60" showPageBreaks="1" fitToPage="1" printArea="1" hiddenColumns="1" view="pageBreakPreview" topLeftCell="A13">
      <selection activeCell="M18" sqref="M18"/>
      <pageMargins left="0.25" right="0.25" top="0.75" bottom="0.5" header="0.3" footer="0.5"/>
      <printOptions horizontalCentered="1"/>
      <pageSetup paperSize="9" scale="52" fitToHeight="0" orientation="landscape" r:id="rId1"/>
      <headerFooter>
        <oddHeader>&amp;RSchedule-1
Page &amp;P of &amp;N</oddHeader>
      </headerFooter>
    </customSheetView>
    <customSheetView guid="{84F40905-A9D3-43A5-987A-8A757D486A94}"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2"/>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4"/>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5"/>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6"/>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7"/>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8"/>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11"/>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12"/>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15"/>
      <headerFooter>
        <oddHeader>&amp;RSchedule-1
Page &amp;P of &amp;N</oddHeader>
      </headerFooter>
    </customSheetView>
    <customSheetView guid="{9E88A623-8EDB-47F0-815B-9C48385C3E73}"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16"/>
      <headerFooter>
        <oddHeader>&amp;RSchedule-1
Page &amp;P of &amp;N</oddHeader>
      </headerFooter>
    </customSheetView>
  </customSheetViews>
  <mergeCells count="22">
    <mergeCell ref="Z10:AL10"/>
    <mergeCell ref="Z8:AL8"/>
    <mergeCell ref="Z9:AL9"/>
    <mergeCell ref="A51:M51"/>
    <mergeCell ref="C57:D57"/>
    <mergeCell ref="B54:N54"/>
    <mergeCell ref="K57:N57"/>
    <mergeCell ref="K56:N56"/>
    <mergeCell ref="A52:M52"/>
    <mergeCell ref="A53:M53"/>
    <mergeCell ref="C56:D56"/>
    <mergeCell ref="A3:N3"/>
    <mergeCell ref="A4:N4"/>
    <mergeCell ref="A6:B6"/>
    <mergeCell ref="A8:G8"/>
    <mergeCell ref="K14:N14"/>
    <mergeCell ref="C12:G12"/>
    <mergeCell ref="C10:G10"/>
    <mergeCell ref="C9:G9"/>
    <mergeCell ref="A7:I7"/>
    <mergeCell ref="A13:N13"/>
    <mergeCell ref="C11:G11"/>
  </mergeCells>
  <conditionalFormatting sqref="I27:I28 I39:I40 I42 I48:I50">
    <cfRule type="expression" dxfId="27" priority="35" stopIfTrue="1">
      <formula>H27&gt;0</formula>
    </cfRule>
  </conditionalFormatting>
  <conditionalFormatting sqref="I18 I26">
    <cfRule type="expression" dxfId="26" priority="17" stopIfTrue="1">
      <formula>H18&gt;0</formula>
    </cfRule>
  </conditionalFormatting>
  <conditionalFormatting sqref="I25">
    <cfRule type="expression" dxfId="25" priority="16" stopIfTrue="1">
      <formula>H25&gt;0</formula>
    </cfRule>
  </conditionalFormatting>
  <conditionalFormatting sqref="I19">
    <cfRule type="expression" dxfId="24" priority="15" stopIfTrue="1">
      <formula>H19&gt;0</formula>
    </cfRule>
  </conditionalFormatting>
  <conditionalFormatting sqref="I24">
    <cfRule type="expression" dxfId="23" priority="14" stopIfTrue="1">
      <formula>H24&gt;0</formula>
    </cfRule>
  </conditionalFormatting>
  <conditionalFormatting sqref="I23">
    <cfRule type="expression" dxfId="22" priority="13" stopIfTrue="1">
      <formula>H23&gt;0</formula>
    </cfRule>
  </conditionalFormatting>
  <conditionalFormatting sqref="I22">
    <cfRule type="expression" dxfId="21" priority="12" stopIfTrue="1">
      <formula>H22&gt;0</formula>
    </cfRule>
  </conditionalFormatting>
  <conditionalFormatting sqref="I21">
    <cfRule type="expression" dxfId="20" priority="11" stopIfTrue="1">
      <formula>H21&gt;0</formula>
    </cfRule>
  </conditionalFormatting>
  <conditionalFormatting sqref="I20">
    <cfRule type="expression" dxfId="19" priority="10" stopIfTrue="1">
      <formula>H20&gt;0</formula>
    </cfRule>
  </conditionalFormatting>
  <conditionalFormatting sqref="I30 I38">
    <cfRule type="expression" dxfId="18" priority="9" stopIfTrue="1">
      <formula>H30&gt;0</formula>
    </cfRule>
  </conditionalFormatting>
  <conditionalFormatting sqref="I37">
    <cfRule type="expression" dxfId="17" priority="8" stopIfTrue="1">
      <formula>H37&gt;0</formula>
    </cfRule>
  </conditionalFormatting>
  <conditionalFormatting sqref="I36">
    <cfRule type="expression" dxfId="16" priority="7" stopIfTrue="1">
      <formula>H36&gt;0</formula>
    </cfRule>
  </conditionalFormatting>
  <conditionalFormatting sqref="I35">
    <cfRule type="expression" dxfId="15" priority="6" stopIfTrue="1">
      <formula>H35&gt;0</formula>
    </cfRule>
  </conditionalFormatting>
  <conditionalFormatting sqref="I34">
    <cfRule type="expression" dxfId="14" priority="5" stopIfTrue="1">
      <formula>H34&gt;0</formula>
    </cfRule>
  </conditionalFormatting>
  <conditionalFormatting sqref="I33">
    <cfRule type="expression" dxfId="13" priority="4" stopIfTrue="1">
      <formula>H33&gt;0</formula>
    </cfRule>
  </conditionalFormatting>
  <conditionalFormatting sqref="I32">
    <cfRule type="expression" dxfId="12" priority="3" stopIfTrue="1">
      <formula>H32&gt;0</formula>
    </cfRule>
  </conditionalFormatting>
  <conditionalFormatting sqref="I31">
    <cfRule type="expression" dxfId="11" priority="2" stopIfTrue="1">
      <formula>H31&gt;0</formula>
    </cfRule>
  </conditionalFormatting>
  <conditionalFormatting sqref="I43:I47">
    <cfRule type="expression" dxfId="10" priority="1" stopIfTrue="1">
      <formula>H43&gt;0</formula>
    </cfRule>
  </conditionalFormatting>
  <dataValidations count="3">
    <dataValidation type="decimal" operator="greaterThanOrEqual" allowBlank="1" showInputMessage="1" showErrorMessage="1" sqref="M18:M28 M30:M40 M42:M50" xr:uid="{00000000-0002-0000-0400-000000000000}">
      <formula1>0</formula1>
    </dataValidation>
    <dataValidation type="list" operator="greaterThan" allowBlank="1" showInputMessage="1" showErrorMessage="1" sqref="I18:I28 I30:I40 I42:I50" xr:uid="{00000000-0002-0000-0400-000001000000}">
      <formula1>"0%,5%,12%,18%,28%"</formula1>
    </dataValidation>
    <dataValidation type="whole" operator="greaterThan" allowBlank="1" showInputMessage="1" showErrorMessage="1" sqref="G18:G28 G30:G40 G42:G50" xr:uid="{00000000-0002-0000-0400-000002000000}">
      <formula1>0</formula1>
    </dataValidation>
  </dataValidations>
  <printOptions horizontalCentered="1"/>
  <pageMargins left="0.25" right="0.25" top="0.75" bottom="0.5" header="0.3" footer="0.5"/>
  <pageSetup paperSize="9" scale="52" fitToHeight="0" orientation="landscape" r:id="rId17"/>
  <headerFooter>
    <oddHeader>&amp;RSchedule-1
Page &amp;P of &amp;N</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57"/>
  <sheetViews>
    <sheetView view="pageBreakPreview" topLeftCell="A42" zoomScale="60" zoomScaleNormal="100" workbookViewId="0">
      <selection activeCell="I50" sqref="I50"/>
    </sheetView>
  </sheetViews>
  <sheetFormatPr defaultColWidth="9.140625" defaultRowHeight="15.75"/>
  <cols>
    <col min="1" max="1" width="6.140625" style="394" customWidth="1"/>
    <col min="2" max="2" width="21.140625" style="394" customWidth="1"/>
    <col min="3" max="3" width="11.28515625" style="394" customWidth="1"/>
    <col min="4" max="4" width="23.85546875" style="394" customWidth="1"/>
    <col min="5" max="5" width="20.28515625" style="394" customWidth="1"/>
    <col min="6" max="6" width="62" style="388" customWidth="1"/>
    <col min="7" max="7" width="11.28515625" style="394" customWidth="1"/>
    <col min="8" max="8" width="11" style="394" customWidth="1"/>
    <col min="9" max="9" width="22.140625" style="8" customWidth="1"/>
    <col min="10" max="10" width="30.42578125" style="394" customWidth="1"/>
    <col min="11" max="13" width="10.28515625" style="384" customWidth="1"/>
    <col min="14" max="14" width="9.140625" style="384" customWidth="1"/>
    <col min="15" max="28" width="9.140625" style="384"/>
    <col min="29" max="16384" width="9.140625" style="392"/>
  </cols>
  <sheetData>
    <row r="1" spans="1:32" ht="27.75" customHeight="1">
      <c r="A1" s="1" t="str">
        <f>Basic!B5</f>
        <v>Spec. No: CC/NT/W-RT/DOM/A00/23/02849</v>
      </c>
      <c r="B1" s="1"/>
      <c r="C1" s="1"/>
      <c r="D1" s="387"/>
      <c r="E1" s="387"/>
      <c r="F1" s="387"/>
      <c r="G1" s="390"/>
      <c r="H1" s="390"/>
      <c r="I1" s="391"/>
      <c r="J1" s="566" t="s">
        <v>14</v>
      </c>
    </row>
    <row r="2" spans="1:32" ht="21.75" customHeight="1">
      <c r="A2" s="386"/>
      <c r="B2" s="386"/>
      <c r="C2" s="386"/>
      <c r="D2" s="386"/>
      <c r="E2" s="386"/>
      <c r="F2" s="386"/>
      <c r="G2" s="324"/>
      <c r="H2" s="324"/>
      <c r="I2" s="392"/>
      <c r="J2" s="324"/>
    </row>
    <row r="3" spans="1:32" ht="69" customHeight="1">
      <c r="A3" s="755"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755"/>
      <c r="C3" s="755"/>
      <c r="D3" s="755"/>
      <c r="E3" s="755"/>
      <c r="F3" s="755"/>
      <c r="G3" s="755"/>
      <c r="H3" s="755"/>
      <c r="I3" s="755"/>
      <c r="J3" s="755"/>
      <c r="K3" s="393"/>
      <c r="N3" s="771"/>
      <c r="O3" s="771"/>
      <c r="AC3" s="384"/>
      <c r="AD3" s="384"/>
      <c r="AE3" s="384"/>
      <c r="AF3" s="384"/>
    </row>
    <row r="4" spans="1:32" ht="21.95" customHeight="1">
      <c r="A4" s="772" t="s">
        <v>0</v>
      </c>
      <c r="B4" s="772"/>
      <c r="C4" s="772"/>
      <c r="D4" s="772"/>
      <c r="E4" s="772"/>
      <c r="F4" s="772"/>
      <c r="G4" s="772"/>
      <c r="H4" s="772"/>
      <c r="I4" s="772"/>
      <c r="J4" s="772"/>
    </row>
    <row r="5" spans="1:32" ht="15" customHeight="1">
      <c r="J5" s="324"/>
    </row>
    <row r="6" spans="1:32" ht="22.5" customHeight="1">
      <c r="A6" s="757" t="s">
        <v>349</v>
      </c>
      <c r="B6" s="757"/>
      <c r="C6" s="4"/>
      <c r="D6" s="324"/>
      <c r="E6" s="4"/>
      <c r="F6" s="4"/>
      <c r="G6" s="4"/>
      <c r="H6" s="4"/>
      <c r="I6" s="4"/>
      <c r="J6" s="324"/>
    </row>
    <row r="7" spans="1:32" ht="25.5" customHeight="1">
      <c r="A7" s="761">
        <f>'Sch-1'!A7</f>
        <v>0</v>
      </c>
      <c r="B7" s="761"/>
      <c r="C7" s="761"/>
      <c r="D7" s="761"/>
      <c r="E7" s="761"/>
      <c r="F7" s="761"/>
      <c r="G7" s="532"/>
      <c r="H7" s="418" t="s">
        <v>1</v>
      </c>
      <c r="I7" s="532"/>
      <c r="J7" s="324"/>
    </row>
    <row r="8" spans="1:32" ht="29.25" customHeight="1">
      <c r="A8" s="758" t="str">
        <f>"Bidder’s Name and Address  (" &amp; MID('Names of Bidder'!B9,9, 20) &amp; ") :"</f>
        <v>Bidder’s Name and Address  (Sole Bidder) :</v>
      </c>
      <c r="B8" s="758"/>
      <c r="C8" s="758"/>
      <c r="D8" s="758"/>
      <c r="E8" s="758"/>
      <c r="F8" s="758"/>
      <c r="G8" s="758"/>
      <c r="H8" s="238" t="s">
        <v>2</v>
      </c>
      <c r="I8" s="401"/>
      <c r="J8" s="324"/>
    </row>
    <row r="9" spans="1:32" ht="26.25" customHeight="1">
      <c r="A9" s="422" t="s">
        <v>12</v>
      </c>
      <c r="B9" s="376"/>
      <c r="C9" s="761" t="str">
        <f>IF('Names of Bidder'!D9=0, "", 'Names of Bidder'!D9)</f>
        <v/>
      </c>
      <c r="D9" s="761"/>
      <c r="E9" s="761"/>
      <c r="F9" s="533"/>
      <c r="G9" s="533"/>
      <c r="H9" s="238" t="s">
        <v>3</v>
      </c>
      <c r="I9" s="378"/>
      <c r="J9" s="324"/>
    </row>
    <row r="10" spans="1:32" ht="17.25" customHeight="1">
      <c r="A10" s="422" t="s">
        <v>11</v>
      </c>
      <c r="B10" s="376"/>
      <c r="C10" s="760" t="str">
        <f>IF('Names of Bidder'!D10=0, "", 'Names of Bidder'!D10)</f>
        <v/>
      </c>
      <c r="D10" s="760"/>
      <c r="E10" s="760"/>
      <c r="F10" s="533"/>
      <c r="G10" s="533"/>
      <c r="H10" s="238" t="s">
        <v>4</v>
      </c>
      <c r="I10" s="378"/>
      <c r="J10" s="324"/>
    </row>
    <row r="11" spans="1:32" ht="18" customHeight="1">
      <c r="A11" s="378"/>
      <c r="B11" s="378"/>
      <c r="C11" s="760" t="str">
        <f>IF('Names of Bidder'!D11=0, "", 'Names of Bidder'!D11)</f>
        <v/>
      </c>
      <c r="D11" s="760"/>
      <c r="E11" s="760"/>
      <c r="F11" s="533"/>
      <c r="G11" s="533"/>
      <c r="H11" s="238" t="s">
        <v>5</v>
      </c>
      <c r="I11" s="378"/>
      <c r="J11" s="324"/>
    </row>
    <row r="12" spans="1:32" ht="18" customHeight="1">
      <c r="A12" s="378"/>
      <c r="B12" s="378"/>
      <c r="C12" s="760" t="str">
        <f>IF('Names of Bidder'!D12=0, "", 'Names of Bidder'!D12)</f>
        <v/>
      </c>
      <c r="D12" s="760"/>
      <c r="E12" s="760"/>
      <c r="F12" s="533"/>
      <c r="G12" s="533"/>
      <c r="H12" s="238" t="s">
        <v>6</v>
      </c>
      <c r="I12" s="378"/>
      <c r="J12" s="324"/>
    </row>
    <row r="13" spans="1:32" s="401" customFormat="1" ht="26.45" customHeight="1">
      <c r="A13" s="769" t="s">
        <v>363</v>
      </c>
      <c r="B13" s="769"/>
      <c r="C13" s="769"/>
      <c r="D13" s="769"/>
      <c r="E13" s="769"/>
      <c r="F13" s="769"/>
      <c r="G13" s="769"/>
      <c r="H13" s="769"/>
      <c r="I13" s="769"/>
      <c r="J13" s="769"/>
      <c r="K13" s="430"/>
      <c r="L13" s="430"/>
      <c r="M13" s="430"/>
      <c r="N13" s="430"/>
      <c r="O13" s="430"/>
      <c r="P13" s="430"/>
      <c r="Q13" s="430"/>
      <c r="R13" s="430"/>
      <c r="S13" s="430"/>
      <c r="T13" s="430"/>
      <c r="U13" s="430"/>
      <c r="V13" s="430"/>
      <c r="W13" s="430"/>
      <c r="X13" s="430"/>
      <c r="Y13" s="430"/>
      <c r="Z13" s="430"/>
      <c r="AA13" s="430"/>
      <c r="AB13" s="430"/>
    </row>
    <row r="14" spans="1:32" ht="20.25" customHeight="1" thickBot="1">
      <c r="A14" s="364"/>
      <c r="B14" s="364"/>
      <c r="C14" s="364"/>
      <c r="D14" s="364"/>
      <c r="E14" s="364"/>
      <c r="F14" s="389"/>
      <c r="G14" s="395"/>
      <c r="H14" s="395"/>
      <c r="I14" s="775" t="s">
        <v>354</v>
      </c>
      <c r="J14" s="775"/>
    </row>
    <row r="15" spans="1:32" ht="102" customHeight="1">
      <c r="A15" s="12" t="s">
        <v>7</v>
      </c>
      <c r="B15" s="16" t="s">
        <v>266</v>
      </c>
      <c r="C15" s="16" t="s">
        <v>278</v>
      </c>
      <c r="D15" s="16" t="s">
        <v>280</v>
      </c>
      <c r="E15" s="16" t="s">
        <v>13</v>
      </c>
      <c r="F15" s="13" t="s">
        <v>15</v>
      </c>
      <c r="G15" s="13" t="s">
        <v>9</v>
      </c>
      <c r="H15" s="13" t="s">
        <v>16</v>
      </c>
      <c r="I15" s="13" t="s">
        <v>362</v>
      </c>
      <c r="J15" s="14" t="s">
        <v>361</v>
      </c>
    </row>
    <row r="16" spans="1:32" ht="16.5">
      <c r="A16" s="362">
        <v>1</v>
      </c>
      <c r="B16" s="362">
        <v>2</v>
      </c>
      <c r="C16" s="362">
        <v>3</v>
      </c>
      <c r="D16" s="362">
        <v>4</v>
      </c>
      <c r="E16" s="362">
        <v>5</v>
      </c>
      <c r="F16" s="362">
        <v>6</v>
      </c>
      <c r="G16" s="362">
        <v>7</v>
      </c>
      <c r="H16" s="362">
        <v>8</v>
      </c>
      <c r="I16" s="362">
        <v>9</v>
      </c>
      <c r="J16" s="362" t="s">
        <v>355</v>
      </c>
    </row>
    <row r="17" spans="1:10" ht="26.25" customHeight="1">
      <c r="A17" s="688" t="s">
        <v>482</v>
      </c>
      <c r="B17" s="686" t="str">
        <f>'Sch-1'!B17</f>
        <v xml:space="preserve">80MVAR 400kV LR at Allahabad end </v>
      </c>
      <c r="C17" s="689"/>
      <c r="D17" s="689"/>
      <c r="E17" s="689"/>
      <c r="F17" s="689"/>
      <c r="G17" s="689"/>
      <c r="H17" s="689"/>
      <c r="I17" s="689"/>
      <c r="J17" s="690"/>
    </row>
    <row r="18" spans="1:10" ht="51.75" customHeight="1">
      <c r="A18" s="490">
        <f>'Sch-1'!A18</f>
        <v>1</v>
      </c>
      <c r="B18" s="694">
        <f>'Sch-1'!B18</f>
        <v>7000020163</v>
      </c>
      <c r="C18" s="694">
        <f>'Sch-1'!C18</f>
        <v>10</v>
      </c>
      <c r="D18" s="695" t="str">
        <f>'Sch-1'!D18</f>
        <v xml:space="preserve">420kV SHUNT REACTOR                     </v>
      </c>
      <c r="E18" s="695">
        <f>'Sch-1'!E18</f>
        <v>1000006176</v>
      </c>
      <c r="F18" s="695" t="str">
        <f>'Sch-1'!J18</f>
        <v>80 MVAR,420kV,3-phase Shunt Reactor excluding Insulating Oil</v>
      </c>
      <c r="G18" s="695" t="str">
        <f>'Sch-1'!K18</f>
        <v xml:space="preserve">EA </v>
      </c>
      <c r="H18" s="694">
        <f>'Sch-1'!L18</f>
        <v>1</v>
      </c>
      <c r="I18" s="680"/>
      <c r="J18" s="673" t="str">
        <f t="shared" ref="J18:J50" si="0">IF(I18=0, "INCLUDED", IF(ISERROR(I18*H18), I18, I18*H18))</f>
        <v>INCLUDED</v>
      </c>
    </row>
    <row r="19" spans="1:10" ht="51.75" customHeight="1">
      <c r="A19" s="490">
        <f>'Sch-1'!A19</f>
        <v>2</v>
      </c>
      <c r="B19" s="694">
        <f>'Sch-1'!B19</f>
        <v>7000020163</v>
      </c>
      <c r="C19" s="694">
        <f>'Sch-1'!C19</f>
        <v>20</v>
      </c>
      <c r="D19" s="695" t="str">
        <f>'Sch-1'!D19</f>
        <v xml:space="preserve">420kV SHUNT REACTOR                     </v>
      </c>
      <c r="E19" s="695">
        <f>'Sch-1'!E19</f>
        <v>1000014015</v>
      </c>
      <c r="F19" s="695" t="str">
        <f>'Sch-1'!J19</f>
        <v>Insulating Oil for 80 MVAR,420kV ,3-phase Shunt Reactor withassociated NGR</v>
      </c>
      <c r="G19" s="695" t="str">
        <f>'Sch-1'!K19</f>
        <v>SET</v>
      </c>
      <c r="H19" s="694">
        <f>'Sch-1'!L19</f>
        <v>1</v>
      </c>
      <c r="I19" s="680"/>
      <c r="J19" s="673" t="str">
        <f t="shared" ref="J19" si="1">IF(I19=0, "INCLUDED", IF(ISERROR(I19*H19), I19, I19*H19))</f>
        <v>INCLUDED</v>
      </c>
    </row>
    <row r="20" spans="1:10" ht="51.75" customHeight="1">
      <c r="A20" s="490">
        <f>'Sch-1'!A20</f>
        <v>3</v>
      </c>
      <c r="B20" s="694">
        <f>'Sch-1'!B20</f>
        <v>7000020163</v>
      </c>
      <c r="C20" s="694">
        <f>'Sch-1'!C20</f>
        <v>30</v>
      </c>
      <c r="D20" s="695" t="str">
        <f>'Sch-1'!D20</f>
        <v xml:space="preserve">420kV SHUNT REACTOR                     </v>
      </c>
      <c r="E20" s="695">
        <f>'Sch-1'!E20</f>
        <v>1000015913</v>
      </c>
      <c r="F20" s="695" t="str">
        <f>'Sch-1'!J20</f>
        <v>Oil filled Neutral Grounding Reactor (NGR) along with supportstructure &amp; terminal connector</v>
      </c>
      <c r="G20" s="695" t="str">
        <f>'Sch-1'!K20</f>
        <v xml:space="preserve">EA </v>
      </c>
      <c r="H20" s="694">
        <f>'Sch-1'!L20</f>
        <v>1</v>
      </c>
      <c r="I20" s="680"/>
      <c r="J20" s="673" t="str">
        <f t="shared" si="0"/>
        <v>INCLUDED</v>
      </c>
    </row>
    <row r="21" spans="1:10" ht="51.75" customHeight="1">
      <c r="A21" s="490">
        <f>'Sch-1'!A21</f>
        <v>4</v>
      </c>
      <c r="B21" s="694">
        <f>'Sch-1'!B21</f>
        <v>7000020163</v>
      </c>
      <c r="C21" s="694">
        <f>'Sch-1'!C21</f>
        <v>40</v>
      </c>
      <c r="D21" s="695" t="str">
        <f>'Sch-1'!D21</f>
        <v xml:space="preserve">420kV SHUNT REACTOR                     </v>
      </c>
      <c r="E21" s="695">
        <f>'Sch-1'!E21</f>
        <v>1000028234</v>
      </c>
      <c r="F21" s="695" t="str">
        <f>'Sch-1'!J21</f>
        <v>120kV Surge Arrester along with support structure &amp; terminal</v>
      </c>
      <c r="G21" s="695" t="str">
        <f>'Sch-1'!K21</f>
        <v>SET</v>
      </c>
      <c r="H21" s="694">
        <f>'Sch-1'!L21</f>
        <v>1</v>
      </c>
      <c r="I21" s="680"/>
      <c r="J21" s="673" t="str">
        <f t="shared" ref="J21" si="2">IF(I21=0, "INCLUDED", IF(ISERROR(I21*H21), I21, I21*H21))</f>
        <v>INCLUDED</v>
      </c>
    </row>
    <row r="22" spans="1:10" ht="51.75" customHeight="1">
      <c r="A22" s="490">
        <f>'Sch-1'!A22</f>
        <v>5</v>
      </c>
      <c r="B22" s="694">
        <f>'Sch-1'!B22</f>
        <v>7000020163</v>
      </c>
      <c r="C22" s="694">
        <f>'Sch-1'!C22</f>
        <v>50</v>
      </c>
      <c r="D22" s="695" t="str">
        <f>'Sch-1'!D22</f>
        <v xml:space="preserve">SPARES FOR 420KV SHUNT REACTOR          </v>
      </c>
      <c r="E22" s="695">
        <f>'Sch-1'!E22</f>
        <v>1000030934</v>
      </c>
      <c r="F22" s="695" t="str">
        <f>'Sch-1'!J22</f>
        <v>420KV, 800A RIP BUSHING WITH METAL PARTS AND GASKETS</v>
      </c>
      <c r="G22" s="695" t="str">
        <f>'Sch-1'!K22</f>
        <v xml:space="preserve">EA </v>
      </c>
      <c r="H22" s="694">
        <f>'Sch-1'!L22</f>
        <v>1</v>
      </c>
      <c r="I22" s="680"/>
      <c r="J22" s="673" t="str">
        <f t="shared" si="0"/>
        <v>INCLUDED</v>
      </c>
    </row>
    <row r="23" spans="1:10" ht="51.75" customHeight="1">
      <c r="A23" s="490">
        <f>'Sch-1'!A23</f>
        <v>6</v>
      </c>
      <c r="B23" s="694">
        <f>'Sch-1'!B23</f>
        <v>7000020163</v>
      </c>
      <c r="C23" s="694">
        <f>'Sch-1'!C23</f>
        <v>60</v>
      </c>
      <c r="D23" s="695" t="str">
        <f>'Sch-1'!D23</f>
        <v xml:space="preserve">SPARES FOR 420KV SHUNT REACTOR          </v>
      </c>
      <c r="E23" s="695">
        <f>'Sch-1'!E23</f>
        <v>1000030920</v>
      </c>
      <c r="F23" s="695" t="str">
        <f>'Sch-1'!J23</f>
        <v>145KV, 800A RIP BUSHING WITH METAL PARTS AND GASKETS</v>
      </c>
      <c r="G23" s="695" t="str">
        <f>'Sch-1'!K23</f>
        <v xml:space="preserve">EA </v>
      </c>
      <c r="H23" s="694">
        <f>'Sch-1'!L23</f>
        <v>1</v>
      </c>
      <c r="I23" s="680"/>
      <c r="J23" s="673" t="str">
        <f t="shared" ref="J23" si="3">IF(I23=0, "INCLUDED", IF(ISERROR(I23*H23), I23, I23*H23))</f>
        <v>INCLUDED</v>
      </c>
    </row>
    <row r="24" spans="1:10" ht="51.75" customHeight="1">
      <c r="A24" s="490">
        <f>'Sch-1'!A24</f>
        <v>7</v>
      </c>
      <c r="B24" s="694">
        <f>'Sch-1'!B24</f>
        <v>7000020163</v>
      </c>
      <c r="C24" s="694">
        <f>'Sch-1'!C24</f>
        <v>70</v>
      </c>
      <c r="D24" s="695" t="str">
        <f>'Sch-1'!D24</f>
        <v xml:space="preserve">SPARES FOR 420KV SHUNT REACTOR          </v>
      </c>
      <c r="E24" s="695">
        <f>'Sch-1'!E24</f>
        <v>1000007921</v>
      </c>
      <c r="F24" s="695" t="str">
        <f>'Sch-1'!J24</f>
        <v>Buchholz Relay (Main Tank) complete with float and  contacts forReactor</v>
      </c>
      <c r="G24" s="695" t="str">
        <f>'Sch-1'!K24</f>
        <v>SET</v>
      </c>
      <c r="H24" s="694">
        <f>'Sch-1'!L24</f>
        <v>1</v>
      </c>
      <c r="I24" s="680"/>
      <c r="J24" s="673" t="str">
        <f t="shared" si="0"/>
        <v>INCLUDED</v>
      </c>
    </row>
    <row r="25" spans="1:10" ht="51.75" customHeight="1">
      <c r="A25" s="490">
        <f>'Sch-1'!A25</f>
        <v>8</v>
      </c>
      <c r="B25" s="694">
        <f>'Sch-1'!B25</f>
        <v>7000020163</v>
      </c>
      <c r="C25" s="694">
        <f>'Sch-1'!C25</f>
        <v>80</v>
      </c>
      <c r="D25" s="695" t="str">
        <f>'Sch-1'!D25</f>
        <v xml:space="preserve">SPARES FOR 420KV SHUNT REACTOR          </v>
      </c>
      <c r="E25" s="695">
        <f>'Sch-1'!E25</f>
        <v>1000028774</v>
      </c>
      <c r="F25" s="695" t="str">
        <f>'Sch-1'!J25</f>
        <v>Local winding temperature indicator (WTI) with contact</v>
      </c>
      <c r="G25" s="695" t="str">
        <f>'Sch-1'!K25</f>
        <v xml:space="preserve">EA </v>
      </c>
      <c r="H25" s="694">
        <f>'Sch-1'!L25</f>
        <v>1</v>
      </c>
      <c r="I25" s="680"/>
      <c r="J25" s="673" t="str">
        <f t="shared" si="0"/>
        <v>INCLUDED</v>
      </c>
    </row>
    <row r="26" spans="1:10" ht="51.75" customHeight="1">
      <c r="A26" s="490">
        <f>'Sch-1'!A26</f>
        <v>9</v>
      </c>
      <c r="B26" s="694">
        <f>'Sch-1'!B26</f>
        <v>7000020163</v>
      </c>
      <c r="C26" s="694">
        <f>'Sch-1'!C26</f>
        <v>90</v>
      </c>
      <c r="D26" s="695" t="str">
        <f>'Sch-1'!D26</f>
        <v xml:space="preserve">SPARES FOR 420KV SHUNT REACTOR          </v>
      </c>
      <c r="E26" s="695">
        <f>'Sch-1'!E26</f>
        <v>1000026245</v>
      </c>
      <c r="F26" s="695" t="str">
        <f>'Sch-1'!J26</f>
        <v>OTI complete with contacts &amp; sensing device</v>
      </c>
      <c r="G26" s="695" t="str">
        <f>'Sch-1'!K26</f>
        <v>SET</v>
      </c>
      <c r="H26" s="694">
        <f>'Sch-1'!L26</f>
        <v>1</v>
      </c>
      <c r="I26" s="680"/>
      <c r="J26" s="673" t="str">
        <f t="shared" si="0"/>
        <v>INCLUDED</v>
      </c>
    </row>
    <row r="27" spans="1:10" ht="51.75" customHeight="1">
      <c r="A27" s="490">
        <f>'Sch-1'!A27</f>
        <v>10</v>
      </c>
      <c r="B27" s="694">
        <f>'Sch-1'!B27</f>
        <v>7000020163</v>
      </c>
      <c r="C27" s="694">
        <f>'Sch-1'!C27</f>
        <v>100</v>
      </c>
      <c r="D27" s="695" t="str">
        <f>'Sch-1'!D27</f>
        <v xml:space="preserve">SPARES FOR 420KV SHUNT REACTOR          </v>
      </c>
      <c r="E27" s="695">
        <f>'Sch-1'!E27</f>
        <v>1000032089</v>
      </c>
      <c r="F27" s="695" t="str">
        <f>'Sch-1'!J27</f>
        <v>SPARES INSULATING OIL TO BE HANDED OVER TO OWNER AFTER COMMISSIONING</v>
      </c>
      <c r="G27" s="695" t="str">
        <f>'Sch-1'!K27</f>
        <v xml:space="preserve">KL </v>
      </c>
      <c r="H27" s="694">
        <f>'Sch-1'!L27</f>
        <v>5</v>
      </c>
      <c r="I27" s="680"/>
      <c r="J27" s="673" t="str">
        <f t="shared" ref="J27" si="4">IF(I27=0, "INCLUDED", IF(ISERROR(I27*H27), I27, I27*H27))</f>
        <v>INCLUDED</v>
      </c>
    </row>
    <row r="28" spans="1:10" ht="51.75" customHeight="1">
      <c r="A28" s="490">
        <f>'Sch-1'!A28</f>
        <v>11</v>
      </c>
      <c r="B28" s="694">
        <f>'Sch-1'!B28</f>
        <v>7000020163</v>
      </c>
      <c r="C28" s="694">
        <f>'Sch-1'!C28</f>
        <v>110</v>
      </c>
      <c r="D28" s="695" t="str">
        <f>'Sch-1'!D28</f>
        <v xml:space="preserve">SPARES FOR 420KV SHUNT REACTOR          </v>
      </c>
      <c r="E28" s="695">
        <f>'Sch-1'!E28</f>
        <v>1000028280</v>
      </c>
      <c r="F28" s="695" t="str">
        <f>'Sch-1'!J28</f>
        <v>Magnetic Oil Level Gauge</v>
      </c>
      <c r="G28" s="695" t="str">
        <f>'Sch-1'!K28</f>
        <v xml:space="preserve">EA </v>
      </c>
      <c r="H28" s="694">
        <f>'Sch-1'!L28</f>
        <v>1</v>
      </c>
      <c r="I28" s="680"/>
      <c r="J28" s="673" t="str">
        <f t="shared" si="0"/>
        <v>INCLUDED</v>
      </c>
    </row>
    <row r="29" spans="1:10" ht="26.25" customHeight="1">
      <c r="A29" s="688" t="s">
        <v>483</v>
      </c>
      <c r="B29" s="686" t="str">
        <f>'Sch-1'!B29</f>
        <v>80MVAR 400kV LR at Bhiwadi end</v>
      </c>
      <c r="C29" s="689"/>
      <c r="D29" s="689"/>
      <c r="E29" s="689"/>
      <c r="F29" s="689"/>
      <c r="G29" s="689"/>
      <c r="H29" s="689"/>
      <c r="I29" s="689"/>
      <c r="J29" s="690"/>
    </row>
    <row r="30" spans="1:10" ht="52.5" customHeight="1">
      <c r="A30" s="490">
        <f>'Sch-1'!A30</f>
        <v>12</v>
      </c>
      <c r="B30" s="694">
        <f>'Sch-1'!B30</f>
        <v>7000020163</v>
      </c>
      <c r="C30" s="694">
        <f>'Sch-1'!C30</f>
        <v>130</v>
      </c>
      <c r="D30" s="695" t="str">
        <f>'Sch-1'!D30</f>
        <v xml:space="preserve">420kV SHUNT REACTOR                     </v>
      </c>
      <c r="E30" s="695">
        <f>'Sch-1'!E30</f>
        <v>1000006176</v>
      </c>
      <c r="F30" s="695" t="str">
        <f>'Sch-1'!J30</f>
        <v>80 MVAR,420kV,3-phase Shunt Reactor excluding Insulating Oil</v>
      </c>
      <c r="G30" s="695" t="str">
        <f>'Sch-1'!K30</f>
        <v xml:space="preserve">EA </v>
      </c>
      <c r="H30" s="694">
        <f>'Sch-1'!L30</f>
        <v>1</v>
      </c>
      <c r="I30" s="680"/>
      <c r="J30" s="673" t="str">
        <f t="shared" si="0"/>
        <v>INCLUDED</v>
      </c>
    </row>
    <row r="31" spans="1:10" ht="52.5" customHeight="1">
      <c r="A31" s="490">
        <f>'Sch-1'!A31</f>
        <v>13</v>
      </c>
      <c r="B31" s="694">
        <f>'Sch-1'!B31</f>
        <v>7000020163</v>
      </c>
      <c r="C31" s="694">
        <f>'Sch-1'!C31</f>
        <v>140</v>
      </c>
      <c r="D31" s="695" t="str">
        <f>'Sch-1'!D31</f>
        <v xml:space="preserve">420kV SHUNT REACTOR                     </v>
      </c>
      <c r="E31" s="695">
        <f>'Sch-1'!E31</f>
        <v>1000014015</v>
      </c>
      <c r="F31" s="695" t="str">
        <f>'Sch-1'!J31</f>
        <v>Insulating Oil for 80 MVAR,420kV ,3-phase Shunt Reactor withassociated NGR</v>
      </c>
      <c r="G31" s="695" t="str">
        <f>'Sch-1'!K31</f>
        <v>SET</v>
      </c>
      <c r="H31" s="694">
        <f>'Sch-1'!L31</f>
        <v>1</v>
      </c>
      <c r="I31" s="680"/>
      <c r="J31" s="673" t="str">
        <f t="shared" ref="J31" si="5">IF(I31=0, "INCLUDED", IF(ISERROR(I31*H31), I31, I31*H31))</f>
        <v>INCLUDED</v>
      </c>
    </row>
    <row r="32" spans="1:10" ht="52.5" customHeight="1">
      <c r="A32" s="490">
        <f>'Sch-1'!A32</f>
        <v>14</v>
      </c>
      <c r="B32" s="694">
        <f>'Sch-1'!B32</f>
        <v>7000020163</v>
      </c>
      <c r="C32" s="694">
        <f>'Sch-1'!C32</f>
        <v>150</v>
      </c>
      <c r="D32" s="695" t="str">
        <f>'Sch-1'!D32</f>
        <v xml:space="preserve">420kV SHUNT REACTOR                     </v>
      </c>
      <c r="E32" s="695">
        <f>'Sch-1'!E32</f>
        <v>1000015913</v>
      </c>
      <c r="F32" s="695" t="str">
        <f>'Sch-1'!J32</f>
        <v>Oil filled Neutral Grounding Reactor (NGR) along with supportstructure &amp; terminal connector</v>
      </c>
      <c r="G32" s="695" t="str">
        <f>'Sch-1'!K32</f>
        <v xml:space="preserve">EA </v>
      </c>
      <c r="H32" s="694">
        <f>'Sch-1'!L32</f>
        <v>1</v>
      </c>
      <c r="I32" s="680"/>
      <c r="J32" s="673" t="str">
        <f t="shared" si="0"/>
        <v>INCLUDED</v>
      </c>
    </row>
    <row r="33" spans="1:10" ht="52.5" customHeight="1">
      <c r="A33" s="490">
        <f>'Sch-1'!A33</f>
        <v>15</v>
      </c>
      <c r="B33" s="694">
        <f>'Sch-1'!B33</f>
        <v>7000020163</v>
      </c>
      <c r="C33" s="694">
        <f>'Sch-1'!C33</f>
        <v>160</v>
      </c>
      <c r="D33" s="695" t="str">
        <f>'Sch-1'!D33</f>
        <v xml:space="preserve">420kV SHUNT REACTOR                     </v>
      </c>
      <c r="E33" s="695">
        <f>'Sch-1'!E33</f>
        <v>1000028234</v>
      </c>
      <c r="F33" s="695" t="str">
        <f>'Sch-1'!J33</f>
        <v>120kV Surge Arrester along with support structure &amp; terminal</v>
      </c>
      <c r="G33" s="695" t="str">
        <f>'Sch-1'!K33</f>
        <v>SET</v>
      </c>
      <c r="H33" s="694">
        <f>'Sch-1'!L33</f>
        <v>1</v>
      </c>
      <c r="I33" s="680"/>
      <c r="J33" s="673" t="str">
        <f t="shared" ref="J33" si="6">IF(I33=0, "INCLUDED", IF(ISERROR(I33*H33), I33, I33*H33))</f>
        <v>INCLUDED</v>
      </c>
    </row>
    <row r="34" spans="1:10" ht="52.5" customHeight="1">
      <c r="A34" s="490">
        <f>'Sch-1'!A34</f>
        <v>16</v>
      </c>
      <c r="B34" s="694">
        <f>'Sch-1'!B34</f>
        <v>7000020163</v>
      </c>
      <c r="C34" s="694">
        <f>'Sch-1'!C34</f>
        <v>170</v>
      </c>
      <c r="D34" s="695" t="str">
        <f>'Sch-1'!D34</f>
        <v xml:space="preserve">SPARES FOR 420KV SHUNT REACTOR          </v>
      </c>
      <c r="E34" s="695">
        <f>'Sch-1'!E34</f>
        <v>1000030934</v>
      </c>
      <c r="F34" s="695" t="str">
        <f>'Sch-1'!J34</f>
        <v>420KV, 800A RIP BUSHING WITH METAL PARTS AND GASKETS</v>
      </c>
      <c r="G34" s="695" t="str">
        <f>'Sch-1'!K34</f>
        <v xml:space="preserve">EA </v>
      </c>
      <c r="H34" s="694">
        <f>'Sch-1'!L34</f>
        <v>1</v>
      </c>
      <c r="I34" s="680"/>
      <c r="J34" s="673" t="str">
        <f t="shared" si="0"/>
        <v>INCLUDED</v>
      </c>
    </row>
    <row r="35" spans="1:10" ht="52.5" customHeight="1">
      <c r="A35" s="490">
        <f>'Sch-1'!A35</f>
        <v>17</v>
      </c>
      <c r="B35" s="694">
        <f>'Sch-1'!B35</f>
        <v>7000020163</v>
      </c>
      <c r="C35" s="694">
        <f>'Sch-1'!C35</f>
        <v>180</v>
      </c>
      <c r="D35" s="695" t="str">
        <f>'Sch-1'!D35</f>
        <v xml:space="preserve">SPARES FOR 420KV SHUNT REACTOR          </v>
      </c>
      <c r="E35" s="695">
        <f>'Sch-1'!E35</f>
        <v>1000030920</v>
      </c>
      <c r="F35" s="695" t="str">
        <f>'Sch-1'!J35</f>
        <v>145KV, 800A RIP BUSHING WITH METAL PARTS AND GASKETS</v>
      </c>
      <c r="G35" s="695" t="str">
        <f>'Sch-1'!K35</f>
        <v xml:space="preserve">EA </v>
      </c>
      <c r="H35" s="694">
        <f>'Sch-1'!L35</f>
        <v>1</v>
      </c>
      <c r="I35" s="680"/>
      <c r="J35" s="673" t="str">
        <f t="shared" ref="J35" si="7">IF(I35=0, "INCLUDED", IF(ISERROR(I35*H35), I35, I35*H35))</f>
        <v>INCLUDED</v>
      </c>
    </row>
    <row r="36" spans="1:10" ht="52.5" customHeight="1">
      <c r="A36" s="490">
        <f>'Sch-1'!A36</f>
        <v>18</v>
      </c>
      <c r="B36" s="694">
        <f>'Sch-1'!B36</f>
        <v>7000020163</v>
      </c>
      <c r="C36" s="694">
        <f>'Sch-1'!C36</f>
        <v>190</v>
      </c>
      <c r="D36" s="695" t="str">
        <f>'Sch-1'!D36</f>
        <v xml:space="preserve">SPARES FOR 420KV SHUNT REACTOR          </v>
      </c>
      <c r="E36" s="695">
        <f>'Sch-1'!E36</f>
        <v>1000007921</v>
      </c>
      <c r="F36" s="695" t="str">
        <f>'Sch-1'!J36</f>
        <v>Buchholz Relay (Main Tank) complete with float and  contacts forReactor</v>
      </c>
      <c r="G36" s="695" t="str">
        <f>'Sch-1'!K36</f>
        <v>SET</v>
      </c>
      <c r="H36" s="694">
        <f>'Sch-1'!L36</f>
        <v>1</v>
      </c>
      <c r="I36" s="680"/>
      <c r="J36" s="673" t="str">
        <f t="shared" si="0"/>
        <v>INCLUDED</v>
      </c>
    </row>
    <row r="37" spans="1:10" ht="52.5" customHeight="1">
      <c r="A37" s="490">
        <f>'Sch-1'!A37</f>
        <v>19</v>
      </c>
      <c r="B37" s="694">
        <f>'Sch-1'!B37</f>
        <v>7000020163</v>
      </c>
      <c r="C37" s="694">
        <f>'Sch-1'!C37</f>
        <v>200</v>
      </c>
      <c r="D37" s="695" t="str">
        <f>'Sch-1'!D37</f>
        <v xml:space="preserve">SPARES FOR 420KV SHUNT REACTOR          </v>
      </c>
      <c r="E37" s="695">
        <f>'Sch-1'!E37</f>
        <v>1000028774</v>
      </c>
      <c r="F37" s="695" t="str">
        <f>'Sch-1'!J37</f>
        <v>Local winding temperature indicator (WTI) with contact</v>
      </c>
      <c r="G37" s="695" t="str">
        <f>'Sch-1'!K37</f>
        <v xml:space="preserve">EA </v>
      </c>
      <c r="H37" s="694">
        <f>'Sch-1'!L37</f>
        <v>1</v>
      </c>
      <c r="I37" s="680"/>
      <c r="J37" s="673" t="str">
        <f t="shared" ref="J37" si="8">IF(I37=0, "INCLUDED", IF(ISERROR(I37*H37), I37, I37*H37))</f>
        <v>INCLUDED</v>
      </c>
    </row>
    <row r="38" spans="1:10" ht="52.5" customHeight="1">
      <c r="A38" s="490">
        <f>'Sch-1'!A38</f>
        <v>20</v>
      </c>
      <c r="B38" s="694">
        <f>'Sch-1'!B38</f>
        <v>7000020163</v>
      </c>
      <c r="C38" s="694">
        <f>'Sch-1'!C38</f>
        <v>210</v>
      </c>
      <c r="D38" s="695" t="str">
        <f>'Sch-1'!D38</f>
        <v xml:space="preserve">SPARES FOR 420KV SHUNT REACTOR          </v>
      </c>
      <c r="E38" s="695">
        <f>'Sch-1'!E38</f>
        <v>1000026245</v>
      </c>
      <c r="F38" s="695" t="str">
        <f>'Sch-1'!J38</f>
        <v>OTI complete with contacts &amp; sensing device</v>
      </c>
      <c r="G38" s="695" t="str">
        <f>'Sch-1'!K38</f>
        <v>SET</v>
      </c>
      <c r="H38" s="694">
        <f>'Sch-1'!L38</f>
        <v>1</v>
      </c>
      <c r="I38" s="680"/>
      <c r="J38" s="673" t="str">
        <f t="shared" si="0"/>
        <v>INCLUDED</v>
      </c>
    </row>
    <row r="39" spans="1:10" ht="52.5" customHeight="1">
      <c r="A39" s="490">
        <f>'Sch-1'!A39</f>
        <v>21</v>
      </c>
      <c r="B39" s="694">
        <f>'Sch-1'!B39</f>
        <v>7000020163</v>
      </c>
      <c r="C39" s="694">
        <f>'Sch-1'!C39</f>
        <v>220</v>
      </c>
      <c r="D39" s="695" t="str">
        <f>'Sch-1'!D39</f>
        <v xml:space="preserve">SPARES FOR 420KV SHUNT REACTOR          </v>
      </c>
      <c r="E39" s="695">
        <f>'Sch-1'!E39</f>
        <v>1000032089</v>
      </c>
      <c r="F39" s="695" t="str">
        <f>'Sch-1'!J39</f>
        <v>SPARES INSULATING OIL TO BE HANDED OVER TO OWNER AFTER COMMISSIONING</v>
      </c>
      <c r="G39" s="695" t="str">
        <f>'Sch-1'!K39</f>
        <v xml:space="preserve">KL </v>
      </c>
      <c r="H39" s="694">
        <f>'Sch-1'!L39</f>
        <v>5</v>
      </c>
      <c r="I39" s="680"/>
      <c r="J39" s="673" t="str">
        <f t="shared" ref="J39" si="9">IF(I39=0, "INCLUDED", IF(ISERROR(I39*H39), I39, I39*H39))</f>
        <v>INCLUDED</v>
      </c>
    </row>
    <row r="40" spans="1:10" ht="52.5" customHeight="1">
      <c r="A40" s="490">
        <f>'Sch-1'!A40</f>
        <v>22</v>
      </c>
      <c r="B40" s="694">
        <f>'Sch-1'!B40</f>
        <v>7000020163</v>
      </c>
      <c r="C40" s="694">
        <f>'Sch-1'!C40</f>
        <v>230</v>
      </c>
      <c r="D40" s="695" t="str">
        <f>'Sch-1'!D40</f>
        <v xml:space="preserve">SPARES FOR 420KV SHUNT REACTOR          </v>
      </c>
      <c r="E40" s="695">
        <f>'Sch-1'!E40</f>
        <v>1000028280</v>
      </c>
      <c r="F40" s="695" t="str">
        <f>'Sch-1'!J40</f>
        <v>Magnetic Oil Level Gauge</v>
      </c>
      <c r="G40" s="695" t="str">
        <f>'Sch-1'!K40</f>
        <v xml:space="preserve">EA </v>
      </c>
      <c r="H40" s="694">
        <f>'Sch-1'!L40</f>
        <v>1</v>
      </c>
      <c r="I40" s="680"/>
      <c r="J40" s="673" t="str">
        <f t="shared" si="0"/>
        <v>INCLUDED</v>
      </c>
    </row>
    <row r="41" spans="1:10" ht="26.25" customHeight="1">
      <c r="A41" s="688" t="s">
        <v>484</v>
      </c>
      <c r="B41" s="686" t="str">
        <f>'Sch-1'!B41</f>
        <v xml:space="preserve">125MVAR 400kV BR at Jamshedpur </v>
      </c>
      <c r="C41" s="689"/>
      <c r="D41" s="689"/>
      <c r="E41" s="689"/>
      <c r="F41" s="689"/>
      <c r="G41" s="689"/>
      <c r="H41" s="689"/>
      <c r="I41" s="689"/>
      <c r="J41" s="690"/>
    </row>
    <row r="42" spans="1:10" ht="60" customHeight="1">
      <c r="A42" s="490">
        <f>'Sch-1'!A42</f>
        <v>23</v>
      </c>
      <c r="B42" s="694">
        <f>'Sch-1'!B42</f>
        <v>7000020167</v>
      </c>
      <c r="C42" s="694">
        <f>'Sch-1'!C42</f>
        <v>130</v>
      </c>
      <c r="D42" s="695" t="str">
        <f>'Sch-1'!D42</f>
        <v xml:space="preserve">420kV SHUNT REACTOR                     </v>
      </c>
      <c r="E42" s="695">
        <f>'Sch-1'!E42</f>
        <v>1000000705</v>
      </c>
      <c r="F42" s="695" t="str">
        <f>'Sch-1'!J42</f>
        <v>125 MVAR, 420kV, 3-phase Bus Reactor excluding Insulating Oil</v>
      </c>
      <c r="G42" s="695" t="str">
        <f>'Sch-1'!K42</f>
        <v xml:space="preserve">EA </v>
      </c>
      <c r="H42" s="694">
        <f>'Sch-1'!L42</f>
        <v>1</v>
      </c>
      <c r="I42" s="680"/>
      <c r="J42" s="673" t="str">
        <f t="shared" si="0"/>
        <v>INCLUDED</v>
      </c>
    </row>
    <row r="43" spans="1:10" ht="60" customHeight="1">
      <c r="A43" s="490">
        <f>'Sch-1'!A43</f>
        <v>24</v>
      </c>
      <c r="B43" s="694">
        <f>'Sch-1'!B43</f>
        <v>7000020167</v>
      </c>
      <c r="C43" s="694">
        <f>'Sch-1'!C43</f>
        <v>140</v>
      </c>
      <c r="D43" s="695" t="str">
        <f>'Sch-1'!D43</f>
        <v xml:space="preserve">420kV SHUNT REACTOR                     </v>
      </c>
      <c r="E43" s="695">
        <f>'Sch-1'!E43</f>
        <v>1000013947</v>
      </c>
      <c r="F43" s="695" t="str">
        <f>'Sch-1'!J43</f>
        <v>Insulating Oil for 125 MVAR, 420kV 3-phase Bus Reactor</v>
      </c>
      <c r="G43" s="695" t="str">
        <f>'Sch-1'!K43</f>
        <v>SET</v>
      </c>
      <c r="H43" s="694">
        <f>'Sch-1'!L43</f>
        <v>1</v>
      </c>
      <c r="I43" s="680"/>
      <c r="J43" s="673" t="str">
        <f t="shared" ref="J43" si="10">IF(I43=0, "INCLUDED", IF(ISERROR(I43*H43), I43, I43*H43))</f>
        <v>INCLUDED</v>
      </c>
    </row>
    <row r="44" spans="1:10" ht="60" customHeight="1">
      <c r="A44" s="490">
        <f>'Sch-1'!A44</f>
        <v>25</v>
      </c>
      <c r="B44" s="694">
        <f>'Sch-1'!B44</f>
        <v>7000020167</v>
      </c>
      <c r="C44" s="694">
        <f>'Sch-1'!C44</f>
        <v>150</v>
      </c>
      <c r="D44" s="695" t="str">
        <f>'Sch-1'!D44</f>
        <v xml:space="preserve">SPARES FOR 420KV SHUNT REACTOR          </v>
      </c>
      <c r="E44" s="695">
        <f>'Sch-1'!E44</f>
        <v>1000030934</v>
      </c>
      <c r="F44" s="695" t="str">
        <f>'Sch-1'!J44</f>
        <v>420KV, 800A RIP BUSHING WITH METAL PARTS AND GASKETS</v>
      </c>
      <c r="G44" s="695" t="str">
        <f>'Sch-1'!K44</f>
        <v xml:space="preserve">EA </v>
      </c>
      <c r="H44" s="694">
        <f>'Sch-1'!L44</f>
        <v>1</v>
      </c>
      <c r="I44" s="680"/>
      <c r="J44" s="673" t="str">
        <f t="shared" si="0"/>
        <v>INCLUDED</v>
      </c>
    </row>
    <row r="45" spans="1:10" ht="60" customHeight="1">
      <c r="A45" s="490">
        <f>'Sch-1'!A45</f>
        <v>26</v>
      </c>
      <c r="B45" s="694">
        <f>'Sch-1'!B45</f>
        <v>7000020167</v>
      </c>
      <c r="C45" s="694">
        <f>'Sch-1'!C45</f>
        <v>160</v>
      </c>
      <c r="D45" s="695" t="str">
        <f>'Sch-1'!D45</f>
        <v xml:space="preserve">SPARES FOR 420KV SHUNT REACTOR          </v>
      </c>
      <c r="E45" s="695">
        <f>'Sch-1'!E45</f>
        <v>1000030920</v>
      </c>
      <c r="F45" s="695" t="str">
        <f>'Sch-1'!J45</f>
        <v>145KV, 800A RIP BUSHING WITH METAL PARTS AND GASKETS</v>
      </c>
      <c r="G45" s="695" t="str">
        <f>'Sch-1'!K45</f>
        <v xml:space="preserve">EA </v>
      </c>
      <c r="H45" s="694">
        <f>'Sch-1'!L45</f>
        <v>1</v>
      </c>
      <c r="I45" s="680"/>
      <c r="J45" s="673" t="str">
        <f t="shared" ref="J45" si="11">IF(I45=0, "INCLUDED", IF(ISERROR(I45*H45), I45, I45*H45))</f>
        <v>INCLUDED</v>
      </c>
    </row>
    <row r="46" spans="1:10" ht="60" customHeight="1">
      <c r="A46" s="490">
        <f>'Sch-1'!A46</f>
        <v>27</v>
      </c>
      <c r="B46" s="694">
        <f>'Sch-1'!B46</f>
        <v>7000020167</v>
      </c>
      <c r="C46" s="694">
        <f>'Sch-1'!C46</f>
        <v>170</v>
      </c>
      <c r="D46" s="695" t="str">
        <f>'Sch-1'!D46</f>
        <v xml:space="preserve">SPARES FOR 420KV SHUNT REACTOR          </v>
      </c>
      <c r="E46" s="695">
        <f>'Sch-1'!E46</f>
        <v>1000007921</v>
      </c>
      <c r="F46" s="695" t="str">
        <f>'Sch-1'!J46</f>
        <v>Buchholz Relay (Main Tank) complete with float and  contacts forReactor</v>
      </c>
      <c r="G46" s="695" t="str">
        <f>'Sch-1'!K46</f>
        <v>SET</v>
      </c>
      <c r="H46" s="694">
        <f>'Sch-1'!L46</f>
        <v>1</v>
      </c>
      <c r="I46" s="680"/>
      <c r="J46" s="673" t="str">
        <f t="shared" si="0"/>
        <v>INCLUDED</v>
      </c>
    </row>
    <row r="47" spans="1:10" ht="60" customHeight="1">
      <c r="A47" s="490">
        <f>'Sch-1'!A47</f>
        <v>28</v>
      </c>
      <c r="B47" s="694">
        <f>'Sch-1'!B47</f>
        <v>7000020167</v>
      </c>
      <c r="C47" s="694">
        <f>'Sch-1'!C47</f>
        <v>180</v>
      </c>
      <c r="D47" s="695" t="str">
        <f>'Sch-1'!D47</f>
        <v xml:space="preserve">SPARES FOR 420KV SHUNT REACTOR          </v>
      </c>
      <c r="E47" s="695">
        <f>'Sch-1'!E47</f>
        <v>1000028774</v>
      </c>
      <c r="F47" s="695" t="str">
        <f>'Sch-1'!J47</f>
        <v>Local winding temperature indicator (WTI) with contact</v>
      </c>
      <c r="G47" s="695" t="str">
        <f>'Sch-1'!K47</f>
        <v xml:space="preserve">EA </v>
      </c>
      <c r="H47" s="694">
        <f>'Sch-1'!L47</f>
        <v>1</v>
      </c>
      <c r="I47" s="680"/>
      <c r="J47" s="673" t="str">
        <f t="shared" ref="J47" si="12">IF(I47=0, "INCLUDED", IF(ISERROR(I47*H47), I47, I47*H47))</f>
        <v>INCLUDED</v>
      </c>
    </row>
    <row r="48" spans="1:10" ht="60" customHeight="1">
      <c r="A48" s="490">
        <f>'Sch-1'!A48</f>
        <v>29</v>
      </c>
      <c r="B48" s="694">
        <f>'Sch-1'!B48</f>
        <v>7000020167</v>
      </c>
      <c r="C48" s="694">
        <f>'Sch-1'!C48</f>
        <v>190</v>
      </c>
      <c r="D48" s="695" t="str">
        <f>'Sch-1'!D48</f>
        <v xml:space="preserve">SPARES FOR 420KV SHUNT REACTOR          </v>
      </c>
      <c r="E48" s="695">
        <f>'Sch-1'!E48</f>
        <v>1000026245</v>
      </c>
      <c r="F48" s="695" t="str">
        <f>'Sch-1'!J48</f>
        <v>OTI complete with contacts &amp; sensing device</v>
      </c>
      <c r="G48" s="695" t="str">
        <f>'Sch-1'!K48</f>
        <v>SET</v>
      </c>
      <c r="H48" s="694">
        <f>'Sch-1'!L48</f>
        <v>1</v>
      </c>
      <c r="I48" s="680"/>
      <c r="J48" s="673" t="str">
        <f t="shared" si="0"/>
        <v>INCLUDED</v>
      </c>
    </row>
    <row r="49" spans="1:11" ht="60" customHeight="1">
      <c r="A49" s="490">
        <f>'Sch-1'!A49</f>
        <v>30</v>
      </c>
      <c r="B49" s="694">
        <f>'Sch-1'!B49</f>
        <v>7000020167</v>
      </c>
      <c r="C49" s="694">
        <f>'Sch-1'!C49</f>
        <v>200</v>
      </c>
      <c r="D49" s="695" t="str">
        <f>'Sch-1'!D49</f>
        <v xml:space="preserve">SPARES FOR 420KV SHUNT REACTOR          </v>
      </c>
      <c r="E49" s="695">
        <f>'Sch-1'!E49</f>
        <v>1000032089</v>
      </c>
      <c r="F49" s="695" t="str">
        <f>'Sch-1'!J49</f>
        <v>SPARES INSULATING OIL TO BE HANDED OVER TO OWNER AFTER COMMISSIONING</v>
      </c>
      <c r="G49" s="695" t="str">
        <f>'Sch-1'!K49</f>
        <v xml:space="preserve">KL </v>
      </c>
      <c r="H49" s="694">
        <f>'Sch-1'!L49</f>
        <v>5</v>
      </c>
      <c r="I49" s="680"/>
      <c r="J49" s="673" t="str">
        <f t="shared" ref="J49" si="13">IF(I49=0, "INCLUDED", IF(ISERROR(I49*H49), I49, I49*H49))</f>
        <v>INCLUDED</v>
      </c>
    </row>
    <row r="50" spans="1:11" ht="60" customHeight="1">
      <c r="A50" s="490">
        <f>'Sch-1'!A50</f>
        <v>31</v>
      </c>
      <c r="B50" s="694">
        <f>'Sch-1'!B50</f>
        <v>7000020167</v>
      </c>
      <c r="C50" s="694">
        <f>'Sch-1'!C50</f>
        <v>210</v>
      </c>
      <c r="D50" s="695" t="str">
        <f>'Sch-1'!D50</f>
        <v xml:space="preserve">SPARES FOR 420KV SHUNT REACTOR          </v>
      </c>
      <c r="E50" s="695">
        <f>'Sch-1'!E50</f>
        <v>1000028280</v>
      </c>
      <c r="F50" s="695" t="str">
        <f>'Sch-1'!J50</f>
        <v>Magnetic Oil Level Gauge</v>
      </c>
      <c r="G50" s="695" t="str">
        <f>'Sch-1'!K50</f>
        <v xml:space="preserve">EA </v>
      </c>
      <c r="H50" s="694">
        <f>'Sch-1'!L50</f>
        <v>1</v>
      </c>
      <c r="I50" s="680"/>
      <c r="J50" s="673" t="str">
        <f t="shared" si="0"/>
        <v>INCLUDED</v>
      </c>
    </row>
    <row r="51" spans="1:11" ht="33" customHeight="1">
      <c r="A51" s="397"/>
      <c r="B51" s="773" t="s">
        <v>315</v>
      </c>
      <c r="C51" s="773"/>
      <c r="D51" s="773"/>
      <c r="E51" s="431"/>
      <c r="F51" s="432"/>
      <c r="G51" s="433"/>
      <c r="H51" s="433"/>
      <c r="I51" s="431"/>
      <c r="J51" s="661">
        <f>SUM(J18:J50)</f>
        <v>0</v>
      </c>
      <c r="K51" s="434"/>
    </row>
    <row r="52" spans="1:11" ht="57.75" customHeight="1">
      <c r="A52" s="396"/>
      <c r="B52" s="774" t="s">
        <v>478</v>
      </c>
      <c r="C52" s="774"/>
      <c r="D52" s="774"/>
      <c r="E52" s="774"/>
      <c r="F52" s="774"/>
      <c r="G52" s="774"/>
      <c r="H52" s="774"/>
      <c r="I52" s="774"/>
      <c r="J52" s="774"/>
      <c r="K52" s="434"/>
    </row>
    <row r="53" spans="1:11" ht="24.75" customHeight="1">
      <c r="B53" s="386"/>
      <c r="C53" s="386"/>
      <c r="D53" s="386"/>
      <c r="E53" s="386"/>
      <c r="F53" s="386"/>
      <c r="G53" s="386"/>
      <c r="H53" s="324"/>
      <c r="I53" s="386"/>
      <c r="J53" s="324"/>
      <c r="K53" s="434"/>
    </row>
    <row r="54" spans="1:11" s="435" customFormat="1" ht="16.5">
      <c r="B54" s="496" t="s">
        <v>316</v>
      </c>
      <c r="C54" s="768" t="str">
        <f>'Sch-1'!C56:D56</f>
        <v xml:space="preserve">  </v>
      </c>
      <c r="D54" s="765"/>
      <c r="G54" s="770" t="s">
        <v>318</v>
      </c>
      <c r="H54" s="770"/>
      <c r="I54" s="767" t="str">
        <f>'Sch-1'!K56</f>
        <v/>
      </c>
      <c r="J54" s="767"/>
    </row>
    <row r="55" spans="1:11" s="435" customFormat="1" ht="16.5">
      <c r="B55" s="496" t="s">
        <v>317</v>
      </c>
      <c r="C55" s="765" t="str">
        <f>'Sch-1'!C57:D57</f>
        <v/>
      </c>
      <c r="D55" s="765"/>
      <c r="G55" s="770" t="s">
        <v>125</v>
      </c>
      <c r="H55" s="770"/>
      <c r="I55" s="767" t="str">
        <f>'Sch-1'!K57</f>
        <v/>
      </c>
      <c r="J55" s="767"/>
    </row>
    <row r="56" spans="1:11" ht="16.5">
      <c r="B56" s="497"/>
      <c r="C56" s="498"/>
      <c r="D56" s="324"/>
      <c r="E56" s="499"/>
      <c r="F56" s="500"/>
      <c r="G56" s="324"/>
      <c r="H56" s="495"/>
      <c r="I56" s="434"/>
      <c r="J56" s="495"/>
      <c r="K56" s="434"/>
    </row>
    <row r="57" spans="1:11" ht="16.5">
      <c r="B57" s="501"/>
      <c r="C57" s="502"/>
      <c r="D57" s="501"/>
      <c r="E57" s="499"/>
      <c r="F57" s="500"/>
      <c r="G57" s="501"/>
      <c r="H57" s="495"/>
      <c r="I57" s="434"/>
      <c r="J57" s="495"/>
      <c r="K57" s="434"/>
    </row>
  </sheetData>
  <sheetProtection algorithmName="SHA-512" hashValue="pI+B8XGHf5OAQF2J6XKWV4ojfqgqBNjjEFqscSBY9OEsLle+cyyp2h0AKxx+psx7fYtJVXEmAwr5IpGR3YMS1g==" saltValue="KX0qHjJVBsX6qVr/2pNDdw==" spinCount="100000" sheet="1" formatRows="0" selectLockedCells="1"/>
  <customSheetViews>
    <customSheetView guid="{CCA37BAE-906F-43D5-9FD9-B13563E4B9D7}" scale="60" showPageBreaks="1" fitToPage="1" printArea="1" view="pageBreakPreview" topLeftCell="A42">
      <selection activeCell="I50" sqref="I50"/>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84F40905-A9D3-43A5-987A-8A757D486A94}"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2"/>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4"/>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5"/>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6"/>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7"/>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8"/>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11"/>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12"/>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15"/>
      <headerFooter>
        <oddHeader>&amp;RSchedule-2
Page &amp;P of &amp;N</oddHeader>
      </headerFooter>
    </customSheetView>
    <customSheetView guid="{9E88A623-8EDB-47F0-815B-9C48385C3E73}"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16"/>
      <headerFooter>
        <oddHeader>&amp;RSchedule-2
Page &amp;P of &amp;N</oddHeader>
      </headerFooter>
    </customSheetView>
  </customSheetViews>
  <mergeCells count="20">
    <mergeCell ref="G55:H55"/>
    <mergeCell ref="G54:H54"/>
    <mergeCell ref="I55:J55"/>
    <mergeCell ref="N3:O3"/>
    <mergeCell ref="A4:J4"/>
    <mergeCell ref="A3:J3"/>
    <mergeCell ref="C55:D55"/>
    <mergeCell ref="B51:D51"/>
    <mergeCell ref="B52:J52"/>
    <mergeCell ref="C54:D54"/>
    <mergeCell ref="I54:J54"/>
    <mergeCell ref="A6:B6"/>
    <mergeCell ref="I14:J14"/>
    <mergeCell ref="A7:F7"/>
    <mergeCell ref="A8:G8"/>
    <mergeCell ref="C10:E10"/>
    <mergeCell ref="C9:E9"/>
    <mergeCell ref="C12:E12"/>
    <mergeCell ref="C11:E11"/>
    <mergeCell ref="A13:J13"/>
  </mergeCells>
  <dataValidations count="2">
    <dataValidation type="decimal" operator="greaterThan" allowBlank="1" showInputMessage="1" showErrorMessage="1" error="Enter only Numeric value greater than zero or leave the cell blank !" sqref="I64634:I64635" xr:uid="{00000000-0002-0000-0500-000000000000}">
      <formula1>0</formula1>
    </dataValidation>
    <dataValidation type="decimal" operator="greaterThanOrEqual" allowBlank="1" showInputMessage="1" showErrorMessage="1" sqref="I18:I28 I30:I40 I42:I50" xr:uid="{00000000-0002-0000-0500-000001000000}">
      <formula1>0</formula1>
    </dataValidation>
  </dataValidations>
  <printOptions horizontalCentered="1"/>
  <pageMargins left="0.45" right="0.45" top="0.75" bottom="0.5" header="0.3" footer="0.3"/>
  <pageSetup paperSize="9" scale="62" fitToHeight="0" orientation="landscape" r:id="rId17"/>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1"/>
  <sheetViews>
    <sheetView view="pageBreakPreview" topLeftCell="A16" zoomScale="60" zoomScaleNormal="80" workbookViewId="0">
      <selection activeCell="O19" sqref="O19"/>
    </sheetView>
  </sheetViews>
  <sheetFormatPr defaultColWidth="38.5703125" defaultRowHeight="15.75"/>
  <cols>
    <col min="1" max="1" width="5.5703125" style="19" customWidth="1"/>
    <col min="2" max="2" width="16.140625" style="19" customWidth="1"/>
    <col min="3" max="3" width="9.7109375" style="19" customWidth="1"/>
    <col min="4" max="4" width="15.85546875" style="19" customWidth="1"/>
    <col min="5" max="5" width="9.28515625" style="19" customWidth="1"/>
    <col min="6" max="6" width="26.42578125" style="381" customWidth="1"/>
    <col min="7" max="7" width="15.28515625" style="381" customWidth="1"/>
    <col min="8" max="8" width="13.85546875" style="381" customWidth="1"/>
    <col min="9" max="9" width="18.5703125" style="381" customWidth="1"/>
    <col min="10" max="10" width="13.85546875" style="381" customWidth="1"/>
    <col min="11" max="11" width="18.85546875" style="381" customWidth="1"/>
    <col min="12" max="12" width="59.5703125" style="8" customWidth="1"/>
    <col min="13" max="13" width="12" style="9" customWidth="1"/>
    <col min="14" max="14" width="13.85546875" style="420" customWidth="1"/>
    <col min="15" max="15" width="22.7109375" style="9" customWidth="1"/>
    <col min="16" max="16" width="24" style="9" customWidth="1"/>
    <col min="17" max="17" width="9.140625" style="7" hidden="1" customWidth="1"/>
    <col min="18" max="18" width="16.42578125" style="3" hidden="1" customWidth="1"/>
    <col min="19" max="19" width="20.85546875" style="3" hidden="1" customWidth="1"/>
    <col min="20" max="20" width="16.42578125" style="4" hidden="1" customWidth="1"/>
    <col min="21" max="21" width="16.85546875" style="3"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7" t="str">
        <f>Cover!B3</f>
        <v>Spec. No: CC/NT/W-RT/DOM/A00/23/02849</v>
      </c>
      <c r="B1" s="17"/>
      <c r="C1" s="17"/>
      <c r="D1" s="17"/>
      <c r="E1" s="17"/>
      <c r="F1" s="379"/>
      <c r="G1" s="379"/>
      <c r="H1" s="379"/>
      <c r="I1" s="379"/>
      <c r="J1" s="379"/>
      <c r="K1" s="379"/>
      <c r="L1" s="363"/>
      <c r="M1" s="6"/>
      <c r="N1" s="6"/>
      <c r="O1" s="1"/>
      <c r="P1" s="2" t="s">
        <v>17</v>
      </c>
    </row>
    <row r="2" spans="1:31">
      <c r="A2" s="18"/>
      <c r="B2" s="18"/>
      <c r="C2" s="18"/>
      <c r="D2" s="18"/>
      <c r="E2" s="18"/>
      <c r="F2" s="380"/>
      <c r="G2" s="380"/>
      <c r="H2" s="380"/>
      <c r="I2" s="380"/>
      <c r="J2" s="380"/>
      <c r="K2" s="380"/>
      <c r="L2" s="357"/>
      <c r="M2" s="4"/>
      <c r="N2" s="4"/>
      <c r="O2" s="3"/>
      <c r="P2" s="3"/>
    </row>
    <row r="3" spans="1:31" ht="52.5" customHeight="1">
      <c r="A3" s="755"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755"/>
      <c r="C3" s="755"/>
      <c r="D3" s="755"/>
      <c r="E3" s="755"/>
      <c r="F3" s="755"/>
      <c r="G3" s="755"/>
      <c r="H3" s="755"/>
      <c r="I3" s="755"/>
      <c r="J3" s="755"/>
      <c r="K3" s="755"/>
      <c r="L3" s="755"/>
      <c r="M3" s="755"/>
      <c r="N3" s="755"/>
      <c r="O3" s="755"/>
      <c r="P3" s="755"/>
    </row>
    <row r="4" spans="1:31" ht="16.5">
      <c r="A4" s="756" t="s">
        <v>19</v>
      </c>
      <c r="B4" s="756"/>
      <c r="C4" s="756"/>
      <c r="D4" s="756"/>
      <c r="E4" s="756"/>
      <c r="F4" s="756"/>
      <c r="G4" s="756"/>
      <c r="H4" s="756"/>
      <c r="I4" s="756"/>
      <c r="J4" s="756"/>
      <c r="K4" s="756"/>
      <c r="L4" s="756"/>
      <c r="M4" s="756"/>
      <c r="N4" s="756"/>
      <c r="O4" s="756"/>
      <c r="P4" s="756"/>
    </row>
    <row r="6" spans="1:31" ht="21.75" customHeight="1">
      <c r="A6" s="757" t="s">
        <v>349</v>
      </c>
      <c r="B6" s="757"/>
      <c r="C6" s="4"/>
      <c r="D6" s="324"/>
      <c r="E6" s="4"/>
      <c r="F6" s="4"/>
      <c r="G6" s="4"/>
      <c r="H6" s="4"/>
      <c r="I6" s="4"/>
    </row>
    <row r="7" spans="1:31" ht="21" customHeight="1">
      <c r="A7" s="761">
        <f>'Sch-1'!A7</f>
        <v>0</v>
      </c>
      <c r="B7" s="761"/>
      <c r="C7" s="761"/>
      <c r="D7" s="761"/>
      <c r="E7" s="761"/>
      <c r="F7" s="761"/>
      <c r="G7" s="761"/>
      <c r="H7" s="761"/>
      <c r="I7" s="761"/>
      <c r="J7" s="382"/>
      <c r="K7" s="382"/>
      <c r="L7" s="364"/>
      <c r="M7" s="10" t="s">
        <v>1</v>
      </c>
      <c r="N7" s="421"/>
      <c r="O7" s="3"/>
      <c r="P7" s="3"/>
    </row>
    <row r="8" spans="1:31" ht="22.5" customHeight="1">
      <c r="A8" s="758" t="str">
        <f>"Bidder’s Name and Address  (" &amp; MID('Names of Bidder'!B9,9, 20) &amp; ") :"</f>
        <v>Bidder’s Name and Address  (Sole Bidder) :</v>
      </c>
      <c r="B8" s="758"/>
      <c r="C8" s="758"/>
      <c r="D8" s="758"/>
      <c r="E8" s="758"/>
      <c r="F8" s="758"/>
      <c r="G8" s="758"/>
      <c r="H8" s="401"/>
      <c r="I8" s="401"/>
      <c r="J8" s="474"/>
      <c r="K8" s="474"/>
      <c r="L8" s="474"/>
      <c r="M8" s="11" t="str">
        <f>'Sch-1'!K8</f>
        <v>Contract Services</v>
      </c>
      <c r="N8" s="474"/>
      <c r="O8" s="3"/>
      <c r="P8" s="3"/>
    </row>
    <row r="9" spans="1:31" ht="24.75" customHeight="1">
      <c r="A9" s="422" t="s">
        <v>12</v>
      </c>
      <c r="B9" s="376"/>
      <c r="C9" s="761" t="str">
        <f>IF('Names of Bidder'!D9=0, "", 'Names of Bidder'!D9)</f>
        <v/>
      </c>
      <c r="D9" s="761"/>
      <c r="E9" s="761"/>
      <c r="F9" s="761"/>
      <c r="G9" s="761"/>
      <c r="H9" s="378"/>
      <c r="I9" s="378"/>
      <c r="J9" s="365"/>
      <c r="K9" s="365"/>
      <c r="L9" s="365"/>
      <c r="M9" s="11" t="str">
        <f>'Sch-1'!K9</f>
        <v>Power Grid Corporation of India Ltd.,</v>
      </c>
      <c r="N9" s="4"/>
      <c r="O9" s="3"/>
      <c r="P9" s="3"/>
    </row>
    <row r="10" spans="1:31" ht="21" customHeight="1">
      <c r="A10" s="422" t="s">
        <v>11</v>
      </c>
      <c r="B10" s="376"/>
      <c r="C10" s="760" t="str">
        <f>IF('Names of Bidder'!D10=0, "", 'Names of Bidder'!D10)</f>
        <v/>
      </c>
      <c r="D10" s="760"/>
      <c r="E10" s="760"/>
      <c r="F10" s="760"/>
      <c r="G10" s="760"/>
      <c r="H10" s="378"/>
      <c r="I10" s="378"/>
      <c r="J10" s="365"/>
      <c r="K10" s="365"/>
      <c r="L10" s="365"/>
      <c r="M10" s="11" t="str">
        <f>'Sch-1'!K10</f>
        <v>"Saudamini", Plot No.-2</v>
      </c>
      <c r="N10" s="4"/>
      <c r="O10" s="3"/>
      <c r="P10" s="3"/>
    </row>
    <row r="11" spans="1:31" ht="20.25" customHeight="1">
      <c r="A11" s="378"/>
      <c r="B11" s="378"/>
      <c r="C11" s="760" t="str">
        <f>IF('Names of Bidder'!D11=0, "", 'Names of Bidder'!D11)</f>
        <v/>
      </c>
      <c r="D11" s="760"/>
      <c r="E11" s="760"/>
      <c r="F11" s="760"/>
      <c r="G11" s="760"/>
      <c r="H11" s="378"/>
      <c r="I11" s="378"/>
      <c r="J11" s="365"/>
      <c r="K11" s="365"/>
      <c r="L11" s="365"/>
      <c r="M11" s="11" t="str">
        <f>'Sch-1'!K11</f>
        <v xml:space="preserve">Sector-29, </v>
      </c>
      <c r="N11" s="4"/>
      <c r="O11" s="3"/>
      <c r="P11" s="3"/>
    </row>
    <row r="12" spans="1:31" ht="21" customHeight="1">
      <c r="A12" s="378"/>
      <c r="B12" s="378"/>
      <c r="C12" s="760" t="str">
        <f>IF('Names of Bidder'!D12=0, "", 'Names of Bidder'!D12)</f>
        <v/>
      </c>
      <c r="D12" s="760"/>
      <c r="E12" s="760"/>
      <c r="F12" s="760"/>
      <c r="G12" s="760"/>
      <c r="H12" s="378"/>
      <c r="I12" s="378"/>
      <c r="J12" s="365"/>
      <c r="K12" s="365"/>
      <c r="L12" s="365"/>
      <c r="M12" s="11" t="str">
        <f>'Sch-1'!K12</f>
        <v>Gurgaon (Haryana) - 122001</v>
      </c>
      <c r="N12" s="4"/>
      <c r="O12" s="3"/>
      <c r="P12" s="3"/>
    </row>
    <row r="13" spans="1:31">
      <c r="A13" s="20"/>
      <c r="B13" s="20"/>
      <c r="C13" s="20"/>
      <c r="D13" s="20"/>
      <c r="E13" s="20"/>
      <c r="F13" s="383"/>
      <c r="G13" s="383"/>
      <c r="H13" s="383"/>
      <c r="I13" s="383"/>
      <c r="J13" s="383"/>
      <c r="K13" s="383"/>
      <c r="L13" s="365"/>
      <c r="M13" s="238"/>
      <c r="N13" s="378"/>
      <c r="O13" s="11"/>
      <c r="P13" s="3"/>
    </row>
    <row r="14" spans="1:31" ht="24.75" customHeight="1">
      <c r="A14" s="785" t="s">
        <v>21</v>
      </c>
      <c r="B14" s="785"/>
      <c r="C14" s="785"/>
      <c r="D14" s="785"/>
      <c r="E14" s="785"/>
      <c r="F14" s="785"/>
      <c r="G14" s="785"/>
      <c r="H14" s="785"/>
      <c r="I14" s="785"/>
      <c r="J14" s="785"/>
      <c r="K14" s="785"/>
      <c r="L14" s="785"/>
      <c r="M14" s="785"/>
      <c r="N14" s="785"/>
      <c r="O14" s="785"/>
      <c r="P14" s="785"/>
    </row>
    <row r="15" spans="1:31" ht="24.75" customHeight="1">
      <c r="A15" s="669"/>
      <c r="B15" s="669"/>
      <c r="C15" s="669"/>
      <c r="D15" s="669"/>
      <c r="E15" s="669"/>
      <c r="F15" s="669"/>
      <c r="G15" s="669"/>
      <c r="H15" s="669"/>
      <c r="I15" s="669"/>
      <c r="J15" s="669"/>
      <c r="K15" s="669"/>
      <c r="L15" s="669"/>
      <c r="M15" s="776" t="s">
        <v>354</v>
      </c>
      <c r="N15" s="776"/>
      <c r="O15" s="776"/>
      <c r="P15" s="776"/>
    </row>
    <row r="16" spans="1:31" s="399" customFormat="1" ht="118.5" customHeight="1">
      <c r="A16" s="438" t="s">
        <v>7</v>
      </c>
      <c r="B16" s="439" t="s">
        <v>266</v>
      </c>
      <c r="C16" s="439" t="s">
        <v>278</v>
      </c>
      <c r="D16" s="439" t="s">
        <v>277</v>
      </c>
      <c r="E16" s="439" t="s">
        <v>279</v>
      </c>
      <c r="F16" s="439" t="s">
        <v>280</v>
      </c>
      <c r="G16" s="438" t="s">
        <v>25</v>
      </c>
      <c r="H16" s="440" t="s">
        <v>320</v>
      </c>
      <c r="I16" s="441" t="s">
        <v>475</v>
      </c>
      <c r="J16" s="441" t="s">
        <v>309</v>
      </c>
      <c r="K16" s="441" t="s">
        <v>476</v>
      </c>
      <c r="L16" s="442" t="s">
        <v>15</v>
      </c>
      <c r="M16" s="443" t="s">
        <v>9</v>
      </c>
      <c r="N16" s="443" t="s">
        <v>16</v>
      </c>
      <c r="O16" s="442" t="s">
        <v>23</v>
      </c>
      <c r="P16" s="442" t="s">
        <v>24</v>
      </c>
      <c r="Q16" s="398"/>
      <c r="R16" s="568" t="s">
        <v>345</v>
      </c>
      <c r="S16" s="570" t="s">
        <v>346</v>
      </c>
      <c r="T16" s="568" t="s">
        <v>343</v>
      </c>
      <c r="U16" s="568" t="s">
        <v>344</v>
      </c>
      <c r="V16" s="398"/>
      <c r="W16" s="398"/>
      <c r="X16" s="398"/>
      <c r="Y16" s="398"/>
      <c r="Z16" s="398"/>
      <c r="AA16" s="398"/>
      <c r="AB16" s="398"/>
      <c r="AC16" s="398"/>
      <c r="AD16" s="398"/>
      <c r="AE16" s="398"/>
    </row>
    <row r="17" spans="1:31" s="399" customFormat="1" ht="16.5">
      <c r="A17" s="15">
        <v>1</v>
      </c>
      <c r="B17" s="15">
        <v>2</v>
      </c>
      <c r="C17" s="15">
        <v>3</v>
      </c>
      <c r="D17" s="15">
        <v>4</v>
      </c>
      <c r="E17" s="15">
        <v>5</v>
      </c>
      <c r="F17" s="362">
        <v>6</v>
      </c>
      <c r="G17" s="362">
        <v>7</v>
      </c>
      <c r="H17" s="440">
        <v>8</v>
      </c>
      <c r="I17" s="440">
        <v>9</v>
      </c>
      <c r="J17" s="440">
        <v>10</v>
      </c>
      <c r="K17" s="440">
        <v>11</v>
      </c>
      <c r="L17" s="362">
        <v>12</v>
      </c>
      <c r="M17" s="15">
        <v>13</v>
      </c>
      <c r="N17" s="15">
        <v>14</v>
      </c>
      <c r="O17" s="15">
        <v>15</v>
      </c>
      <c r="P17" s="15" t="s">
        <v>321</v>
      </c>
      <c r="Q17" s="398"/>
      <c r="V17" s="398"/>
      <c r="W17" s="398"/>
      <c r="X17" s="398"/>
      <c r="Y17" s="398"/>
      <c r="Z17" s="398"/>
      <c r="AA17" s="398"/>
      <c r="AB17" s="398"/>
      <c r="AC17" s="398"/>
      <c r="AD17" s="398"/>
      <c r="AE17" s="398"/>
    </row>
    <row r="18" spans="1:31" s="693" customFormat="1" ht="31.5" customHeight="1">
      <c r="A18" s="691" t="s">
        <v>482</v>
      </c>
      <c r="B18" s="685" t="str">
        <f>'Sch-1'!B17</f>
        <v xml:space="preserve">80MVAR 400kV LR at Allahabad end </v>
      </c>
      <c r="C18" s="686"/>
      <c r="D18" s="686"/>
      <c r="E18" s="686"/>
      <c r="F18" s="686"/>
      <c r="G18" s="686"/>
      <c r="H18" s="686"/>
      <c r="I18" s="686"/>
      <c r="J18" s="686"/>
      <c r="K18" s="686"/>
      <c r="L18" s="686"/>
      <c r="M18" s="686"/>
      <c r="N18" s="686"/>
      <c r="O18" s="686"/>
      <c r="P18" s="687"/>
      <c r="Q18" s="692"/>
      <c r="V18" s="692"/>
      <c r="W18" s="692"/>
      <c r="X18" s="692"/>
      <c r="Y18" s="692"/>
      <c r="Z18" s="692"/>
      <c r="AA18" s="692"/>
      <c r="AB18" s="692"/>
      <c r="AC18" s="692"/>
      <c r="AD18" s="692"/>
      <c r="AE18" s="692"/>
    </row>
    <row r="19" spans="1:31" ht="47.25" customHeight="1">
      <c r="A19" s="674">
        <v>1</v>
      </c>
      <c r="B19" s="695">
        <v>7000020163</v>
      </c>
      <c r="C19" s="695">
        <v>120</v>
      </c>
      <c r="D19" s="695">
        <v>1120</v>
      </c>
      <c r="E19" s="695">
        <v>10</v>
      </c>
      <c r="F19" s="695" t="s">
        <v>488</v>
      </c>
      <c r="G19" s="695">
        <v>100000053</v>
      </c>
      <c r="H19" s="695">
        <v>998736</v>
      </c>
      <c r="I19" s="675"/>
      <c r="J19" s="670">
        <v>18</v>
      </c>
      <c r="K19" s="676"/>
      <c r="L19" s="695" t="s">
        <v>490</v>
      </c>
      <c r="M19" s="694" t="s">
        <v>299</v>
      </c>
      <c r="N19" s="694">
        <v>1</v>
      </c>
      <c r="O19" s="679"/>
      <c r="P19" s="677" t="str">
        <f t="shared" ref="P19:P21" si="0">IF(O19=0, "INCLUDED", IF(ISERROR(N19*O19), O19, N19*O19))</f>
        <v>INCLUDED</v>
      </c>
      <c r="Q19" s="472">
        <f t="shared" ref="Q19:Q21" si="1">IF(P19="Included",0,P19)</f>
        <v>0</v>
      </c>
      <c r="R19" s="414">
        <f>IF( K19="",J19*(IF(P19="Included",0,P19))/100,K19*(IF(P19="Included",0,P19)))</f>
        <v>0</v>
      </c>
      <c r="S19" s="567">
        <f>Discount!$J$36</f>
        <v>0</v>
      </c>
      <c r="T19" s="414">
        <f>S19*Q19</f>
        <v>0</v>
      </c>
      <c r="U19" s="415">
        <f>IF(K19="",J19*T19/100,K19*T19)</f>
        <v>0</v>
      </c>
      <c r="V19" s="667">
        <f>O19*N19</f>
        <v>0</v>
      </c>
      <c r="W19" s="240"/>
      <c r="X19" s="240"/>
      <c r="Y19" s="240"/>
      <c r="Z19" s="240"/>
      <c r="AA19" s="240"/>
    </row>
    <row r="20" spans="1:31" ht="47.25" customHeight="1">
      <c r="A20" s="674"/>
      <c r="B20" s="695">
        <v>7000020163</v>
      </c>
      <c r="C20" s="695">
        <v>120</v>
      </c>
      <c r="D20" s="695">
        <v>1120</v>
      </c>
      <c r="E20" s="695">
        <v>20</v>
      </c>
      <c r="F20" s="695" t="s">
        <v>488</v>
      </c>
      <c r="G20" s="695">
        <v>100000054</v>
      </c>
      <c r="H20" s="695">
        <v>998736</v>
      </c>
      <c r="I20" s="675"/>
      <c r="J20" s="670">
        <v>18</v>
      </c>
      <c r="K20" s="676"/>
      <c r="L20" s="695" t="s">
        <v>505</v>
      </c>
      <c r="M20" s="694" t="s">
        <v>300</v>
      </c>
      <c r="N20" s="694">
        <v>1</v>
      </c>
      <c r="O20" s="679"/>
      <c r="P20" s="677" t="str">
        <f t="shared" ref="P20" si="2">IF(O20=0, "INCLUDED", IF(ISERROR(N20*O20), O20, N20*O20))</f>
        <v>INCLUDED</v>
      </c>
      <c r="Q20" s="472">
        <f t="shared" ref="Q20" si="3">IF(P20="Included",0,P20)</f>
        <v>0</v>
      </c>
      <c r="R20" s="414">
        <f t="shared" ref="R20" si="4">IF( K20="",J20*(IF(P20="Included",0,P20))/100,K20*(IF(P20="Included",0,P20)))</f>
        <v>0</v>
      </c>
      <c r="S20" s="567">
        <f>Discount!$J$36</f>
        <v>0</v>
      </c>
      <c r="T20" s="414">
        <f t="shared" ref="T20" si="5">S20*Q20</f>
        <v>0</v>
      </c>
      <c r="U20" s="415">
        <f t="shared" ref="U20" si="6">IF(K20="",J20*T20/100,K20*T20)</f>
        <v>0</v>
      </c>
      <c r="V20" s="667">
        <f t="shared" ref="V20" si="7">O20*N20</f>
        <v>0</v>
      </c>
      <c r="W20" s="240"/>
      <c r="X20" s="240"/>
      <c r="Y20" s="240"/>
      <c r="Z20" s="240"/>
      <c r="AA20" s="240"/>
    </row>
    <row r="21" spans="1:31" ht="47.25" customHeight="1">
      <c r="A21" s="674"/>
      <c r="B21" s="695">
        <v>7000020163</v>
      </c>
      <c r="C21" s="695">
        <v>120</v>
      </c>
      <c r="D21" s="695">
        <v>1120</v>
      </c>
      <c r="E21" s="695">
        <v>30</v>
      </c>
      <c r="F21" s="695" t="s">
        <v>488</v>
      </c>
      <c r="G21" s="695">
        <v>100000052</v>
      </c>
      <c r="H21" s="695">
        <v>998736</v>
      </c>
      <c r="I21" s="675"/>
      <c r="J21" s="670">
        <v>18</v>
      </c>
      <c r="K21" s="676"/>
      <c r="L21" s="695" t="s">
        <v>506</v>
      </c>
      <c r="M21" s="694" t="s">
        <v>300</v>
      </c>
      <c r="N21" s="694">
        <v>1</v>
      </c>
      <c r="O21" s="679"/>
      <c r="P21" s="677" t="str">
        <f t="shared" si="0"/>
        <v>INCLUDED</v>
      </c>
      <c r="Q21" s="472">
        <f t="shared" si="1"/>
        <v>0</v>
      </c>
      <c r="R21" s="414">
        <f t="shared" ref="R21" si="8">IF( K21="",J21*(IF(P21="Included",0,P21))/100,K21*(IF(P21="Included",0,P21)))</f>
        <v>0</v>
      </c>
      <c r="S21" s="567">
        <f>Discount!$J$36</f>
        <v>0</v>
      </c>
      <c r="T21" s="414">
        <f t="shared" ref="T21" si="9">S21*Q21</f>
        <v>0</v>
      </c>
      <c r="U21" s="415">
        <f t="shared" ref="U21" si="10">IF(K21="",J21*T21/100,K21*T21)</f>
        <v>0</v>
      </c>
      <c r="V21" s="667">
        <f t="shared" ref="V21" si="11">O21*N21</f>
        <v>0</v>
      </c>
      <c r="W21" s="240"/>
      <c r="X21" s="240"/>
      <c r="Y21" s="240"/>
      <c r="Z21" s="240"/>
      <c r="AA21" s="240"/>
    </row>
    <row r="22" spans="1:31" ht="47.25" customHeight="1">
      <c r="A22" s="674"/>
      <c r="B22" s="695">
        <v>7000020163</v>
      </c>
      <c r="C22" s="695">
        <v>120</v>
      </c>
      <c r="D22" s="695">
        <v>1120</v>
      </c>
      <c r="E22" s="695">
        <v>50</v>
      </c>
      <c r="F22" s="695" t="s">
        <v>488</v>
      </c>
      <c r="G22" s="695">
        <v>100000587</v>
      </c>
      <c r="H22" s="695">
        <v>998736</v>
      </c>
      <c r="I22" s="675"/>
      <c r="J22" s="670">
        <v>18</v>
      </c>
      <c r="K22" s="676"/>
      <c r="L22" s="695" t="s">
        <v>507</v>
      </c>
      <c r="M22" s="694" t="s">
        <v>299</v>
      </c>
      <c r="N22" s="694">
        <v>1</v>
      </c>
      <c r="O22" s="679"/>
      <c r="P22" s="677" t="str">
        <f t="shared" ref="P22" si="12">IF(O22=0, "INCLUDED", IF(ISERROR(N22*O22), O22, N22*O22))</f>
        <v>INCLUDED</v>
      </c>
      <c r="Q22" s="472">
        <f t="shared" ref="Q22" si="13">IF(P22="Included",0,P22)</f>
        <v>0</v>
      </c>
      <c r="R22" s="414">
        <f t="shared" ref="R22" si="14">IF( K22="",J22*(IF(P22="Included",0,P22))/100,K22*(IF(P22="Included",0,P22)))</f>
        <v>0</v>
      </c>
      <c r="S22" s="567">
        <f>Discount!$J$36</f>
        <v>0</v>
      </c>
      <c r="T22" s="414">
        <f t="shared" ref="T22" si="15">S22*Q22</f>
        <v>0</v>
      </c>
      <c r="U22" s="415">
        <f t="shared" ref="U22" si="16">IF(K22="",J22*T22/100,K22*T22)</f>
        <v>0</v>
      </c>
      <c r="V22" s="667">
        <f t="shared" ref="V22" si="17">O22*N22</f>
        <v>0</v>
      </c>
      <c r="W22" s="240"/>
      <c r="X22" s="240"/>
      <c r="Y22" s="240"/>
      <c r="Z22" s="240"/>
      <c r="AA22" s="240"/>
    </row>
    <row r="23" spans="1:31" s="693" customFormat="1" ht="31.5" customHeight="1">
      <c r="A23" s="691" t="s">
        <v>483</v>
      </c>
      <c r="B23" s="685" t="str">
        <f>'Sch-1'!B29</f>
        <v>80MVAR 400kV LR at Bhiwadi end</v>
      </c>
      <c r="C23" s="686"/>
      <c r="D23" s="686"/>
      <c r="E23" s="686"/>
      <c r="F23" s="686"/>
      <c r="G23" s="686"/>
      <c r="H23" s="686"/>
      <c r="I23" s="686"/>
      <c r="J23" s="686"/>
      <c r="K23" s="686"/>
      <c r="L23" s="686"/>
      <c r="M23" s="686"/>
      <c r="N23" s="686"/>
      <c r="O23" s="686"/>
      <c r="P23" s="687"/>
      <c r="Q23" s="692"/>
      <c r="V23" s="692"/>
      <c r="W23" s="692"/>
      <c r="X23" s="692"/>
      <c r="Y23" s="692"/>
      <c r="Z23" s="692"/>
      <c r="AA23" s="692"/>
      <c r="AB23" s="692"/>
      <c r="AC23" s="692"/>
      <c r="AD23" s="692"/>
      <c r="AE23" s="692"/>
    </row>
    <row r="24" spans="1:31" ht="47.25" customHeight="1">
      <c r="A24" s="674"/>
      <c r="B24" s="694">
        <v>7000020163</v>
      </c>
      <c r="C24" s="694">
        <v>240</v>
      </c>
      <c r="D24" s="694">
        <v>1120</v>
      </c>
      <c r="E24" s="694">
        <v>10</v>
      </c>
      <c r="F24" s="695" t="s">
        <v>488</v>
      </c>
      <c r="G24" s="694">
        <v>100000053</v>
      </c>
      <c r="H24" s="694">
        <v>998736</v>
      </c>
      <c r="I24" s="675"/>
      <c r="J24" s="670">
        <v>18</v>
      </c>
      <c r="K24" s="676"/>
      <c r="L24" s="695" t="s">
        <v>490</v>
      </c>
      <c r="M24" s="695" t="s">
        <v>299</v>
      </c>
      <c r="N24" s="695">
        <v>1</v>
      </c>
      <c r="O24" s="679"/>
      <c r="P24" s="677" t="str">
        <f t="shared" ref="P24:P27" si="18">IF(O24=0, "INCLUDED", IF(ISERROR(N24*O24), O24, N24*O24))</f>
        <v>INCLUDED</v>
      </c>
      <c r="Q24" s="472">
        <f t="shared" ref="Q24:Q27" si="19">IF(P24="Included",0,P24)</f>
        <v>0</v>
      </c>
      <c r="R24" s="414">
        <f t="shared" ref="R24:R27" si="20">IF( K24="",J24*(IF(P24="Included",0,P24))/100,K24*(IF(P24="Included",0,P24)))</f>
        <v>0</v>
      </c>
      <c r="S24" s="567">
        <f>Discount!$J$36</f>
        <v>0</v>
      </c>
      <c r="T24" s="414">
        <f t="shared" ref="T24:T27" si="21">S24*Q24</f>
        <v>0</v>
      </c>
      <c r="U24" s="415">
        <f t="shared" ref="U24:U27" si="22">IF(K24="",J24*T24/100,K24*T24)</f>
        <v>0</v>
      </c>
      <c r="V24" s="667">
        <f t="shared" ref="V24:V27" si="23">O24*N24</f>
        <v>0</v>
      </c>
      <c r="W24" s="240"/>
      <c r="X24" s="240"/>
      <c r="Y24" s="240"/>
      <c r="Z24" s="240"/>
      <c r="AA24" s="240"/>
    </row>
    <row r="25" spans="1:31" ht="47.25" customHeight="1">
      <c r="A25" s="674"/>
      <c r="B25" s="694">
        <v>7000020163</v>
      </c>
      <c r="C25" s="694">
        <v>240</v>
      </c>
      <c r="D25" s="694">
        <v>1120</v>
      </c>
      <c r="E25" s="694">
        <v>20</v>
      </c>
      <c r="F25" s="695" t="s">
        <v>488</v>
      </c>
      <c r="G25" s="694">
        <v>100000054</v>
      </c>
      <c r="H25" s="694">
        <v>998736</v>
      </c>
      <c r="I25" s="675"/>
      <c r="J25" s="670">
        <v>18</v>
      </c>
      <c r="K25" s="676"/>
      <c r="L25" s="695" t="s">
        <v>505</v>
      </c>
      <c r="M25" s="695" t="s">
        <v>300</v>
      </c>
      <c r="N25" s="695">
        <v>1</v>
      </c>
      <c r="O25" s="679"/>
      <c r="P25" s="677" t="str">
        <f t="shared" si="18"/>
        <v>INCLUDED</v>
      </c>
      <c r="Q25" s="472">
        <f t="shared" si="19"/>
        <v>0</v>
      </c>
      <c r="R25" s="414">
        <f t="shared" si="20"/>
        <v>0</v>
      </c>
      <c r="S25" s="567">
        <f>Discount!$J$36</f>
        <v>0</v>
      </c>
      <c r="T25" s="414">
        <f t="shared" si="21"/>
        <v>0</v>
      </c>
      <c r="U25" s="415">
        <f t="shared" si="22"/>
        <v>0</v>
      </c>
      <c r="V25" s="667">
        <f t="shared" si="23"/>
        <v>0</v>
      </c>
      <c r="W25" s="240"/>
      <c r="X25" s="240"/>
      <c r="Y25" s="240"/>
      <c r="Z25" s="240"/>
      <c r="AA25" s="240"/>
    </row>
    <row r="26" spans="1:31" ht="47.25" customHeight="1">
      <c r="A26" s="674"/>
      <c r="B26" s="694">
        <v>7000020163</v>
      </c>
      <c r="C26" s="694">
        <v>240</v>
      </c>
      <c r="D26" s="694">
        <v>1120</v>
      </c>
      <c r="E26" s="694">
        <v>30</v>
      </c>
      <c r="F26" s="695" t="s">
        <v>488</v>
      </c>
      <c r="G26" s="694">
        <v>100000052</v>
      </c>
      <c r="H26" s="694">
        <v>998736</v>
      </c>
      <c r="I26" s="675"/>
      <c r="J26" s="670">
        <v>18</v>
      </c>
      <c r="K26" s="676"/>
      <c r="L26" s="695" t="s">
        <v>506</v>
      </c>
      <c r="M26" s="695" t="s">
        <v>300</v>
      </c>
      <c r="N26" s="695">
        <v>1</v>
      </c>
      <c r="O26" s="679"/>
      <c r="P26" s="677" t="str">
        <f t="shared" ref="P26" si="24">IF(O26=0, "INCLUDED", IF(ISERROR(N26*O26), O26, N26*O26))</f>
        <v>INCLUDED</v>
      </c>
      <c r="Q26" s="472">
        <f t="shared" ref="Q26" si="25">IF(P26="Included",0,P26)</f>
        <v>0</v>
      </c>
      <c r="R26" s="414">
        <f t="shared" ref="R26" si="26">IF( K26="",J26*(IF(P26="Included",0,P26))/100,K26*(IF(P26="Included",0,P26)))</f>
        <v>0</v>
      </c>
      <c r="S26" s="567">
        <f>Discount!$J$36</f>
        <v>0</v>
      </c>
      <c r="T26" s="414">
        <f t="shared" ref="T26" si="27">S26*Q26</f>
        <v>0</v>
      </c>
      <c r="U26" s="415">
        <f t="shared" ref="U26" si="28">IF(K26="",J26*T26/100,K26*T26)</f>
        <v>0</v>
      </c>
      <c r="V26" s="667">
        <f t="shared" ref="V26" si="29">O26*N26</f>
        <v>0</v>
      </c>
      <c r="W26" s="240"/>
      <c r="X26" s="240"/>
      <c r="Y26" s="240"/>
      <c r="Z26" s="240"/>
      <c r="AA26" s="240"/>
    </row>
    <row r="27" spans="1:31" ht="47.25" customHeight="1">
      <c r="A27" s="674"/>
      <c r="B27" s="694">
        <v>7000020163</v>
      </c>
      <c r="C27" s="694">
        <v>240</v>
      </c>
      <c r="D27" s="694">
        <v>1120</v>
      </c>
      <c r="E27" s="694">
        <v>50</v>
      </c>
      <c r="F27" s="695" t="s">
        <v>488</v>
      </c>
      <c r="G27" s="694">
        <v>100000587</v>
      </c>
      <c r="H27" s="694">
        <v>998736</v>
      </c>
      <c r="I27" s="675"/>
      <c r="J27" s="670">
        <v>18</v>
      </c>
      <c r="K27" s="676"/>
      <c r="L27" s="695" t="s">
        <v>507</v>
      </c>
      <c r="M27" s="695" t="s">
        <v>299</v>
      </c>
      <c r="N27" s="695">
        <v>1</v>
      </c>
      <c r="O27" s="679"/>
      <c r="P27" s="677" t="str">
        <f t="shared" si="18"/>
        <v>INCLUDED</v>
      </c>
      <c r="Q27" s="472">
        <f t="shared" si="19"/>
        <v>0</v>
      </c>
      <c r="R27" s="414">
        <f t="shared" si="20"/>
        <v>0</v>
      </c>
      <c r="S27" s="567">
        <f>Discount!$J$36</f>
        <v>0</v>
      </c>
      <c r="T27" s="414">
        <f t="shared" si="21"/>
        <v>0</v>
      </c>
      <c r="U27" s="415">
        <f t="shared" si="22"/>
        <v>0</v>
      </c>
      <c r="V27" s="667">
        <f t="shared" si="23"/>
        <v>0</v>
      </c>
      <c r="W27" s="240"/>
      <c r="X27" s="240"/>
      <c r="Y27" s="240"/>
      <c r="Z27" s="240"/>
      <c r="AA27" s="240"/>
    </row>
    <row r="28" spans="1:31" s="693" customFormat="1" ht="31.5" customHeight="1">
      <c r="A28" s="691" t="s">
        <v>484</v>
      </c>
      <c r="B28" s="685" t="str">
        <f>'Sch-1'!B41</f>
        <v xml:space="preserve">125MVAR 400kV BR at Jamshedpur </v>
      </c>
      <c r="C28" s="686"/>
      <c r="D28" s="686"/>
      <c r="E28" s="686"/>
      <c r="F28" s="686"/>
      <c r="G28" s="686"/>
      <c r="H28" s="686"/>
      <c r="I28" s="686"/>
      <c r="J28" s="686"/>
      <c r="K28" s="686"/>
      <c r="L28" s="686"/>
      <c r="M28" s="686"/>
      <c r="N28" s="686"/>
      <c r="O28" s="686"/>
      <c r="P28" s="687"/>
      <c r="Q28" s="692"/>
      <c r="V28" s="692"/>
      <c r="W28" s="692"/>
      <c r="X28" s="692"/>
      <c r="Y28" s="692"/>
      <c r="Z28" s="692"/>
      <c r="AA28" s="692"/>
      <c r="AB28" s="692"/>
      <c r="AC28" s="692"/>
      <c r="AD28" s="692"/>
      <c r="AE28" s="692"/>
    </row>
    <row r="29" spans="1:31" ht="47.25" customHeight="1">
      <c r="A29" s="674"/>
      <c r="B29" s="694">
        <v>7000020167</v>
      </c>
      <c r="C29" s="694">
        <v>220</v>
      </c>
      <c r="D29" s="694">
        <v>1120</v>
      </c>
      <c r="E29" s="694">
        <v>10</v>
      </c>
      <c r="F29" s="695" t="s">
        <v>488</v>
      </c>
      <c r="G29" s="694">
        <v>100000059</v>
      </c>
      <c r="H29" s="694">
        <v>998736</v>
      </c>
      <c r="I29" s="675"/>
      <c r="J29" s="670">
        <v>18</v>
      </c>
      <c r="K29" s="676"/>
      <c r="L29" s="695" t="s">
        <v>504</v>
      </c>
      <c r="M29" s="695" t="s">
        <v>299</v>
      </c>
      <c r="N29" s="695">
        <v>1</v>
      </c>
      <c r="O29" s="679"/>
      <c r="P29" s="677" t="str">
        <f t="shared" ref="P29:P30" si="30">IF(O29=0, "INCLUDED", IF(ISERROR(N29*O29), O29, N29*O29))</f>
        <v>INCLUDED</v>
      </c>
      <c r="Q29" s="472">
        <f t="shared" ref="Q29:Q30" si="31">IF(P29="Included",0,P29)</f>
        <v>0</v>
      </c>
      <c r="R29" s="414">
        <f t="shared" ref="R29:R30" si="32">IF( K29="",J29*(IF(P29="Included",0,P29))/100,K29*(IF(P29="Included",0,P29)))</f>
        <v>0</v>
      </c>
      <c r="S29" s="567">
        <f>Discount!$J$36</f>
        <v>0</v>
      </c>
      <c r="T29" s="414">
        <f t="shared" ref="T29:T30" si="33">S29*Q29</f>
        <v>0</v>
      </c>
      <c r="U29" s="415">
        <f t="shared" ref="U29:U30" si="34">IF(K29="",J29*T29/100,K29*T29)</f>
        <v>0</v>
      </c>
      <c r="V29" s="667">
        <f t="shared" ref="V29:V30" si="35">O29*N29</f>
        <v>0</v>
      </c>
      <c r="W29" s="240"/>
      <c r="X29" s="240"/>
      <c r="Y29" s="240"/>
      <c r="Z29" s="240"/>
      <c r="AA29" s="240"/>
    </row>
    <row r="30" spans="1:31" ht="47.25" customHeight="1">
      <c r="A30" s="674"/>
      <c r="B30" s="694">
        <v>7000020167</v>
      </c>
      <c r="C30" s="694">
        <v>220</v>
      </c>
      <c r="D30" s="694">
        <v>1120</v>
      </c>
      <c r="E30" s="694">
        <v>20</v>
      </c>
      <c r="F30" s="695" t="s">
        <v>488</v>
      </c>
      <c r="G30" s="694">
        <v>100000060</v>
      </c>
      <c r="H30" s="694">
        <v>998736</v>
      </c>
      <c r="I30" s="675"/>
      <c r="J30" s="670">
        <v>18</v>
      </c>
      <c r="K30" s="676"/>
      <c r="L30" s="695" t="s">
        <v>481</v>
      </c>
      <c r="M30" s="695" t="s">
        <v>300</v>
      </c>
      <c r="N30" s="695">
        <v>1</v>
      </c>
      <c r="O30" s="679"/>
      <c r="P30" s="677" t="str">
        <f t="shared" si="30"/>
        <v>INCLUDED</v>
      </c>
      <c r="Q30" s="472">
        <f t="shared" si="31"/>
        <v>0</v>
      </c>
      <c r="R30" s="414">
        <f t="shared" si="32"/>
        <v>0</v>
      </c>
      <c r="S30" s="567">
        <f>Discount!$J$36</f>
        <v>0</v>
      </c>
      <c r="T30" s="414">
        <f t="shared" si="33"/>
        <v>0</v>
      </c>
      <c r="U30" s="415">
        <f t="shared" si="34"/>
        <v>0</v>
      </c>
      <c r="V30" s="667">
        <f t="shared" si="35"/>
        <v>0</v>
      </c>
      <c r="W30" s="240"/>
      <c r="X30" s="240"/>
      <c r="Y30" s="240"/>
      <c r="Z30" s="240"/>
      <c r="AA30" s="240"/>
    </row>
    <row r="31" spans="1:31" ht="28.5" customHeight="1">
      <c r="A31" s="546"/>
      <c r="B31" s="782" t="s">
        <v>196</v>
      </c>
      <c r="C31" s="783"/>
      <c r="D31" s="783"/>
      <c r="E31" s="783"/>
      <c r="F31" s="783"/>
      <c r="G31" s="783"/>
      <c r="H31" s="783"/>
      <c r="I31" s="783"/>
      <c r="J31" s="783"/>
      <c r="K31" s="783"/>
      <c r="L31" s="784"/>
      <c r="M31" s="547"/>
      <c r="N31" s="548"/>
      <c r="O31" s="547"/>
      <c r="P31" s="654">
        <f>SUM(P19:P30)</f>
        <v>0</v>
      </c>
      <c r="Q31" s="494"/>
      <c r="R31" s="569">
        <f>SUM(R19:R30)</f>
        <v>0</v>
      </c>
      <c r="S31" s="239"/>
      <c r="T31" s="416"/>
      <c r="U31" s="569">
        <f>SUM(U19:U30)</f>
        <v>0</v>
      </c>
      <c r="V31" s="667">
        <f>SUM(V19:V30)</f>
        <v>0</v>
      </c>
      <c r="W31" s="240"/>
      <c r="X31" s="240"/>
      <c r="Y31" s="240"/>
      <c r="Z31" s="240"/>
      <c r="AA31" s="240">
        <f>P31*0.18</f>
        <v>0</v>
      </c>
    </row>
    <row r="32" spans="1:31" ht="21.75" customHeight="1">
      <c r="B32" s="662"/>
      <c r="C32" s="663"/>
      <c r="D32" s="663"/>
      <c r="E32" s="663"/>
      <c r="F32" s="663"/>
      <c r="G32" s="663"/>
      <c r="H32" s="663"/>
      <c r="I32" s="663"/>
      <c r="J32" s="663"/>
      <c r="K32" s="663"/>
      <c r="L32" s="663"/>
      <c r="M32" s="437"/>
      <c r="N32" s="429"/>
      <c r="O32" s="437"/>
      <c r="P32" s="437"/>
      <c r="Q32" s="437"/>
      <c r="R32" s="239"/>
      <c r="S32" s="239"/>
      <c r="T32" s="416"/>
      <c r="U32" s="239"/>
      <c r="V32" s="240"/>
      <c r="W32" s="240"/>
      <c r="X32" s="240"/>
      <c r="Y32" s="240"/>
      <c r="Z32" s="240"/>
      <c r="AA32" s="240"/>
    </row>
    <row r="33" spans="1:27" ht="30" customHeight="1">
      <c r="A33" s="540" t="s">
        <v>356</v>
      </c>
      <c r="B33" s="777" t="s">
        <v>357</v>
      </c>
      <c r="C33" s="777"/>
      <c r="D33" s="777"/>
      <c r="E33" s="777"/>
      <c r="F33" s="777"/>
      <c r="G33" s="777"/>
      <c r="H33" s="777"/>
      <c r="I33" s="777"/>
      <c r="J33" s="777"/>
      <c r="K33" s="777"/>
      <c r="L33" s="777"/>
      <c r="M33" s="777"/>
      <c r="N33" s="777"/>
      <c r="O33" s="777"/>
      <c r="P33" s="777"/>
      <c r="Q33" s="437"/>
      <c r="R33" s="239"/>
      <c r="S33" s="239"/>
      <c r="T33" s="416"/>
      <c r="U33" s="239"/>
      <c r="V33" s="240"/>
      <c r="W33" s="240"/>
      <c r="X33" s="240"/>
      <c r="Y33" s="240"/>
      <c r="Z33" s="240"/>
      <c r="AA33" s="240"/>
    </row>
    <row r="34" spans="1:27" ht="21.75" customHeight="1">
      <c r="A34" s="664"/>
      <c r="B34" s="400"/>
      <c r="C34" s="303"/>
      <c r="D34" s="304"/>
      <c r="E34" s="305"/>
      <c r="F34" s="392"/>
      <c r="G34" s="392"/>
      <c r="H34" s="392"/>
      <c r="I34" s="392"/>
      <c r="J34" s="392"/>
      <c r="K34" s="392"/>
      <c r="L34" s="384"/>
      <c r="M34" s="437"/>
      <c r="N34" s="429"/>
      <c r="O34" s="437"/>
      <c r="P34" s="437"/>
      <c r="Q34" s="437"/>
      <c r="R34" s="239"/>
      <c r="S34" s="239"/>
      <c r="T34" s="416"/>
      <c r="U34" s="239"/>
      <c r="V34" s="240"/>
      <c r="W34" s="240"/>
      <c r="X34" s="240"/>
      <c r="Y34" s="240"/>
      <c r="Z34" s="240"/>
      <c r="AA34" s="240"/>
    </row>
    <row r="35" spans="1:27" ht="21.75" customHeight="1">
      <c r="A35" s="664"/>
      <c r="B35" s="400"/>
      <c r="C35" s="303"/>
      <c r="D35" s="304"/>
      <c r="E35" s="305"/>
      <c r="F35" s="392"/>
      <c r="G35" s="392"/>
      <c r="H35" s="392"/>
      <c r="I35" s="392"/>
      <c r="J35" s="392"/>
      <c r="K35" s="392"/>
      <c r="L35" s="384"/>
      <c r="M35" s="437"/>
      <c r="N35" s="429"/>
      <c r="O35" s="437"/>
      <c r="P35" s="437"/>
      <c r="Q35" s="437"/>
      <c r="R35" s="239"/>
      <c r="S35" s="239"/>
      <c r="T35" s="416"/>
      <c r="U35" s="239"/>
      <c r="V35" s="240"/>
      <c r="W35" s="240"/>
      <c r="X35" s="240"/>
      <c r="Y35" s="240"/>
      <c r="Z35" s="240"/>
      <c r="AA35" s="240"/>
    </row>
    <row r="36" spans="1:27" s="429" customFormat="1" ht="16.5">
      <c r="A36" s="540"/>
      <c r="B36" s="541" t="s">
        <v>316</v>
      </c>
      <c r="C36" s="780" t="str">
        <f>'Sch-1'!C56:D56</f>
        <v xml:space="preserve">  </v>
      </c>
      <c r="D36" s="780"/>
      <c r="E36" s="780"/>
      <c r="F36" s="540"/>
      <c r="G36" s="540"/>
      <c r="H36" s="540"/>
      <c r="I36" s="540"/>
      <c r="J36" s="540"/>
      <c r="K36" s="540"/>
      <c r="L36" s="540"/>
      <c r="M36" s="778" t="s">
        <v>318</v>
      </c>
      <c r="N36" s="778"/>
      <c r="O36" s="781" t="str">
        <f>'Sch-1'!K56</f>
        <v/>
      </c>
      <c r="P36" s="781"/>
      <c r="R36" s="279"/>
      <c r="S36" s="279"/>
      <c r="T36" s="279"/>
      <c r="U36" s="279"/>
    </row>
    <row r="37" spans="1:27" s="429" customFormat="1" ht="16.5">
      <c r="A37" s="540"/>
      <c r="B37" s="541" t="s">
        <v>317</v>
      </c>
      <c r="C37" s="779" t="str">
        <f>'Sch-1'!C57:D57</f>
        <v/>
      </c>
      <c r="D37" s="779"/>
      <c r="E37" s="779"/>
      <c r="F37" s="540"/>
      <c r="G37" s="540"/>
      <c r="H37" s="540"/>
      <c r="I37" s="540"/>
      <c r="J37" s="540"/>
      <c r="K37" s="540"/>
      <c r="L37" s="540"/>
      <c r="M37" s="778" t="s">
        <v>125</v>
      </c>
      <c r="N37" s="778"/>
      <c r="O37" s="781" t="str">
        <f>'Sch-1'!K57</f>
        <v/>
      </c>
      <c r="P37" s="781"/>
      <c r="R37" s="279"/>
      <c r="S37" s="279"/>
      <c r="T37" s="279"/>
      <c r="U37" s="279"/>
    </row>
    <row r="38" spans="1:27" ht="16.5">
      <c r="B38" s="400"/>
      <c r="C38" s="303"/>
      <c r="D38" s="3"/>
      <c r="E38" s="305"/>
      <c r="F38" s="401"/>
      <c r="G38" s="392"/>
      <c r="H38" s="392"/>
      <c r="I38" s="392"/>
      <c r="J38" s="392"/>
      <c r="K38" s="392"/>
      <c r="L38" s="384"/>
      <c r="M38" s="437"/>
      <c r="N38" s="429"/>
      <c r="O38" s="437"/>
      <c r="P38" s="437"/>
      <c r="Q38" s="437"/>
    </row>
    <row r="39" spans="1:27" ht="16.5">
      <c r="B39" s="402"/>
      <c r="C39" s="308"/>
      <c r="D39" s="7"/>
      <c r="E39" s="305"/>
      <c r="F39" s="401"/>
      <c r="G39" s="384"/>
      <c r="H39" s="384"/>
      <c r="I39" s="384"/>
      <c r="J39" s="384"/>
      <c r="K39" s="384"/>
      <c r="L39" s="384"/>
      <c r="M39" s="437"/>
      <c r="N39" s="429"/>
      <c r="O39" s="437"/>
      <c r="P39" s="437"/>
      <c r="Q39" s="437"/>
    </row>
    <row r="41" spans="1:27">
      <c r="P41" s="648">
        <f>P31*0.18</f>
        <v>0</v>
      </c>
    </row>
  </sheetData>
  <sheetProtection algorithmName="SHA-512" hashValue="ct3h6IaDQVkHcEYjSoR/I6Jv2xkDJKOzHz3drIGlcZficXkrzjivoIvIKtzgmlPD4tcp/CkysUDLgdUCkxCKEQ==" saltValue="WzYDnJB393LkY6wiWP9RRQ==" spinCount="100000" sheet="1" formatRows="0" selectLockedCells="1"/>
  <customSheetViews>
    <customSheetView guid="{CCA37BAE-906F-43D5-9FD9-B13563E4B9D7}" scale="60" showPageBreaks="1" fitToPage="1" printArea="1" hiddenColumns="1" view="pageBreakPreview" topLeftCell="A16">
      <selection activeCell="O19" sqref="O19"/>
      <pageMargins left="0.2" right="0.2" top="0.75" bottom="0.5" header="0.3" footer="0.3"/>
      <printOptions horizontalCentered="1"/>
      <pageSetup paperSize="9" scale="48" fitToHeight="0" orientation="landscape" r:id="rId1"/>
      <headerFooter>
        <oddHeader>&amp;RSchedule-3
Page &amp;P of &amp;N</oddHeader>
      </headerFooter>
    </customSheetView>
    <customSheetView guid="{84F40905-A9D3-43A5-987A-8A757D486A94}"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2"/>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4"/>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5"/>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6"/>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7"/>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8"/>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11"/>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12"/>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15"/>
      <headerFooter>
        <oddHeader>&amp;RSchedule-3
Page &amp;P of &amp;N</oddHeader>
      </headerFooter>
    </customSheetView>
    <customSheetView guid="{9E88A623-8EDB-47F0-815B-9C48385C3E73}"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16"/>
      <headerFooter>
        <oddHeader>&amp;RSchedule-3
Page &amp;P of &amp;N</oddHeader>
      </headerFooter>
    </customSheetView>
  </customSheetViews>
  <mergeCells count="19">
    <mergeCell ref="C12:G12"/>
    <mergeCell ref="A14:P14"/>
    <mergeCell ref="C11:G11"/>
    <mergeCell ref="C10:G10"/>
    <mergeCell ref="C9:G9"/>
    <mergeCell ref="A3:P3"/>
    <mergeCell ref="A4:P4"/>
    <mergeCell ref="A6:B6"/>
    <mergeCell ref="A7:I7"/>
    <mergeCell ref="A8:G8"/>
    <mergeCell ref="M15:P15"/>
    <mergeCell ref="B33:P33"/>
    <mergeCell ref="M37:N37"/>
    <mergeCell ref="M36:N36"/>
    <mergeCell ref="C37:E37"/>
    <mergeCell ref="C36:E36"/>
    <mergeCell ref="O37:P37"/>
    <mergeCell ref="O36:P36"/>
    <mergeCell ref="B31:L31"/>
  </mergeCells>
  <conditionalFormatting sqref="K24 K29:K30 K19 K22 K27">
    <cfRule type="expression" dxfId="9" priority="11" stopIfTrue="1">
      <formula>J19&gt;0</formula>
    </cfRule>
  </conditionalFormatting>
  <conditionalFormatting sqref="K21">
    <cfRule type="expression" dxfId="8" priority="4" stopIfTrue="1">
      <formula>J21&gt;0</formula>
    </cfRule>
  </conditionalFormatting>
  <conditionalFormatting sqref="K20">
    <cfRule type="expression" dxfId="7" priority="3" stopIfTrue="1">
      <formula>J20&gt;0</formula>
    </cfRule>
  </conditionalFormatting>
  <conditionalFormatting sqref="K26">
    <cfRule type="expression" dxfId="6" priority="2" stopIfTrue="1">
      <formula>J26&gt;0</formula>
    </cfRule>
  </conditionalFormatting>
  <conditionalFormatting sqref="K25">
    <cfRule type="expression" dxfId="5" priority="1" stopIfTrue="1">
      <formula>J25&gt;0</formula>
    </cfRule>
  </conditionalFormatting>
  <dataValidations count="5">
    <dataValidation type="list" allowBlank="1" showInputMessage="1" showErrorMessage="1" sqref="IJ64466 A64466:K64466" xr:uid="{00000000-0002-0000-0600-000000000000}">
      <formula1>#REF!</formula1>
    </dataValidation>
    <dataValidation type="decimal" operator="greaterThan" allowBlank="1" showInputMessage="1" showErrorMessage="1" error="Enter only Numeric Value greater than zero or leave the cell blank !" sqref="O64436:O64482" xr:uid="{00000000-0002-0000-0600-000001000000}">
      <formula1>0</formula1>
    </dataValidation>
    <dataValidation type="list" operator="greaterThan" allowBlank="1" showInputMessage="1" showErrorMessage="1" sqref="K19:K30" xr:uid="{00000000-0002-0000-0600-000002000000}">
      <formula1>"0%,5%,12%,18%,28%"</formula1>
    </dataValidation>
    <dataValidation type="whole" operator="greaterThan" allowBlank="1" showInputMessage="1" showErrorMessage="1" sqref="I19:I30" xr:uid="{00000000-0002-0000-0600-000003000000}">
      <formula1>0</formula1>
    </dataValidation>
    <dataValidation type="decimal" operator="greaterThanOrEqual" allowBlank="1" showInputMessage="1" showErrorMessage="1" sqref="O19:O30" xr:uid="{00000000-0002-0000-0600-000004000000}">
      <formula1>0</formula1>
    </dataValidation>
  </dataValidations>
  <printOptions horizontalCentered="1"/>
  <pageMargins left="0.2" right="0.2" top="0.75" bottom="0.5" header="0.3" footer="0.3"/>
  <pageSetup paperSize="9" scale="48" fitToHeight="0"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463" customWidth="1"/>
    <col min="2" max="2" width="9" style="463" customWidth="1"/>
    <col min="3" max="3" width="10.28515625" style="463" customWidth="1"/>
    <col min="4" max="4" width="10.85546875" style="463" customWidth="1"/>
    <col min="5" max="5" width="11.140625" style="463" customWidth="1"/>
    <col min="6" max="6" width="13.7109375" style="463" customWidth="1"/>
    <col min="7" max="7" width="15.42578125" style="463" customWidth="1"/>
    <col min="8" max="11" width="16.85546875" style="463" customWidth="1"/>
    <col min="12" max="12" width="14.42578125" style="464" customWidth="1"/>
    <col min="13" max="13" width="9" style="463" customWidth="1"/>
    <col min="14" max="14" width="11.42578125" style="463" customWidth="1"/>
    <col min="15" max="15" width="13.28515625" style="463" customWidth="1"/>
    <col min="16" max="16" width="15.7109375" style="468" customWidth="1"/>
    <col min="17" max="16384" width="9.140625" style="468"/>
  </cols>
  <sheetData>
    <row r="1" spans="1:16" s="465" customFormat="1" ht="24.75" customHeight="1">
      <c r="A1" s="448" t="str">
        <f>Cover!B3</f>
        <v>Spec. No: CC/NT/W-RT/DOM/A00/23/02849</v>
      </c>
      <c r="B1" s="448"/>
      <c r="C1" s="448"/>
      <c r="D1" s="448"/>
      <c r="E1" s="448"/>
      <c r="F1" s="448"/>
      <c r="G1" s="449"/>
      <c r="H1" s="449"/>
      <c r="I1" s="449"/>
      <c r="J1" s="449"/>
      <c r="K1" s="449"/>
      <c r="L1" s="450"/>
      <c r="M1" s="451"/>
      <c r="N1" s="452"/>
      <c r="O1" s="452"/>
      <c r="P1" s="453" t="s">
        <v>26</v>
      </c>
    </row>
    <row r="2" spans="1:16" s="465" customFormat="1">
      <c r="A2" s="10"/>
      <c r="B2" s="10"/>
      <c r="C2" s="10"/>
      <c r="D2" s="10"/>
      <c r="E2" s="10"/>
      <c r="F2" s="10"/>
      <c r="G2" s="454"/>
      <c r="H2" s="454"/>
      <c r="I2" s="454"/>
      <c r="J2" s="454"/>
      <c r="K2" s="454"/>
      <c r="L2" s="455"/>
      <c r="M2" s="456"/>
      <c r="N2" s="457"/>
      <c r="O2" s="457"/>
    </row>
    <row r="3" spans="1:16" s="465" customFormat="1" ht="61.5" customHeight="1">
      <c r="A3" s="79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796"/>
      <c r="C3" s="796"/>
      <c r="D3" s="796"/>
      <c r="E3" s="796"/>
      <c r="F3" s="796"/>
      <c r="G3" s="796"/>
      <c r="H3" s="796"/>
      <c r="I3" s="796"/>
      <c r="J3" s="796"/>
      <c r="K3" s="796"/>
      <c r="L3" s="796"/>
      <c r="M3" s="796"/>
      <c r="N3" s="796"/>
      <c r="O3" s="796"/>
      <c r="P3" s="796"/>
    </row>
    <row r="4" spans="1:16" s="465" customFormat="1" ht="16.5">
      <c r="A4" s="797" t="s">
        <v>19</v>
      </c>
      <c r="B4" s="797"/>
      <c r="C4" s="797"/>
      <c r="D4" s="797"/>
      <c r="E4" s="797"/>
      <c r="F4" s="797"/>
      <c r="G4" s="797"/>
      <c r="H4" s="797"/>
      <c r="I4" s="797"/>
      <c r="J4" s="797"/>
      <c r="K4" s="797"/>
      <c r="L4" s="797"/>
      <c r="M4" s="797"/>
      <c r="N4" s="797"/>
      <c r="O4" s="797"/>
      <c r="P4" s="797"/>
    </row>
    <row r="5" spans="1:16" s="465" customFormat="1">
      <c r="A5" s="458"/>
      <c r="B5" s="458"/>
      <c r="C5" s="458"/>
      <c r="D5" s="458"/>
      <c r="E5" s="458"/>
      <c r="F5" s="458"/>
      <c r="G5" s="459"/>
      <c r="H5" s="459"/>
      <c r="I5" s="459"/>
      <c r="J5" s="459"/>
      <c r="K5" s="459"/>
      <c r="L5" s="459"/>
      <c r="M5" s="458"/>
      <c r="N5" s="458"/>
      <c r="O5" s="458"/>
    </row>
    <row r="6" spans="1:16" s="465" customFormat="1" ht="20.25" customHeight="1">
      <c r="A6" s="757" t="s">
        <v>349</v>
      </c>
      <c r="B6" s="757"/>
      <c r="C6" s="4"/>
      <c r="D6" s="324"/>
      <c r="E6" s="4"/>
      <c r="F6" s="4"/>
      <c r="G6" s="4"/>
      <c r="H6" s="4"/>
      <c r="I6" s="4"/>
      <c r="J6" s="459"/>
      <c r="K6" s="459"/>
      <c r="L6" s="459"/>
      <c r="M6" s="458"/>
      <c r="N6" s="458"/>
      <c r="O6" s="458"/>
    </row>
    <row r="7" spans="1:16" s="465" customFormat="1" ht="21" customHeight="1">
      <c r="A7" s="761">
        <f>'Sch-1'!A7</f>
        <v>0</v>
      </c>
      <c r="B7" s="761"/>
      <c r="C7" s="761"/>
      <c r="D7" s="761"/>
      <c r="E7" s="761"/>
      <c r="F7" s="761"/>
      <c r="G7" s="761"/>
      <c r="H7" s="761"/>
      <c r="I7" s="761"/>
      <c r="J7" s="5"/>
      <c r="K7" s="5"/>
      <c r="L7" s="364"/>
      <c r="M7" s="5"/>
      <c r="N7" s="460" t="s">
        <v>1</v>
      </c>
      <c r="O7" s="457"/>
    </row>
    <row r="8" spans="1:16" s="465" customFormat="1" ht="21" customHeight="1">
      <c r="A8" s="758" t="str">
        <f>"Bidder’s Name and Address  (" &amp; MID('Names of Bidder'!B9,9, 20) &amp; ") :"</f>
        <v>Bidder’s Name and Address  (Sole Bidder) :</v>
      </c>
      <c r="B8" s="758"/>
      <c r="C8" s="758"/>
      <c r="D8" s="758"/>
      <c r="E8" s="758"/>
      <c r="F8" s="758"/>
      <c r="G8" s="758"/>
      <c r="H8" s="401"/>
      <c r="I8" s="401"/>
      <c r="J8" s="474"/>
      <c r="K8" s="474"/>
      <c r="L8" s="474"/>
      <c r="M8" s="474"/>
      <c r="N8" s="11" t="str">
        <f>'Sch-1'!K8</f>
        <v>Contract Services</v>
      </c>
      <c r="O8" s="457"/>
    </row>
    <row r="9" spans="1:16" s="465" customFormat="1" ht="24" customHeight="1">
      <c r="A9" s="422" t="s">
        <v>12</v>
      </c>
      <c r="B9" s="376"/>
      <c r="C9" s="761" t="str">
        <f>IF('Names of Bidder'!D9=0, "", 'Names of Bidder'!D9)</f>
        <v/>
      </c>
      <c r="D9" s="761"/>
      <c r="E9" s="761"/>
      <c r="F9" s="761"/>
      <c r="G9" s="761"/>
      <c r="H9" s="378"/>
      <c r="I9" s="378"/>
      <c r="J9" s="238"/>
      <c r="K9" s="238"/>
      <c r="L9" s="466"/>
      <c r="N9" s="11" t="str">
        <f>'Sch-1'!K9</f>
        <v>Power Grid Corporation of India Ltd.,</v>
      </c>
      <c r="O9" s="457"/>
    </row>
    <row r="10" spans="1:16" s="465" customFormat="1" ht="16.5">
      <c r="A10" s="422" t="s">
        <v>11</v>
      </c>
      <c r="B10" s="376"/>
      <c r="C10" s="760" t="str">
        <f>IF('Names of Bidder'!D10=0, "", 'Names of Bidder'!D10)</f>
        <v/>
      </c>
      <c r="D10" s="760"/>
      <c r="E10" s="760"/>
      <c r="F10" s="760"/>
      <c r="G10" s="760"/>
      <c r="H10" s="378"/>
      <c r="I10" s="378"/>
      <c r="J10" s="238"/>
      <c r="K10" s="238"/>
      <c r="L10" s="466"/>
      <c r="N10" s="11" t="str">
        <f>'Sch-1'!K10</f>
        <v>"Saudamini", Plot No.-2</v>
      </c>
      <c r="O10" s="457"/>
    </row>
    <row r="11" spans="1:16" s="465" customFormat="1">
      <c r="A11" s="378"/>
      <c r="B11" s="378"/>
      <c r="C11" s="760" t="str">
        <f>IF('Names of Bidder'!D11=0, "", 'Names of Bidder'!D11)</f>
        <v/>
      </c>
      <c r="D11" s="760"/>
      <c r="E11" s="760"/>
      <c r="F11" s="760"/>
      <c r="G11" s="760"/>
      <c r="H11" s="378"/>
      <c r="I11" s="378"/>
      <c r="J11" s="238"/>
      <c r="K11" s="238"/>
      <c r="L11" s="466"/>
      <c r="N11" s="11" t="str">
        <f>'Sch-1'!K11</f>
        <v xml:space="preserve">Sector-29, </v>
      </c>
      <c r="O11" s="457"/>
    </row>
    <row r="12" spans="1:16" s="465" customFormat="1">
      <c r="A12" s="378"/>
      <c r="B12" s="378"/>
      <c r="C12" s="760" t="str">
        <f>IF('Names of Bidder'!D12=0, "", 'Names of Bidder'!D12)</f>
        <v/>
      </c>
      <c r="D12" s="760"/>
      <c r="E12" s="760"/>
      <c r="F12" s="760"/>
      <c r="G12" s="760"/>
      <c r="H12" s="378"/>
      <c r="I12" s="378"/>
      <c r="J12" s="238"/>
      <c r="K12" s="238"/>
      <c r="L12" s="466"/>
      <c r="N12" s="11" t="str">
        <f>'Sch-1'!K12</f>
        <v>Gurgaon (Haryana) - 122001</v>
      </c>
      <c r="O12" s="457"/>
    </row>
    <row r="13" spans="1:16" s="465" customFormat="1">
      <c r="A13" s="378"/>
      <c r="B13" s="378"/>
      <c r="C13" s="238"/>
      <c r="D13" s="238"/>
      <c r="E13" s="238"/>
      <c r="F13" s="238"/>
      <c r="G13" s="238"/>
      <c r="H13" s="378"/>
      <c r="I13" s="378"/>
      <c r="J13" s="238"/>
      <c r="K13" s="238"/>
      <c r="L13" s="466"/>
      <c r="N13" s="11"/>
      <c r="O13" s="457"/>
    </row>
    <row r="14" spans="1:16" s="465" customFormat="1" ht="21" customHeight="1">
      <c r="A14" s="785" t="s">
        <v>27</v>
      </c>
      <c r="B14" s="785"/>
      <c r="C14" s="785"/>
      <c r="D14" s="785"/>
      <c r="E14" s="785"/>
      <c r="F14" s="785"/>
      <c r="G14" s="785"/>
      <c r="H14" s="785"/>
      <c r="I14" s="785"/>
      <c r="J14" s="785"/>
      <c r="K14" s="785"/>
      <c r="L14" s="785"/>
      <c r="M14" s="785"/>
      <c r="N14" s="785"/>
      <c r="O14" s="785"/>
      <c r="P14" s="785"/>
    </row>
    <row r="15" spans="1:16" s="465" customFormat="1" ht="63.75" customHeight="1">
      <c r="A15" s="444" t="s">
        <v>7</v>
      </c>
      <c r="B15" s="445" t="s">
        <v>266</v>
      </c>
      <c r="C15" s="445" t="s">
        <v>267</v>
      </c>
      <c r="D15" s="445" t="s">
        <v>277</v>
      </c>
      <c r="E15" s="445" t="s">
        <v>279</v>
      </c>
      <c r="F15" s="445" t="s">
        <v>280</v>
      </c>
      <c r="G15" s="444" t="s">
        <v>25</v>
      </c>
      <c r="H15" s="475" t="s">
        <v>323</v>
      </c>
      <c r="I15" s="476" t="s">
        <v>322</v>
      </c>
      <c r="J15" s="476" t="s">
        <v>309</v>
      </c>
      <c r="K15" s="476" t="s">
        <v>319</v>
      </c>
      <c r="L15" s="445" t="s">
        <v>15</v>
      </c>
      <c r="M15" s="446" t="s">
        <v>9</v>
      </c>
      <c r="N15" s="446" t="s">
        <v>16</v>
      </c>
      <c r="O15" s="447" t="s">
        <v>28</v>
      </c>
      <c r="P15" s="447" t="s">
        <v>29</v>
      </c>
    </row>
    <row r="16" spans="1:16" s="545" customFormat="1" ht="15">
      <c r="A16" s="542">
        <v>1</v>
      </c>
      <c r="B16" s="542">
        <v>2</v>
      </c>
      <c r="C16" s="542">
        <v>3</v>
      </c>
      <c r="D16" s="542">
        <v>4</v>
      </c>
      <c r="E16" s="542">
        <v>5</v>
      </c>
      <c r="F16" s="542">
        <v>6</v>
      </c>
      <c r="G16" s="542">
        <v>7</v>
      </c>
      <c r="H16" s="543">
        <v>8</v>
      </c>
      <c r="I16" s="543">
        <v>9</v>
      </c>
      <c r="J16" s="543">
        <v>10</v>
      </c>
      <c r="K16" s="543">
        <v>11</v>
      </c>
      <c r="L16" s="544">
        <v>12</v>
      </c>
      <c r="M16" s="542">
        <v>13</v>
      </c>
      <c r="N16" s="542">
        <v>14</v>
      </c>
      <c r="O16" s="542">
        <v>15</v>
      </c>
      <c r="P16" s="542" t="s">
        <v>321</v>
      </c>
    </row>
    <row r="17" spans="1:17">
      <c r="A17" s="461"/>
      <c r="B17" s="461"/>
      <c r="C17" s="461"/>
      <c r="D17" s="461"/>
      <c r="E17" s="461"/>
      <c r="F17" s="461"/>
      <c r="G17" s="461"/>
      <c r="H17" s="461"/>
      <c r="I17" s="461"/>
      <c r="J17" s="461"/>
      <c r="K17" s="461"/>
      <c r="L17" s="462"/>
      <c r="M17" s="461"/>
      <c r="N17" s="461"/>
      <c r="O17" s="461"/>
      <c r="P17" s="467"/>
    </row>
    <row r="18" spans="1:17" s="463" customFormat="1" ht="45" customHeight="1">
      <c r="A18" s="461"/>
      <c r="B18" s="469"/>
      <c r="C18" s="469"/>
      <c r="D18" s="469"/>
      <c r="F18" s="469"/>
      <c r="G18" s="469"/>
      <c r="H18" s="469"/>
      <c r="I18" s="538" t="s">
        <v>338</v>
      </c>
      <c r="J18" s="469"/>
      <c r="K18" s="469"/>
      <c r="L18" s="469"/>
      <c r="M18" s="469"/>
      <c r="N18" s="469"/>
      <c r="O18" s="469"/>
      <c r="P18" s="469"/>
    </row>
    <row r="19" spans="1:17" ht="26.25" customHeight="1">
      <c r="A19" s="461"/>
      <c r="B19" s="793"/>
      <c r="C19" s="794"/>
      <c r="D19" s="794"/>
      <c r="E19" s="794"/>
      <c r="F19" s="794"/>
      <c r="G19" s="794"/>
      <c r="H19" s="794"/>
      <c r="I19" s="794"/>
      <c r="J19" s="794"/>
      <c r="K19" s="795"/>
      <c r="L19" s="470"/>
      <c r="M19" s="470"/>
      <c r="N19" s="470"/>
      <c r="O19" s="470"/>
      <c r="P19" s="471"/>
      <c r="Q19" s="409"/>
    </row>
    <row r="20" spans="1:17" ht="27.75" customHeight="1">
      <c r="A20" s="790" t="s">
        <v>324</v>
      </c>
      <c r="B20" s="790"/>
      <c r="C20" s="790"/>
      <c r="D20" s="790"/>
      <c r="E20" s="790"/>
      <c r="F20" s="790"/>
      <c r="G20" s="790"/>
      <c r="H20" s="790"/>
      <c r="I20" s="790"/>
      <c r="J20" s="790"/>
      <c r="K20" s="790"/>
      <c r="L20" s="790"/>
      <c r="M20" s="790"/>
      <c r="N20" s="790"/>
      <c r="O20" s="790"/>
      <c r="P20" s="790"/>
      <c r="Q20" s="409"/>
    </row>
    <row r="21" spans="1:17" ht="39" customHeight="1">
      <c r="A21" s="791" t="s">
        <v>325</v>
      </c>
      <c r="B21" s="791"/>
      <c r="C21" s="791"/>
      <c r="D21" s="791"/>
      <c r="E21" s="791"/>
      <c r="F21" s="791"/>
      <c r="G21" s="791"/>
      <c r="H21" s="791"/>
      <c r="I21" s="791"/>
      <c r="J21" s="791"/>
      <c r="K21" s="791"/>
      <c r="L21" s="791"/>
      <c r="M21" s="791"/>
      <c r="N21" s="791"/>
      <c r="O21" s="791"/>
      <c r="P21" s="791"/>
      <c r="Q21" s="409"/>
    </row>
    <row r="23" spans="1:17" s="472" customFormat="1">
      <c r="B23" s="473" t="s">
        <v>316</v>
      </c>
      <c r="C23" s="789" t="str">
        <f>'Sch-3'!C36:D36</f>
        <v xml:space="preserve">  </v>
      </c>
      <c r="D23" s="788"/>
    </row>
    <row r="24" spans="1:17" s="472" customFormat="1">
      <c r="B24" s="473" t="s">
        <v>317</v>
      </c>
      <c r="C24" s="787" t="str">
        <f>'Sch-3'!C37:D37</f>
        <v/>
      </c>
      <c r="D24" s="788"/>
      <c r="L24" s="786" t="s">
        <v>318</v>
      </c>
      <c r="M24" s="786"/>
      <c r="N24" s="792" t="str">
        <f>'Sch-3'!O36</f>
        <v/>
      </c>
      <c r="O24" s="792"/>
      <c r="P24" s="792"/>
    </row>
    <row r="25" spans="1:17">
      <c r="L25" s="786" t="s">
        <v>125</v>
      </c>
      <c r="M25" s="786"/>
      <c r="N25" s="792" t="str">
        <f>'Sch-3'!O37</f>
        <v/>
      </c>
      <c r="O25" s="792"/>
      <c r="P25" s="792"/>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CCA37BAE-906F-43D5-9FD9-B13563E4B9D7}" scale="60" showPageBreaks="1" printArea="1" view="pageBreakPreview">
      <selection activeCell="E17" sqref="E17"/>
      <pageMargins left="0.7" right="0.7" top="0.75" bottom="0.75" header="0.3" footer="0.3"/>
      <pageSetup paperSize="9" scale="58" orientation="landscape" r:id="rId1"/>
    </customSheetView>
    <customSheetView guid="{84F40905-A9D3-43A5-987A-8A757D486A94}" scale="60" showPageBreaks="1" printArea="1" view="pageBreakPreview">
      <selection activeCell="E17" sqref="E17"/>
      <pageMargins left="0.7" right="0.7" top="0.75" bottom="0.75" header="0.3" footer="0.3"/>
      <pageSetup paperSize="9" scale="58" orientation="landscape" r:id="rId2"/>
    </customSheetView>
    <customSheetView guid="{C44C314C-9BEB-403F-A933-6B948E5C1171}" showPageBreaks="1" printArea="1" view="pageBreakPreview">
      <selection activeCell="E17" sqref="E17"/>
      <pageMargins left="0.7" right="0.7" top="0.75" bottom="0.75" header="0.3" footer="0.3"/>
      <pageSetup paperSize="9" scale="58" orientation="landscape" r:id="rId3"/>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4"/>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5"/>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6"/>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7"/>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11"/>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12"/>
    </customSheetView>
    <customSheetView guid="{63D51328-7CBC-4A1E-B96D-BAE91416501B}" showPageBreaks="1" printArea="1" view="pageBreakPreview">
      <selection activeCell="Q18" sqref="Q18"/>
      <pageMargins left="0.7" right="0.7" top="0.75" bottom="0.75" header="0.3" footer="0.3"/>
      <pageSetup paperSize="9" scale="58" orientation="landscape" r:id="rId13"/>
    </customSheetView>
    <customSheetView guid="{112647D2-7580-431B-99B5-DD512E2AD50E}" showPageBreaks="1" printArea="1" view="pageBreakPreview">
      <selection activeCell="E17" sqref="E17"/>
      <pageMargins left="0.7" right="0.7" top="0.75" bottom="0.75" header="0.3" footer="0.3"/>
      <pageSetup paperSize="9" scale="58" orientation="landscape" r:id="rId14"/>
    </customSheetView>
    <customSheetView guid="{BDFA0401-0547-4E51-8BD2-84F711B066CA}" scale="60" showPageBreaks="1" printArea="1" view="pageBreakPreview">
      <selection activeCell="E17" sqref="E17"/>
      <pageMargins left="0.7" right="0.7" top="0.75" bottom="0.75" header="0.3" footer="0.3"/>
      <pageSetup paperSize="9" scale="58" orientation="landscape" r:id="rId15"/>
    </customSheetView>
    <customSheetView guid="{9E88A623-8EDB-47F0-815B-9C48385C3E73}" scale="60" showPageBreaks="1" printArea="1" view="pageBreakPreview">
      <selection activeCell="E17" sqref="E17"/>
      <pageMargins left="0.7" right="0.7" top="0.75" bottom="0.75" header="0.3" footer="0.3"/>
      <pageSetup paperSize="9" scale="58" orientation="landscape" r:id="rId16"/>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8" hidden="1" customWidth="1"/>
    <col min="10" max="10" width="14.42578125" style="358" hidden="1" customWidth="1"/>
    <col min="11" max="11" width="17.140625" style="358" hidden="1" customWidth="1"/>
    <col min="12" max="13" width="11.42578125" style="358" hidden="1" customWidth="1"/>
    <col min="14" max="14" width="21.28515625" style="358" hidden="1" customWidth="1"/>
    <col min="15" max="15" width="18.28515625" style="80" hidden="1" customWidth="1"/>
    <col min="16" max="17" width="11.42578125" style="80" hidden="1" customWidth="1"/>
    <col min="18" max="18" width="11.42578125" style="106" hidden="1" customWidth="1"/>
    <col min="19" max="19" width="4.140625" style="80" customWidth="1"/>
    <col min="20" max="20" width="8.28515625" style="80" customWidth="1"/>
    <col min="21" max="24" width="11.42578125" style="80" customWidth="1"/>
    <col min="25" max="16384" width="11.42578125" style="106"/>
  </cols>
  <sheetData>
    <row r="1" spans="1:15" ht="18" customHeight="1">
      <c r="A1" s="76" t="str">
        <f>Cover!B3</f>
        <v>Spec. No: CC/NT/W-RT/DOM/A00/23/02849</v>
      </c>
      <c r="B1" s="77"/>
      <c r="C1" s="78"/>
      <c r="D1" s="78"/>
      <c r="E1" s="79" t="s">
        <v>128</v>
      </c>
    </row>
    <row r="2" spans="1:15" ht="8.1" customHeight="1">
      <c r="A2" s="81"/>
      <c r="B2" s="82"/>
      <c r="C2" s="83"/>
      <c r="D2" s="83"/>
      <c r="E2" s="84"/>
      <c r="F2" s="85"/>
    </row>
    <row r="3" spans="1:15" ht="84.75" customHeight="1">
      <c r="A3" s="806" t="str">
        <f>Cover!$B$2</f>
        <v>Reactor Package RT-21 for supply, erection, testing and commissioning of (i) 1X125MVAR, 400kV, 3-Ph Bus Reactor along with associated NGR &amp; 120kV Surge arresters (as applicable) at Jamshedpur S/s under  ‘Eastern region Expansion Scheme-XXXI (ERSS-XXXI)’ and (ii) 1x80 MVAR , 400kV, 3-Phase Fixed Line Reactor at Bhiwadi S/s and 1x80 MVAR , 400kV, 3-Phase Switchable Line Reactor at  Allahabad S/s along with associated NGR &amp; 120kV Surge arresters (as applicable) under ‘Reactive Power Compensation on 400kV Transmission lines in NR’</v>
      </c>
      <c r="B3" s="806"/>
      <c r="C3" s="806"/>
      <c r="D3" s="806"/>
      <c r="E3" s="806"/>
    </row>
    <row r="4" spans="1:15" ht="21.95" customHeight="1">
      <c r="A4" s="807" t="s">
        <v>129</v>
      </c>
      <c r="B4" s="807"/>
      <c r="C4" s="807"/>
      <c r="D4" s="807"/>
      <c r="E4" s="807"/>
    </row>
    <row r="5" spans="1:15" ht="12" customHeight="1">
      <c r="A5" s="86"/>
      <c r="B5" s="87"/>
      <c r="C5" s="87"/>
      <c r="D5" s="87"/>
      <c r="E5" s="87"/>
    </row>
    <row r="6" spans="1:15" ht="24" customHeight="1">
      <c r="A6" s="757" t="s">
        <v>349</v>
      </c>
      <c r="B6" s="757"/>
      <c r="C6" s="4"/>
      <c r="D6" s="324"/>
      <c r="E6" s="4"/>
      <c r="F6" s="4"/>
      <c r="G6" s="4"/>
      <c r="H6" s="4"/>
      <c r="I6" s="4"/>
    </row>
    <row r="7" spans="1:15" ht="18" customHeight="1">
      <c r="A7" s="761">
        <f>'Sch-1'!A7</f>
        <v>0</v>
      </c>
      <c r="B7" s="761"/>
      <c r="C7" s="761"/>
      <c r="D7" s="460" t="s">
        <v>1</v>
      </c>
      <c r="E7" s="532"/>
      <c r="F7" s="532"/>
      <c r="G7" s="532"/>
      <c r="H7" s="532"/>
      <c r="I7" s="532"/>
    </row>
    <row r="8" spans="1:15" ht="18" customHeight="1">
      <c r="A8" s="758" t="str">
        <f>"Bidder’s Name and Address  (" &amp; MID('Names of Bidder'!B9,9, 20) &amp; ") :"</f>
        <v>Bidder’s Name and Address  (Sole Bidder) :</v>
      </c>
      <c r="B8" s="758"/>
      <c r="C8" s="758"/>
      <c r="D8" s="11" t="s">
        <v>2</v>
      </c>
      <c r="E8" s="534"/>
      <c r="F8" s="534"/>
      <c r="G8" s="534"/>
      <c r="H8" s="401"/>
      <c r="I8" s="401"/>
    </row>
    <row r="9" spans="1:15" ht="18" customHeight="1">
      <c r="A9" s="422" t="s">
        <v>12</v>
      </c>
      <c r="B9" s="422" t="str">
        <f>IF('Names of Bidder'!D9=0, "", 'Names of Bidder'!D9)</f>
        <v/>
      </c>
      <c r="C9" s="106"/>
      <c r="D9" s="11" t="s">
        <v>3</v>
      </c>
      <c r="E9" s="533"/>
      <c r="F9" s="533"/>
      <c r="G9" s="533"/>
      <c r="H9" s="378"/>
      <c r="I9" s="378"/>
    </row>
    <row r="10" spans="1:15" ht="18" customHeight="1">
      <c r="A10" s="422" t="s">
        <v>11</v>
      </c>
      <c r="B10" s="238" t="str">
        <f>IF('Names of Bidder'!D10=0, "", 'Names of Bidder'!D10)</f>
        <v/>
      </c>
      <c r="C10" s="106"/>
      <c r="D10" s="11" t="s">
        <v>4</v>
      </c>
      <c r="E10" s="533"/>
      <c r="F10" s="533"/>
      <c r="G10" s="533"/>
      <c r="H10" s="378"/>
      <c r="I10" s="378"/>
    </row>
    <row r="11" spans="1:15" ht="18" customHeight="1">
      <c r="A11" s="378"/>
      <c r="B11" s="238" t="str">
        <f>IF('Names of Bidder'!D11=0, "", 'Names of Bidder'!D11)</f>
        <v/>
      </c>
      <c r="C11" s="106"/>
      <c r="D11" s="11" t="s">
        <v>5</v>
      </c>
      <c r="E11" s="533"/>
      <c r="F11" s="533"/>
      <c r="G11" s="533"/>
      <c r="H11" s="378"/>
      <c r="I11" s="378"/>
    </row>
    <row r="12" spans="1:15" ht="18" customHeight="1">
      <c r="A12" s="378"/>
      <c r="B12" s="238" t="str">
        <f>IF('Names of Bidder'!D12=0, "", 'Names of Bidder'!D12)</f>
        <v/>
      </c>
      <c r="C12" s="106"/>
      <c r="D12" s="11" t="s">
        <v>6</v>
      </c>
      <c r="E12" s="533"/>
      <c r="F12" s="533"/>
      <c r="G12" s="533"/>
      <c r="H12" s="378"/>
      <c r="I12" s="378"/>
    </row>
    <row r="13" spans="1:15" ht="8.1" customHeight="1" thickBot="1">
      <c r="B13" s="133"/>
    </row>
    <row r="14" spans="1:15" ht="21.95" customHeight="1">
      <c r="A14" s="588" t="s">
        <v>130</v>
      </c>
      <c r="B14" s="808" t="s">
        <v>131</v>
      </c>
      <c r="C14" s="808"/>
      <c r="D14" s="809" t="s">
        <v>132</v>
      </c>
      <c r="E14" s="810"/>
      <c r="I14" s="805" t="s">
        <v>133</v>
      </c>
      <c r="J14" s="805"/>
      <c r="K14" s="805"/>
      <c r="M14" s="798" t="s">
        <v>134</v>
      </c>
      <c r="N14" s="798"/>
      <c r="O14" s="798"/>
    </row>
    <row r="15" spans="1:15" ht="29.25" customHeight="1">
      <c r="A15" s="589" t="s">
        <v>135</v>
      </c>
      <c r="B15" s="799" t="s">
        <v>326</v>
      </c>
      <c r="C15" s="799"/>
      <c r="D15" s="800">
        <f>'Sch-1'!P51</f>
        <v>0</v>
      </c>
      <c r="E15" s="801"/>
      <c r="I15" s="359" t="s">
        <v>136</v>
      </c>
      <c r="K15" s="359" t="e">
        <f>ROUND('[6]Sch-1'!U3*#REF!,0)</f>
        <v>#REF!</v>
      </c>
      <c r="M15" s="359" t="s">
        <v>136</v>
      </c>
      <c r="O15" s="91" t="e">
        <f>ROUND('[6]Sch-1'!U5*#REF!,0)</f>
        <v>#REF!</v>
      </c>
    </row>
    <row r="16" spans="1:15" ht="87.75" customHeight="1">
      <c r="A16" s="590"/>
      <c r="B16" s="802" t="s">
        <v>327</v>
      </c>
      <c r="C16" s="802"/>
      <c r="D16" s="803"/>
      <c r="E16" s="804"/>
      <c r="G16" s="92"/>
    </row>
    <row r="17" spans="1:15" ht="25.5" customHeight="1">
      <c r="A17" s="589" t="s">
        <v>137</v>
      </c>
      <c r="B17" s="799" t="s">
        <v>328</v>
      </c>
      <c r="C17" s="799"/>
      <c r="D17" s="800">
        <f>'Sch-3'!R31</f>
        <v>0</v>
      </c>
      <c r="E17" s="801"/>
      <c r="I17" s="359" t="s">
        <v>138</v>
      </c>
      <c r="K17" s="360">
        <f>IF(ISERROR(ROUND((#REF!+#REF!)*#REF!,0)),0, ROUND((#REF!+#REF!)*#REF!,0))</f>
        <v>0</v>
      </c>
      <c r="M17" s="359" t="s">
        <v>138</v>
      </c>
      <c r="O17" s="94">
        <f>IF(ISERROR(ROUND((#REF!+#REF!)*#REF!,0)),0, ROUND((#REF!+#REF!)*#REF!,0))</f>
        <v>0</v>
      </c>
    </row>
    <row r="18" spans="1:15" ht="84" customHeight="1">
      <c r="A18" s="590"/>
      <c r="B18" s="802" t="s">
        <v>329</v>
      </c>
      <c r="C18" s="802"/>
      <c r="D18" s="815"/>
      <c r="E18" s="816"/>
      <c r="G18" s="95"/>
      <c r="I18" s="361" t="e">
        <f>#REF!/'Sch-1'!Y1</f>
        <v>#REF!</v>
      </c>
      <c r="K18" s="358">
        <f>'[6]Sch-1'!U3</f>
        <v>0</v>
      </c>
      <c r="M18" s="361" t="e">
        <f>I18</f>
        <v>#REF!</v>
      </c>
      <c r="O18" s="80">
        <f>'[6]Sch-1'!U5</f>
        <v>0</v>
      </c>
    </row>
    <row r="19" spans="1:15" ht="33" customHeight="1" thickBot="1">
      <c r="A19" s="591"/>
      <c r="B19" s="592" t="s">
        <v>332</v>
      </c>
      <c r="C19" s="593"/>
      <c r="D19" s="813">
        <f>D15+D17</f>
        <v>0</v>
      </c>
      <c r="E19" s="814"/>
    </row>
    <row r="20" spans="1:15" ht="30" customHeight="1">
      <c r="A20" s="96"/>
      <c r="B20" s="96"/>
      <c r="C20" s="97"/>
      <c r="D20" s="96"/>
      <c r="E20" s="96"/>
    </row>
    <row r="21" spans="1:15" ht="30" customHeight="1">
      <c r="A21" s="98" t="s">
        <v>143</v>
      </c>
      <c r="B21" s="596" t="str">
        <f>'Names of Bidder'!D27&amp;" "&amp;'Names of Bidder'!E27&amp;" "&amp;'Names of Bidder'!F27</f>
        <v xml:space="preserve">  </v>
      </c>
      <c r="C21" s="97" t="s">
        <v>144</v>
      </c>
      <c r="D21" s="811" t="str">
        <f>IF('Names of Bidder'!D24="","",'Names of Bidder'!D24)</f>
        <v/>
      </c>
      <c r="E21" s="812"/>
      <c r="F21" s="99"/>
    </row>
    <row r="22" spans="1:15" ht="30" customHeight="1">
      <c r="A22" s="98" t="s">
        <v>145</v>
      </c>
      <c r="B22" s="665" t="str">
        <f>IF('Names of Bidder'!D28="","",'Names of Bidder'!D28)</f>
        <v/>
      </c>
      <c r="C22" s="97" t="s">
        <v>146</v>
      </c>
      <c r="D22" s="811" t="str">
        <f>IF('Names of Bidder'!D25="","",'Names of Bidder'!D25)</f>
        <v/>
      </c>
      <c r="E22" s="812"/>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algorithmName="SHA-512" hashValue="MG1VAJagwelyEds7JdKNG/ebuDdCmtavOgsuNeTg70ZpwS49zAaYvTGBMGY9axccLwCDbVuR1r8y6RGoGvJrtA==" saltValue="iq6EjSAvDX68b1b5tsQLAA==" spinCount="100000" sheet="1" formatRows="0" selectLockedCells="1"/>
  <dataConsolidate/>
  <customSheetViews>
    <customSheetView guid="{CCA37BAE-906F-43D5-9FD9-B13563E4B9D7}"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1"/>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 guid="{9E88A623-8EDB-47F0-815B-9C48385C3E73}" scale="80" showPageBreaks="1" printArea="1" hiddenColumns="1" view="pageBreakPreview">
      <selection activeCell="D19" sqref="D19:E19"/>
      <pageMargins left="0.31" right="0.25" top="0.52" bottom="0.67" header="0.23" footer="0.24"/>
      <printOptions horizontalCentered="1"/>
      <pageSetup paperSize="9" scale="77" fitToHeight="0" orientation="portrait" r:id="rId16"/>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7"/>
  <headerFooter alignWithMargins="0">
    <oddFooter>&amp;R&amp;"Book Antiqua,Bold"&amp;10Schedule-5/ Page &amp;P of &amp;N</oddFooter>
  </headerFooter>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2022-07-07T06:53:49Z</cp:lastPrinted>
  <dcterms:created xsi:type="dcterms:W3CDTF">2014-08-12T11:34:40Z</dcterms:created>
  <dcterms:modified xsi:type="dcterms:W3CDTF">2023-05-12T09:57:29Z</dcterms:modified>
</cp:coreProperties>
</file>