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Z:\04_VENKATESH KARRI\RTM\14_SS91Tr. Network Expansion in Gujarat\2-BD\"/>
    </mc:Choice>
  </mc:AlternateContent>
  <workbookProtection workbookPassword="BA13" revisionsPassword="BA13" lockStructure="1" lockRevision="1"/>
  <bookViews>
    <workbookView xWindow="-105" yWindow="-105" windowWidth="19425" windowHeight="10305" tabRatio="670" firstSheet="1" activeTab="1"/>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'Sch-1'!$16:$230</definedName>
    <definedName name="_xlnm._FilterDatabase" localSheetId="5" hidden="1">'Sch-2'!$A$16:$AF$227</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'Sch-1'!$A$1:$N$234</definedName>
    <definedName name="_xlnm.Print_Area" localSheetId="5">'Sch-2'!$A$1:$J$230</definedName>
    <definedName name="_xlnm.Print_Area" localSheetId="6">'Sch-3'!$A$1:$P$225</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'Sch-1'!$16:$230</definedName>
    <definedName name="Z_267FF044_3C5D_4FEC_AC00_A7E30583F8BB_.wvu.FilterData" localSheetId="5" hidden="1">'Sch-2'!$A$16:$AF$227</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'Sch-1'!$A$1:$N$234</definedName>
    <definedName name="Z_267FF044_3C5D_4FEC_AC00_A7E30583F8BB_.wvu.PrintArea" localSheetId="5" hidden="1">'Sch-2'!$A$1:$J$230</definedName>
    <definedName name="Z_267FF044_3C5D_4FEC_AC00_A7E30583F8BB_.wvu.PrintArea" localSheetId="6" hidden="1">'Sch-3'!$A$1:$P$225</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'Sch-3'!$229:$229</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'Sch-1'!$C$1:$C$230</definedName>
    <definedName name="Z_357C9841_BEC3_434B_AC63_C04FB4321BA3_.wvu.FilterData" localSheetId="5" hidden="1">'Sch-2'!$C$1:$C$232</definedName>
    <definedName name="Z_357C9841_BEC3_434B_AC63_C04FB4321BA3_.wvu.FilterData" localSheetId="6" hidden="1">'Sch-3'!$C$1:$C$227</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'Sch-1'!$A$1:$N$234</definedName>
    <definedName name="Z_357C9841_BEC3_434B_AC63_C04FB4321BA3_.wvu.PrintArea" localSheetId="5" hidden="1">'Sch-2'!$A$1:$J$232</definedName>
    <definedName name="Z_357C9841_BEC3_434B_AC63_C04FB4321BA3_.wvu.PrintArea" localSheetId="6" hidden="1">'Sch-3'!$A$1:$P$227</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'Sch-1'!$C$1:$C$230</definedName>
    <definedName name="Z_3C00DDA0_7DDE_4169_A739_550DAF5DCF8D_.wvu.FilterData" localSheetId="5" hidden="1">'Sch-2'!$C$1:$C$232</definedName>
    <definedName name="Z_3C00DDA0_7DDE_4169_A739_550DAF5DCF8D_.wvu.FilterData" localSheetId="6" hidden="1">'Sch-3'!$C$1:$C$227</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'Sch-1'!$A$1:$N$234</definedName>
    <definedName name="Z_3C00DDA0_7DDE_4169_A739_550DAF5DCF8D_.wvu.PrintArea" localSheetId="5" hidden="1">'Sch-2'!$A$1:$J$232</definedName>
    <definedName name="Z_3C00DDA0_7DDE_4169_A739_550DAF5DCF8D_.wvu.PrintArea" localSheetId="6" hidden="1">'Sch-3'!$A$1:$P$227</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'Sch-1'!$16:$230</definedName>
    <definedName name="Z_3FCD02EB_1C44_4646_B069_2B9945E67B1F_.wvu.FilterData" localSheetId="5" hidden="1">'Sch-2'!$A$16:$AF$227</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'Sch-1'!$A$1:$N$234</definedName>
    <definedName name="Z_3FCD02EB_1C44_4646_B069_2B9945E67B1F_.wvu.PrintArea" localSheetId="5" hidden="1">'Sch-2'!$A$1:$J$230</definedName>
    <definedName name="Z_3FCD02EB_1C44_4646_B069_2B9945E67B1F_.wvu.PrintArea" localSheetId="6" hidden="1">'Sch-3'!$A$1:$P$225</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'Sch-3'!$229:$229</definedName>
    <definedName name="Z_3FCD02EB_1C44_4646_B069_2B9945E67B1F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'Sch-1'!$16:$230</definedName>
    <definedName name="Z_63D51328_7CBC_4A1E_B96D_BAE91416501B_.wvu.FilterData" localSheetId="5" hidden="1">'Sch-2'!$A$16:$AF$227</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'Sch-1'!$A$1:$N$234</definedName>
    <definedName name="Z_63D51328_7CBC_4A1E_B96D_BAE91416501B_.wvu.PrintArea" localSheetId="5" hidden="1">'Sch-2'!$A$1:$J$230</definedName>
    <definedName name="Z_63D51328_7CBC_4A1E_B96D_BAE91416501B_.wvu.PrintArea" localSheetId="6" hidden="1">'Sch-3'!$A$1:$P$225</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'Sch-1'!$16:$230</definedName>
    <definedName name="Z_755190E0_7BE9_48F9_BB5F_DF8E25D6736A_.wvu.FilterData" localSheetId="5" hidden="1">'Sch-2'!$A$16:$AF$227</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'Sch-1'!$A$1:$N$234</definedName>
    <definedName name="Z_755190E0_7BE9_48F9_BB5F_DF8E25D6736A_.wvu.PrintArea" localSheetId="5" hidden="1">'Sch-2'!$A$1:$J$230</definedName>
    <definedName name="Z_755190E0_7BE9_48F9_BB5F_DF8E25D6736A_.wvu.PrintArea" localSheetId="6" hidden="1">'Sch-3'!$A$1:$P$225</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'Sch-1'!$16:$230</definedName>
    <definedName name="Z_99CA2F10_F926_46DC_8609_4EAE5B9F3585_.wvu.FilterData" localSheetId="5" hidden="1">'Sch-2'!$A$16:$AF$227</definedName>
    <definedName name="Z_99CA2F10_F926_46DC_8609_4EAE5B9F3585_.wvu.FilterData" localSheetId="6" hidden="1">'Sch-3'!$A$16:$AE$219</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'Sch-1'!$A$1:$N$234</definedName>
    <definedName name="Z_99CA2F10_F926_46DC_8609_4EAE5B9F3585_.wvu.PrintArea" localSheetId="5" hidden="1">'Sch-2'!$A$1:$J$230</definedName>
    <definedName name="Z_99CA2F10_F926_46DC_8609_4EAE5B9F3585_.wvu.PrintArea" localSheetId="6" hidden="1">'Sch-3'!$A$1:$P$225</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29B4069_9BED_4703_B114_D2D164877E8C_.wvu.Cols" localSheetId="0" hidden="1">Basic!$I:$I</definedName>
    <definedName name="Z_A29B4069_9BED_4703_B114_D2D164877E8C_.wvu.Cols" localSheetId="18" hidden="1">'Bid Form 2nd Envelope'!$H:$AO</definedName>
    <definedName name="Z_A29B4069_9BED_4703_B114_D2D164877E8C_.wvu.Cols" localSheetId="14" hidden="1">Discount!$H:$L</definedName>
    <definedName name="Z_A29B4069_9BED_4703_B114_D2D164877E8C_.wvu.Cols" localSheetId="3" hidden="1">'Names of Bidder'!$H:$H,'Names of Bidder'!$K:$K</definedName>
    <definedName name="Z_A29B4069_9BED_4703_B114_D2D164877E8C_.wvu.Cols" localSheetId="22" hidden="1">'N-W (Cr.)'!$A:$O,'N-W (Cr.)'!$T:$DL</definedName>
    <definedName name="Z_A29B4069_9BED_4703_B114_D2D164877E8C_.wvu.Cols" localSheetId="4" hidden="1">'Sch-1'!$O:$AE</definedName>
    <definedName name="Z_A29B4069_9BED_4703_B114_D2D164877E8C_.wvu.Cols" localSheetId="5" hidden="1">'Sch-2'!$K:$L</definedName>
    <definedName name="Z_A29B4069_9BED_4703_B114_D2D164877E8C_.wvu.Cols" localSheetId="6" hidden="1">'Sch-3'!$Q:$AB</definedName>
    <definedName name="Z_A29B4069_9BED_4703_B114_D2D164877E8C_.wvu.Cols" localSheetId="8" hidden="1">'Sch-5'!$F:$T</definedName>
    <definedName name="Z_A29B4069_9BED_4703_B114_D2D164877E8C_.wvu.Cols" localSheetId="12" hidden="1">'Sch-6 (After Discount)'!$E:$F</definedName>
    <definedName name="Z_A29B4069_9BED_4703_B114_D2D164877E8C_.wvu.Cols" localSheetId="13" hidden="1">'Sch-7'!$AA:$AG</definedName>
    <definedName name="Z_A29B4069_9BED_4703_B114_D2D164877E8C_.wvu.FilterData" localSheetId="4" hidden="1">'Sch-1'!$16:$230</definedName>
    <definedName name="Z_A29B4069_9BED_4703_B114_D2D164877E8C_.wvu.FilterData" localSheetId="5" hidden="1">'Sch-2'!$A$16:$AF$227</definedName>
    <definedName name="Z_A29B4069_9BED_4703_B114_D2D164877E8C_.wvu.PrintArea" localSheetId="18" hidden="1">'Bid Form 2nd Envelope'!$A$1:$F$67</definedName>
    <definedName name="Z_A29B4069_9BED_4703_B114_D2D164877E8C_.wvu.PrintArea" localSheetId="14" hidden="1">Discount!$A$2:$G$40</definedName>
    <definedName name="Z_A29B4069_9BED_4703_B114_D2D164877E8C_.wvu.PrintArea" localSheetId="16" hidden="1">'Entry Tax'!$A$1:$E$16</definedName>
    <definedName name="Z_A29B4069_9BED_4703_B114_D2D164877E8C_.wvu.PrintArea" localSheetId="2" hidden="1">Instructions!$A$1:$C$65</definedName>
    <definedName name="Z_A29B4069_9BED_4703_B114_D2D164877E8C_.wvu.PrintArea" localSheetId="3" hidden="1">'Names of Bidder'!$B$1:$G$28</definedName>
    <definedName name="Z_A29B4069_9BED_4703_B114_D2D164877E8C_.wvu.PrintArea" localSheetId="15" hidden="1">Octroi!$A$1:$E$16</definedName>
    <definedName name="Z_A29B4069_9BED_4703_B114_D2D164877E8C_.wvu.PrintArea" localSheetId="17" hidden="1">'Other Taxes &amp; Duties'!$A$1:$F$16</definedName>
    <definedName name="Z_A29B4069_9BED_4703_B114_D2D164877E8C_.wvu.PrintArea" localSheetId="19" hidden="1">QC!$A$1:$F$28</definedName>
    <definedName name="Z_A29B4069_9BED_4703_B114_D2D164877E8C_.wvu.PrintArea" localSheetId="4" hidden="1">'Sch-1'!$A$1:$N$234</definedName>
    <definedName name="Z_A29B4069_9BED_4703_B114_D2D164877E8C_.wvu.PrintArea" localSheetId="5" hidden="1">'Sch-2'!$A$1:$J$230</definedName>
    <definedName name="Z_A29B4069_9BED_4703_B114_D2D164877E8C_.wvu.PrintArea" localSheetId="6" hidden="1">'Sch-3'!$A$1:$P$225</definedName>
    <definedName name="Z_A29B4069_9BED_4703_B114_D2D164877E8C_.wvu.PrintArea" localSheetId="7" hidden="1">'Sch-4'!$A$1:$P$26</definedName>
    <definedName name="Z_A29B4069_9BED_4703_B114_D2D164877E8C_.wvu.PrintArea" localSheetId="8" hidden="1">'Sch-5'!$A$1:$E$23</definedName>
    <definedName name="Z_A29B4069_9BED_4703_B114_D2D164877E8C_.wvu.PrintArea" localSheetId="9" hidden="1">'Sch-5 after discount'!$A$1:$E$23</definedName>
    <definedName name="Z_A29B4069_9BED_4703_B114_D2D164877E8C_.wvu.PrintArea" localSheetId="10" hidden="1">'Sch-6'!$A$1:$D$32</definedName>
    <definedName name="Z_A29B4069_9BED_4703_B114_D2D164877E8C_.wvu.PrintArea" localSheetId="12" hidden="1">'Sch-6 (After Discount)'!$A$1:$D$32</definedName>
    <definedName name="Z_A29B4069_9BED_4703_B114_D2D164877E8C_.wvu.PrintArea" localSheetId="11" hidden="1">'Sch-6 After Discount'!$A$1:$D$31</definedName>
    <definedName name="Z_A29B4069_9BED_4703_B114_D2D164877E8C_.wvu.PrintArea" localSheetId="13" hidden="1">'Sch-7'!$A$1:$M$22</definedName>
    <definedName name="Z_A29B4069_9BED_4703_B114_D2D164877E8C_.wvu.PrintTitles" localSheetId="4" hidden="1">'Sch-1'!$15:$16</definedName>
    <definedName name="Z_A29B4069_9BED_4703_B114_D2D164877E8C_.wvu.PrintTitles" localSheetId="5" hidden="1">'Sch-2'!$15:$16</definedName>
    <definedName name="Z_A29B4069_9BED_4703_B114_D2D164877E8C_.wvu.PrintTitles" localSheetId="6" hidden="1">'Sch-3'!$15:$16</definedName>
    <definedName name="Z_A29B4069_9BED_4703_B114_D2D164877E8C_.wvu.PrintTitles" localSheetId="8" hidden="1">'Sch-5'!$3:$14</definedName>
    <definedName name="Z_A29B4069_9BED_4703_B114_D2D164877E8C_.wvu.PrintTitles" localSheetId="9" hidden="1">'Sch-5 after discount'!$3:$14</definedName>
    <definedName name="Z_A29B4069_9BED_4703_B114_D2D164877E8C_.wvu.PrintTitles" localSheetId="10" hidden="1">'Sch-6'!$3:$14</definedName>
    <definedName name="Z_A29B4069_9BED_4703_B114_D2D164877E8C_.wvu.PrintTitles" localSheetId="12" hidden="1">'Sch-6 (After Discount)'!$3:$14</definedName>
    <definedName name="Z_A29B4069_9BED_4703_B114_D2D164877E8C_.wvu.PrintTitles" localSheetId="11" hidden="1">'Sch-6 After Discount'!$3:$13</definedName>
    <definedName name="Z_A29B4069_9BED_4703_B114_D2D164877E8C_.wvu.Rows" localSheetId="1" hidden="1">Cover!$7:$7</definedName>
    <definedName name="Z_A29B4069_9BED_4703_B114_D2D164877E8C_.wvu.Rows" localSheetId="14" hidden="1">Discount!$29:$32</definedName>
    <definedName name="Z_A29B4069_9BED_4703_B114_D2D164877E8C_.wvu.Rows" localSheetId="3" hidden="1">'Names of Bidder'!$19:$22</definedName>
    <definedName name="Z_A29B4069_9BED_4703_B114_D2D164877E8C_.wvu.Rows" localSheetId="19" hidden="1">QC!$14:$15</definedName>
    <definedName name="Z_A29B4069_9BED_4703_B114_D2D164877E8C_.wvu.Rows" localSheetId="6" hidden="1">'Sch-3'!$229:$229</definedName>
    <definedName name="Z_A29B4069_9BED_4703_B114_D2D164877E8C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'Sch-1'!$16:$230</definedName>
    <definedName name="Z_B056965A_4BE5_44B3_AB31_550AD9F023BC_.wvu.FilterData" localSheetId="5" hidden="1">'Sch-2'!$A$16:$AF$227</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'Sch-1'!$A$1:$N$234</definedName>
    <definedName name="Z_B056965A_4BE5_44B3_AB31_550AD9F023BC_.wvu.PrintArea" localSheetId="5" hidden="1">'Sch-2'!$A$1:$J$230</definedName>
    <definedName name="Z_B056965A_4BE5_44B3_AB31_550AD9F023BC_.wvu.PrintArea" localSheetId="6" hidden="1">'Sch-3'!$A$1:$P$225</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'Sch-1'!$C$1:$C$230</definedName>
    <definedName name="Z_B96E710B_6DD7_4DE1_95AB_C9EE060CD030_.wvu.FilterData" localSheetId="5" hidden="1">'Sch-2'!$C$1:$C$232</definedName>
    <definedName name="Z_B96E710B_6DD7_4DE1_95AB_C9EE060CD030_.wvu.FilterData" localSheetId="6" hidden="1">'Sch-3'!$C$1:$C$227</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'Sch-1'!$A$1:$N$234</definedName>
    <definedName name="Z_B96E710B_6DD7_4DE1_95AB_C9EE060CD030_.wvu.PrintArea" localSheetId="5" hidden="1">'Sch-2'!$A$1:$J$232</definedName>
    <definedName name="Z_B96E710B_6DD7_4DE1_95AB_C9EE060CD030_.wvu.PrintArea" localSheetId="6" hidden="1">'Sch-3'!$A$1:$P$227</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'Sch-1'!$16:$230</definedName>
    <definedName name="Z_CCA37BAE_906F_43D5_9FD9_B13563E4B9D7_.wvu.FilterData" localSheetId="5" hidden="1">'Sch-2'!$A$16:$AF$227</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'Sch-1'!$A$1:$N$234</definedName>
    <definedName name="Z_CCA37BAE_906F_43D5_9FD9_B13563E4B9D7_.wvu.PrintArea" localSheetId="5" hidden="1">'Sch-2'!$A$1:$J$230</definedName>
    <definedName name="Z_CCA37BAE_906F_43D5_9FD9_B13563E4B9D7_.wvu.PrintArea" localSheetId="6" hidden="1">'Sch-3'!$A$1:$P$225</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'Sch-1'!$16:$230</definedName>
    <definedName name="Z_F1B559AA_B9AD_4E4C_B94A_ECBE5878008B_.wvu.FilterData" localSheetId="5" hidden="1">'Sch-2'!$A$16:$AF$227</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'Sch-1'!$A$1:$N$234</definedName>
    <definedName name="Z_F1B559AA_B9AD_4E4C_B94A_ECBE5878008B_.wvu.PrintArea" localSheetId="5" hidden="1">'Sch-2'!$A$1:$J$230</definedName>
    <definedName name="Z_F1B559AA_B9AD_4E4C_B94A_ECBE5878008B_.wvu.PrintArea" localSheetId="6" hidden="1">'Sch-3'!$A$1:$P$225</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'Sch-3'!$229:$229</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38BD2F3_61EE_4B49_A7FC_8FB2B5BA6A2F_.wvu.Cols" localSheetId="0" hidden="1">Basic!$I:$I</definedName>
    <definedName name="Z_F38BD2F3_61EE_4B49_A7FC_8FB2B5BA6A2F_.wvu.Cols" localSheetId="18" hidden="1">'Bid Form 2nd Envelope'!$H:$AO</definedName>
    <definedName name="Z_F38BD2F3_61EE_4B49_A7FC_8FB2B5BA6A2F_.wvu.Cols" localSheetId="14" hidden="1">Discount!$H:$L</definedName>
    <definedName name="Z_F38BD2F3_61EE_4B49_A7FC_8FB2B5BA6A2F_.wvu.Cols" localSheetId="3" hidden="1">'Names of Bidder'!$H:$H,'Names of Bidder'!$K:$K</definedName>
    <definedName name="Z_F38BD2F3_61EE_4B49_A7FC_8FB2B5BA6A2F_.wvu.Cols" localSheetId="22" hidden="1">'N-W (Cr.)'!$A:$O,'N-W (Cr.)'!$T:$DL</definedName>
    <definedName name="Z_F38BD2F3_61EE_4B49_A7FC_8FB2B5BA6A2F_.wvu.Cols" localSheetId="4" hidden="1">'Sch-1'!$O:$AE</definedName>
    <definedName name="Z_F38BD2F3_61EE_4B49_A7FC_8FB2B5BA6A2F_.wvu.Cols" localSheetId="5" hidden="1">'Sch-2'!$K:$L</definedName>
    <definedName name="Z_F38BD2F3_61EE_4B49_A7FC_8FB2B5BA6A2F_.wvu.Cols" localSheetId="6" hidden="1">'Sch-3'!$Q:$AB</definedName>
    <definedName name="Z_F38BD2F3_61EE_4B49_A7FC_8FB2B5BA6A2F_.wvu.Cols" localSheetId="8" hidden="1">'Sch-5'!$F:$T</definedName>
    <definedName name="Z_F38BD2F3_61EE_4B49_A7FC_8FB2B5BA6A2F_.wvu.Cols" localSheetId="12" hidden="1">'Sch-6 (After Discount)'!$E:$F</definedName>
    <definedName name="Z_F38BD2F3_61EE_4B49_A7FC_8FB2B5BA6A2F_.wvu.Cols" localSheetId="13" hidden="1">'Sch-7'!$AA:$AG</definedName>
    <definedName name="Z_F38BD2F3_61EE_4B49_A7FC_8FB2B5BA6A2F_.wvu.FilterData" localSheetId="4" hidden="1">'Sch-1'!$16:$230</definedName>
    <definedName name="Z_F38BD2F3_61EE_4B49_A7FC_8FB2B5BA6A2F_.wvu.FilterData" localSheetId="5" hidden="1">'Sch-2'!$A$16:$AF$227</definedName>
    <definedName name="Z_F38BD2F3_61EE_4B49_A7FC_8FB2B5BA6A2F_.wvu.PrintArea" localSheetId="18" hidden="1">'Bid Form 2nd Envelope'!$A$1:$F$67</definedName>
    <definedName name="Z_F38BD2F3_61EE_4B49_A7FC_8FB2B5BA6A2F_.wvu.PrintArea" localSheetId="14" hidden="1">Discount!$A$2:$G$40</definedName>
    <definedName name="Z_F38BD2F3_61EE_4B49_A7FC_8FB2B5BA6A2F_.wvu.PrintArea" localSheetId="16" hidden="1">'Entry Tax'!$A$1:$E$16</definedName>
    <definedName name="Z_F38BD2F3_61EE_4B49_A7FC_8FB2B5BA6A2F_.wvu.PrintArea" localSheetId="2" hidden="1">Instructions!$A$1:$C$65</definedName>
    <definedName name="Z_F38BD2F3_61EE_4B49_A7FC_8FB2B5BA6A2F_.wvu.PrintArea" localSheetId="3" hidden="1">'Names of Bidder'!$B$1:$G$28</definedName>
    <definedName name="Z_F38BD2F3_61EE_4B49_A7FC_8FB2B5BA6A2F_.wvu.PrintArea" localSheetId="15" hidden="1">Octroi!$A$1:$E$16</definedName>
    <definedName name="Z_F38BD2F3_61EE_4B49_A7FC_8FB2B5BA6A2F_.wvu.PrintArea" localSheetId="17" hidden="1">'Other Taxes &amp; Duties'!$A$1:$F$16</definedName>
    <definedName name="Z_F38BD2F3_61EE_4B49_A7FC_8FB2B5BA6A2F_.wvu.PrintArea" localSheetId="19" hidden="1">QC!$A$1:$F$28</definedName>
    <definedName name="Z_F38BD2F3_61EE_4B49_A7FC_8FB2B5BA6A2F_.wvu.PrintArea" localSheetId="4" hidden="1">'Sch-1'!$A$1:$N$234</definedName>
    <definedName name="Z_F38BD2F3_61EE_4B49_A7FC_8FB2B5BA6A2F_.wvu.PrintArea" localSheetId="5" hidden="1">'Sch-2'!$A$1:$J$230</definedName>
    <definedName name="Z_F38BD2F3_61EE_4B49_A7FC_8FB2B5BA6A2F_.wvu.PrintArea" localSheetId="6" hidden="1">'Sch-3'!$A$1:$P$225</definedName>
    <definedName name="Z_F38BD2F3_61EE_4B49_A7FC_8FB2B5BA6A2F_.wvu.PrintArea" localSheetId="7" hidden="1">'Sch-4'!$A$1:$P$26</definedName>
    <definedName name="Z_F38BD2F3_61EE_4B49_A7FC_8FB2B5BA6A2F_.wvu.PrintArea" localSheetId="8" hidden="1">'Sch-5'!$A$1:$E$23</definedName>
    <definedName name="Z_F38BD2F3_61EE_4B49_A7FC_8FB2B5BA6A2F_.wvu.PrintArea" localSheetId="9" hidden="1">'Sch-5 after discount'!$A$1:$E$23</definedName>
    <definedName name="Z_F38BD2F3_61EE_4B49_A7FC_8FB2B5BA6A2F_.wvu.PrintArea" localSheetId="10" hidden="1">'Sch-6'!$A$1:$D$32</definedName>
    <definedName name="Z_F38BD2F3_61EE_4B49_A7FC_8FB2B5BA6A2F_.wvu.PrintArea" localSheetId="12" hidden="1">'Sch-6 (After Discount)'!$A$1:$D$32</definedName>
    <definedName name="Z_F38BD2F3_61EE_4B49_A7FC_8FB2B5BA6A2F_.wvu.PrintArea" localSheetId="11" hidden="1">'Sch-6 After Discount'!$A$1:$D$31</definedName>
    <definedName name="Z_F38BD2F3_61EE_4B49_A7FC_8FB2B5BA6A2F_.wvu.PrintArea" localSheetId="13" hidden="1">'Sch-7'!$A$1:$M$22</definedName>
    <definedName name="Z_F38BD2F3_61EE_4B49_A7FC_8FB2B5BA6A2F_.wvu.PrintTitles" localSheetId="4" hidden="1">'Sch-1'!$15:$16</definedName>
    <definedName name="Z_F38BD2F3_61EE_4B49_A7FC_8FB2B5BA6A2F_.wvu.PrintTitles" localSheetId="5" hidden="1">'Sch-2'!$15:$16</definedName>
    <definedName name="Z_F38BD2F3_61EE_4B49_A7FC_8FB2B5BA6A2F_.wvu.PrintTitles" localSheetId="6" hidden="1">'Sch-3'!$15:$16</definedName>
    <definedName name="Z_F38BD2F3_61EE_4B49_A7FC_8FB2B5BA6A2F_.wvu.PrintTitles" localSheetId="8" hidden="1">'Sch-5'!$3:$14</definedName>
    <definedName name="Z_F38BD2F3_61EE_4B49_A7FC_8FB2B5BA6A2F_.wvu.PrintTitles" localSheetId="9" hidden="1">'Sch-5 after discount'!$3:$14</definedName>
    <definedName name="Z_F38BD2F3_61EE_4B49_A7FC_8FB2B5BA6A2F_.wvu.PrintTitles" localSheetId="10" hidden="1">'Sch-6'!$3:$14</definedName>
    <definedName name="Z_F38BD2F3_61EE_4B49_A7FC_8FB2B5BA6A2F_.wvu.PrintTitles" localSheetId="12" hidden="1">'Sch-6 (After Discount)'!$3:$14</definedName>
    <definedName name="Z_F38BD2F3_61EE_4B49_A7FC_8FB2B5BA6A2F_.wvu.PrintTitles" localSheetId="11" hidden="1">'Sch-6 After Discount'!$3:$13</definedName>
    <definedName name="Z_F38BD2F3_61EE_4B49_A7FC_8FB2B5BA6A2F_.wvu.Rows" localSheetId="1" hidden="1">Cover!$7:$7</definedName>
    <definedName name="Z_F38BD2F3_61EE_4B49_A7FC_8FB2B5BA6A2F_.wvu.Rows" localSheetId="14" hidden="1">Discount!$29:$32</definedName>
    <definedName name="Z_F38BD2F3_61EE_4B49_A7FC_8FB2B5BA6A2F_.wvu.Rows" localSheetId="3" hidden="1">'Names of Bidder'!$19:$22</definedName>
    <definedName name="Z_F38BD2F3_61EE_4B49_A7FC_8FB2B5BA6A2F_.wvu.Rows" localSheetId="19" hidden="1">QC!$14:$15</definedName>
    <definedName name="Z_F38BD2F3_61EE_4B49_A7FC_8FB2B5BA6A2F_.wvu.Rows" localSheetId="6" hidden="1">'Sch-3'!$229:$229</definedName>
    <definedName name="Z_F38BD2F3_61EE_4B49_A7FC_8FB2B5BA6A2F_.wvu.Rows" localSheetId="13" hidden="1">'Sch-7'!$62:$180</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62913"/>
  <customWorkbookViews>
    <customWorkbookView name="Venkatesh Karri {वेंकटेश कर्री} - Personal View" guid="{F38BD2F3-61EE-4B49-A7FC-8FB2B5BA6A2F}" mergeInterval="0" personalView="1" maximized="1" xWindow="-8" yWindow="-8" windowWidth="1936" windowHeight="1056" tabRatio="670" activeSheetId="2"/>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Umesh Kumar Yadav {उमेश कुमार यादव} - Personal View" guid="{CCA37BAE-906F-43D5-9FD9-B13563E4B9D7}" mergeInterval="0" personalView="1" maximized="1" windowWidth="1916" windowHeight="814" tabRatio="670" activeSheetId="19"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 name="Atul Kumar Singh {अतुल कुमार सिंह} - Personal View" guid="{A29B4069-9BED-4703-B114-D2D164877E8C}" mergeInterval="0" personalView="1" maximized="1" xWindow="-8" yWindow="-8" windowWidth="1936" windowHeight="1056" tabRatio="670" activeSheetId="19"/>
  </customWorkbookViews>
</workbook>
</file>

<file path=xl/calcChain.xml><?xml version="1.0" encoding="utf-8"?>
<calcChain xmlns="http://schemas.openxmlformats.org/spreadsheetml/2006/main">
  <c r="B148" i="7" l="1"/>
  <c r="B17" i="7"/>
  <c r="B157" i="6"/>
  <c r="B17" i="6"/>
  <c r="X156" i="5"/>
  <c r="V156" i="5"/>
  <c r="W156" i="5" s="1"/>
  <c r="T156" i="5"/>
  <c r="N156" i="5"/>
  <c r="P156" i="5" s="1"/>
  <c r="X155" i="5"/>
  <c r="AA155" i="5" s="1"/>
  <c r="V155" i="5"/>
  <c r="W155" i="5" s="1"/>
  <c r="T155" i="5"/>
  <c r="N155" i="5"/>
  <c r="P155" i="5" s="1"/>
  <c r="X154" i="5"/>
  <c r="V154" i="5"/>
  <c r="W154" i="5" s="1"/>
  <c r="T154" i="5"/>
  <c r="N154" i="5"/>
  <c r="P154" i="5" s="1"/>
  <c r="X153" i="5"/>
  <c r="AA153" i="5" s="1"/>
  <c r="V153" i="5"/>
  <c r="W153" i="5" s="1"/>
  <c r="T153" i="5"/>
  <c r="N153" i="5"/>
  <c r="P153" i="5" s="1"/>
  <c r="X152" i="5"/>
  <c r="V152" i="5"/>
  <c r="W152" i="5" s="1"/>
  <c r="T152" i="5"/>
  <c r="N152" i="5"/>
  <c r="P152" i="5" s="1"/>
  <c r="X151" i="5"/>
  <c r="AA151" i="5" s="1"/>
  <c r="V151" i="5"/>
  <c r="W151" i="5" s="1"/>
  <c r="T151" i="5"/>
  <c r="N151" i="5"/>
  <c r="X150" i="5"/>
  <c r="V150" i="5"/>
  <c r="W150" i="5" s="1"/>
  <c r="T150" i="5"/>
  <c r="N150" i="5"/>
  <c r="P150" i="5" s="1"/>
  <c r="X149" i="5"/>
  <c r="AA149" i="5" s="1"/>
  <c r="V149" i="5"/>
  <c r="W149" i="5" s="1"/>
  <c r="T149" i="5"/>
  <c r="N149" i="5"/>
  <c r="P149" i="5" s="1"/>
  <c r="X148" i="5"/>
  <c r="V148" i="5"/>
  <c r="W148" i="5" s="1"/>
  <c r="T148" i="5"/>
  <c r="N148" i="5"/>
  <c r="P148" i="5" s="1"/>
  <c r="X147" i="5"/>
  <c r="AA147" i="5" s="1"/>
  <c r="V147" i="5"/>
  <c r="W147" i="5" s="1"/>
  <c r="T147" i="5"/>
  <c r="N147" i="5"/>
  <c r="P147" i="5" s="1"/>
  <c r="X146" i="5"/>
  <c r="V146" i="5"/>
  <c r="W146" i="5" s="1"/>
  <c r="T146" i="5"/>
  <c r="N146" i="5"/>
  <c r="P146" i="5" s="1"/>
  <c r="X145" i="5"/>
  <c r="AA145" i="5" s="1"/>
  <c r="W145" i="5"/>
  <c r="V145" i="5"/>
  <c r="T145" i="5"/>
  <c r="N145" i="5"/>
  <c r="P145" i="5" s="1"/>
  <c r="X144" i="5"/>
  <c r="V144" i="5"/>
  <c r="W144" i="5" s="1"/>
  <c r="T144" i="5"/>
  <c r="N144" i="5"/>
  <c r="P144" i="5" s="1"/>
  <c r="X143" i="5"/>
  <c r="AA143" i="5" s="1"/>
  <c r="V143" i="5"/>
  <c r="W143" i="5" s="1"/>
  <c r="T143" i="5"/>
  <c r="N143" i="5"/>
  <c r="X142" i="5"/>
  <c r="V142" i="5"/>
  <c r="W142" i="5" s="1"/>
  <c r="T142" i="5"/>
  <c r="N142" i="5"/>
  <c r="P142" i="5" s="1"/>
  <c r="X141" i="5"/>
  <c r="AA141" i="5" s="1"/>
  <c r="V141" i="5"/>
  <c r="W141" i="5" s="1"/>
  <c r="T141" i="5"/>
  <c r="N141" i="5"/>
  <c r="P141" i="5" s="1"/>
  <c r="X140" i="5"/>
  <c r="AA140" i="5" s="1"/>
  <c r="V140" i="5"/>
  <c r="W140" i="5" s="1"/>
  <c r="T140" i="5"/>
  <c r="N140" i="5"/>
  <c r="O140" i="5" s="1"/>
  <c r="X139" i="5"/>
  <c r="AA139" i="5" s="1"/>
  <c r="V139" i="5"/>
  <c r="W139" i="5" s="1"/>
  <c r="T139" i="5"/>
  <c r="N139" i="5"/>
  <c r="O139" i="5" s="1"/>
  <c r="X138" i="5"/>
  <c r="V138" i="5"/>
  <c r="W138" i="5" s="1"/>
  <c r="T138" i="5"/>
  <c r="N138" i="5"/>
  <c r="P138" i="5" s="1"/>
  <c r="X137" i="5"/>
  <c r="V137" i="5"/>
  <c r="W137" i="5" s="1"/>
  <c r="T137" i="5"/>
  <c r="N137" i="5"/>
  <c r="O137" i="5" s="1"/>
  <c r="X136" i="5"/>
  <c r="AA136" i="5" s="1"/>
  <c r="V136" i="5"/>
  <c r="W136" i="5" s="1"/>
  <c r="T136" i="5"/>
  <c r="N136" i="5"/>
  <c r="O136" i="5" s="1"/>
  <c r="X135" i="5"/>
  <c r="AA135" i="5" s="1"/>
  <c r="V135" i="5"/>
  <c r="W135" i="5" s="1"/>
  <c r="T135" i="5"/>
  <c r="N135" i="5"/>
  <c r="O135" i="5" s="1"/>
  <c r="X134" i="5"/>
  <c r="V134" i="5"/>
  <c r="W134" i="5" s="1"/>
  <c r="T134" i="5"/>
  <c r="N134" i="5"/>
  <c r="P134" i="5" s="1"/>
  <c r="X133" i="5"/>
  <c r="Y133" i="5" s="1"/>
  <c r="V133" i="5"/>
  <c r="W133" i="5" s="1"/>
  <c r="T133" i="5"/>
  <c r="N133" i="5"/>
  <c r="O133" i="5" s="1"/>
  <c r="X132" i="5"/>
  <c r="AA132" i="5" s="1"/>
  <c r="V132" i="5"/>
  <c r="W132" i="5" s="1"/>
  <c r="T132" i="5"/>
  <c r="N132" i="5"/>
  <c r="P132" i="5" s="1"/>
  <c r="X131" i="5"/>
  <c r="AA131" i="5" s="1"/>
  <c r="V131" i="5"/>
  <c r="W131" i="5" s="1"/>
  <c r="T131" i="5"/>
  <c r="N131" i="5"/>
  <c r="O131" i="5" s="1"/>
  <c r="X130" i="5"/>
  <c r="V130" i="5"/>
  <c r="W130" i="5" s="1"/>
  <c r="T130" i="5"/>
  <c r="N130" i="5"/>
  <c r="P130" i="5" s="1"/>
  <c r="X129" i="5"/>
  <c r="V129" i="5"/>
  <c r="W129" i="5" s="1"/>
  <c r="T129" i="5"/>
  <c r="N129" i="5"/>
  <c r="O129" i="5" s="1"/>
  <c r="X128" i="5"/>
  <c r="AA128" i="5" s="1"/>
  <c r="V128" i="5"/>
  <c r="W128" i="5" s="1"/>
  <c r="T128" i="5"/>
  <c r="N128" i="5"/>
  <c r="P128" i="5" s="1"/>
  <c r="X127" i="5"/>
  <c r="AA127" i="5" s="1"/>
  <c r="V127" i="5"/>
  <c r="W127" i="5" s="1"/>
  <c r="T127" i="5"/>
  <c r="N127" i="5"/>
  <c r="P127" i="5" s="1"/>
  <c r="X126" i="5"/>
  <c r="V126" i="5"/>
  <c r="W126" i="5" s="1"/>
  <c r="T126" i="5"/>
  <c r="N126" i="5"/>
  <c r="P126" i="5" s="1"/>
  <c r="X125" i="5"/>
  <c r="Y125" i="5" s="1"/>
  <c r="V125" i="5"/>
  <c r="W125" i="5" s="1"/>
  <c r="T125" i="5"/>
  <c r="N125" i="5"/>
  <c r="P125" i="5" s="1"/>
  <c r="X124" i="5"/>
  <c r="AA124" i="5" s="1"/>
  <c r="V124" i="5"/>
  <c r="W124" i="5" s="1"/>
  <c r="T124" i="5"/>
  <c r="N124" i="5"/>
  <c r="P124" i="5" s="1"/>
  <c r="X123" i="5"/>
  <c r="AA123" i="5" s="1"/>
  <c r="V123" i="5"/>
  <c r="W123" i="5" s="1"/>
  <c r="T123" i="5"/>
  <c r="N123" i="5"/>
  <c r="P123" i="5" s="1"/>
  <c r="X122" i="5"/>
  <c r="V122" i="5"/>
  <c r="W122" i="5" s="1"/>
  <c r="T122" i="5"/>
  <c r="N122" i="5"/>
  <c r="O122" i="5" s="1"/>
  <c r="X121" i="5"/>
  <c r="V121" i="5"/>
  <c r="W121" i="5" s="1"/>
  <c r="T121" i="5"/>
  <c r="N121" i="5"/>
  <c r="P121" i="5" s="1"/>
  <c r="X120" i="5"/>
  <c r="AA120" i="5" s="1"/>
  <c r="V120" i="5"/>
  <c r="W120" i="5" s="1"/>
  <c r="T120" i="5"/>
  <c r="N120" i="5"/>
  <c r="P120" i="5" s="1"/>
  <c r="X119" i="5"/>
  <c r="AA119" i="5" s="1"/>
  <c r="V119" i="5"/>
  <c r="W119" i="5" s="1"/>
  <c r="T119" i="5"/>
  <c r="N119" i="5"/>
  <c r="P119" i="5" s="1"/>
  <c r="X118" i="5"/>
  <c r="V118" i="5"/>
  <c r="W118" i="5" s="1"/>
  <c r="T118" i="5"/>
  <c r="N118" i="5"/>
  <c r="O118" i="5" s="1"/>
  <c r="X117" i="5"/>
  <c r="Y117" i="5" s="1"/>
  <c r="V117" i="5"/>
  <c r="W117" i="5" s="1"/>
  <c r="T117" i="5"/>
  <c r="N117" i="5"/>
  <c r="P117" i="5" s="1"/>
  <c r="X116" i="5"/>
  <c r="AA116" i="5" s="1"/>
  <c r="V116" i="5"/>
  <c r="W116" i="5" s="1"/>
  <c r="T116" i="5"/>
  <c r="N116" i="5"/>
  <c r="P116" i="5" s="1"/>
  <c r="X115" i="5"/>
  <c r="Z115" i="5" s="1"/>
  <c r="V115" i="5"/>
  <c r="W115" i="5" s="1"/>
  <c r="T115" i="5"/>
  <c r="N115" i="5"/>
  <c r="P115" i="5" s="1"/>
  <c r="X114" i="5"/>
  <c r="Y114" i="5" s="1"/>
  <c r="V114" i="5"/>
  <c r="W114" i="5" s="1"/>
  <c r="T114" i="5"/>
  <c r="N114" i="5"/>
  <c r="O114" i="5" s="1"/>
  <c r="X113" i="5"/>
  <c r="AA113" i="5" s="1"/>
  <c r="V113" i="5"/>
  <c r="W113" i="5" s="1"/>
  <c r="T113" i="5"/>
  <c r="N113" i="5"/>
  <c r="O113" i="5" s="1"/>
  <c r="X112" i="5"/>
  <c r="AA112" i="5" s="1"/>
  <c r="V112" i="5"/>
  <c r="W112" i="5" s="1"/>
  <c r="T112" i="5"/>
  <c r="N112" i="5"/>
  <c r="P112" i="5" s="1"/>
  <c r="X111" i="5"/>
  <c r="Z111" i="5" s="1"/>
  <c r="V111" i="5"/>
  <c r="W111" i="5" s="1"/>
  <c r="T111" i="5"/>
  <c r="N111" i="5"/>
  <c r="O111" i="5" s="1"/>
  <c r="X110" i="5"/>
  <c r="Y110" i="5" s="1"/>
  <c r="V110" i="5"/>
  <c r="W110" i="5" s="1"/>
  <c r="T110" i="5"/>
  <c r="N110" i="5"/>
  <c r="O110" i="5" s="1"/>
  <c r="X109" i="5"/>
  <c r="AA109" i="5" s="1"/>
  <c r="V109" i="5"/>
  <c r="W109" i="5" s="1"/>
  <c r="T109" i="5"/>
  <c r="N109" i="5"/>
  <c r="O109" i="5" s="1"/>
  <c r="X108" i="5"/>
  <c r="AA108" i="5" s="1"/>
  <c r="V108" i="5"/>
  <c r="W108" i="5" s="1"/>
  <c r="T108" i="5"/>
  <c r="N108" i="5"/>
  <c r="O108" i="5" s="1"/>
  <c r="X107" i="5"/>
  <c r="Z107" i="5" s="1"/>
  <c r="V107" i="5"/>
  <c r="W107" i="5" s="1"/>
  <c r="T107" i="5"/>
  <c r="N107" i="5"/>
  <c r="P107" i="5" s="1"/>
  <c r="X106" i="5"/>
  <c r="V106" i="5"/>
  <c r="W106" i="5" s="1"/>
  <c r="T106" i="5"/>
  <c r="N106" i="5"/>
  <c r="O106" i="5" s="1"/>
  <c r="X105" i="5"/>
  <c r="AA105" i="5" s="1"/>
  <c r="V105" i="5"/>
  <c r="W105" i="5" s="1"/>
  <c r="T105" i="5"/>
  <c r="N105" i="5"/>
  <c r="P105" i="5" s="1"/>
  <c r="X104" i="5"/>
  <c r="AA104" i="5" s="1"/>
  <c r="V104" i="5"/>
  <c r="W104" i="5" s="1"/>
  <c r="T104" i="5"/>
  <c r="N104" i="5"/>
  <c r="P104" i="5" s="1"/>
  <c r="X103" i="5"/>
  <c r="Z103" i="5" s="1"/>
  <c r="V103" i="5"/>
  <c r="W103" i="5" s="1"/>
  <c r="T103" i="5"/>
  <c r="N103" i="5"/>
  <c r="P103" i="5" s="1"/>
  <c r="X102" i="5"/>
  <c r="V102" i="5"/>
  <c r="W102" i="5" s="1"/>
  <c r="T102" i="5"/>
  <c r="N102" i="5"/>
  <c r="P102" i="5" s="1"/>
  <c r="X101" i="5"/>
  <c r="AA101" i="5" s="1"/>
  <c r="V101" i="5"/>
  <c r="W101" i="5" s="1"/>
  <c r="T101" i="5"/>
  <c r="N101" i="5"/>
  <c r="P101" i="5" s="1"/>
  <c r="X100" i="5"/>
  <c r="AA100" i="5" s="1"/>
  <c r="V100" i="5"/>
  <c r="W100" i="5" s="1"/>
  <c r="T100" i="5"/>
  <c r="N100" i="5"/>
  <c r="P100" i="5" s="1"/>
  <c r="X99" i="5"/>
  <c r="Z99" i="5" s="1"/>
  <c r="V99" i="5"/>
  <c r="W99" i="5" s="1"/>
  <c r="T99" i="5"/>
  <c r="N99" i="5"/>
  <c r="P99" i="5" s="1"/>
  <c r="X98" i="5"/>
  <c r="Y98" i="5" s="1"/>
  <c r="V98" i="5"/>
  <c r="W98" i="5" s="1"/>
  <c r="T98" i="5"/>
  <c r="N98" i="5"/>
  <c r="O98" i="5" s="1"/>
  <c r="X97" i="5"/>
  <c r="AA97" i="5" s="1"/>
  <c r="V97" i="5"/>
  <c r="W97" i="5" s="1"/>
  <c r="T97" i="5"/>
  <c r="N97" i="5"/>
  <c r="O97" i="5" s="1"/>
  <c r="X96" i="5"/>
  <c r="AA96" i="5" s="1"/>
  <c r="V96" i="5"/>
  <c r="W96" i="5" s="1"/>
  <c r="T96" i="5"/>
  <c r="N96" i="5"/>
  <c r="P96" i="5" s="1"/>
  <c r="X95" i="5"/>
  <c r="Z95" i="5" s="1"/>
  <c r="V95" i="5"/>
  <c r="W95" i="5" s="1"/>
  <c r="T95" i="5"/>
  <c r="N95" i="5"/>
  <c r="P95" i="5" s="1"/>
  <c r="X94" i="5"/>
  <c r="Y94" i="5" s="1"/>
  <c r="V94" i="5"/>
  <c r="W94" i="5" s="1"/>
  <c r="T94" i="5"/>
  <c r="N94" i="5"/>
  <c r="O94" i="5" s="1"/>
  <c r="X93" i="5"/>
  <c r="Z93" i="5" s="1"/>
  <c r="V93" i="5"/>
  <c r="W93" i="5" s="1"/>
  <c r="T93" i="5"/>
  <c r="N93" i="5"/>
  <c r="P93" i="5" s="1"/>
  <c r="X92" i="5"/>
  <c r="Z92" i="5" s="1"/>
  <c r="V92" i="5"/>
  <c r="W92" i="5" s="1"/>
  <c r="T92" i="5"/>
  <c r="N92" i="5"/>
  <c r="P92" i="5" s="1"/>
  <c r="O120" i="5" l="1"/>
  <c r="AD112" i="5"/>
  <c r="AD120" i="5"/>
  <c r="P129" i="5"/>
  <c r="O103" i="5"/>
  <c r="O95" i="5"/>
  <c r="AB98" i="5"/>
  <c r="P114" i="5"/>
  <c r="P139" i="5"/>
  <c r="P97" i="5"/>
  <c r="P113" i="5"/>
  <c r="AB114" i="5"/>
  <c r="O126" i="5"/>
  <c r="P136" i="5"/>
  <c r="P110" i="5"/>
  <c r="P118" i="5"/>
  <c r="P133" i="5"/>
  <c r="O116" i="5"/>
  <c r="P122" i="5"/>
  <c r="O130" i="5"/>
  <c r="P140" i="5"/>
  <c r="P94" i="5"/>
  <c r="O101" i="5"/>
  <c r="P108" i="5"/>
  <c r="P111" i="5"/>
  <c r="O117" i="5"/>
  <c r="O124" i="5"/>
  <c r="P131" i="5"/>
  <c r="P135" i="5"/>
  <c r="P137" i="5"/>
  <c r="O147" i="5"/>
  <c r="P98" i="5"/>
  <c r="AD101" i="5"/>
  <c r="P106" i="5"/>
  <c r="O102" i="5"/>
  <c r="P109" i="5"/>
  <c r="Z113" i="5"/>
  <c r="AC113" i="5" s="1"/>
  <c r="Y132" i="5"/>
  <c r="AB132" i="5" s="1"/>
  <c r="AB94" i="5"/>
  <c r="Y108" i="5"/>
  <c r="AB108" i="5" s="1"/>
  <c r="Z132" i="5"/>
  <c r="AD96" i="5"/>
  <c r="AD108" i="5"/>
  <c r="Y113" i="5"/>
  <c r="AB113" i="5" s="1"/>
  <c r="AD128" i="5"/>
  <c r="Y97" i="5"/>
  <c r="AB97" i="5" s="1"/>
  <c r="Y100" i="5"/>
  <c r="AB100" i="5" s="1"/>
  <c r="Y104" i="5"/>
  <c r="AB104" i="5" s="1"/>
  <c r="Y136" i="5"/>
  <c r="AB136" i="5" s="1"/>
  <c r="Y140" i="5"/>
  <c r="AB140" i="5" s="1"/>
  <c r="Z97" i="5"/>
  <c r="AC97" i="5" s="1"/>
  <c r="Y109" i="5"/>
  <c r="AB109" i="5" s="1"/>
  <c r="AB110" i="5"/>
  <c r="Z112" i="5"/>
  <c r="AC112" i="5" s="1"/>
  <c r="AC132" i="5"/>
  <c r="Z135" i="5"/>
  <c r="AC135" i="5" s="1"/>
  <c r="Z136" i="5"/>
  <c r="Z140" i="5"/>
  <c r="AC140" i="5" s="1"/>
  <c r="Z96" i="5"/>
  <c r="AC96" i="5" s="1"/>
  <c r="Z127" i="5"/>
  <c r="AC127" i="5" s="1"/>
  <c r="Z131" i="5"/>
  <c r="AC131" i="5" s="1"/>
  <c r="AD136" i="5"/>
  <c r="Z139" i="5"/>
  <c r="AC139" i="5" s="1"/>
  <c r="AD132" i="5"/>
  <c r="AC99" i="5"/>
  <c r="O100" i="5"/>
  <c r="O104" i="5"/>
  <c r="O105" i="5"/>
  <c r="AD105" i="5"/>
  <c r="O107" i="5"/>
  <c r="Z108" i="5"/>
  <c r="Z109" i="5"/>
  <c r="AC109" i="5" s="1"/>
  <c r="O112" i="5"/>
  <c r="O115" i="5"/>
  <c r="Y116" i="5"/>
  <c r="AB116" i="5" s="1"/>
  <c r="O119" i="5"/>
  <c r="Y120" i="5"/>
  <c r="AB120" i="5" s="1"/>
  <c r="O121" i="5"/>
  <c r="O123" i="5"/>
  <c r="Y124" i="5"/>
  <c r="AB124" i="5" s="1"/>
  <c r="O125" i="5"/>
  <c r="O128" i="5"/>
  <c r="O132" i="5"/>
  <c r="O134" i="5"/>
  <c r="O138" i="5"/>
  <c r="O155" i="5"/>
  <c r="AC92" i="5"/>
  <c r="AD100" i="5"/>
  <c r="AC115" i="5"/>
  <c r="O96" i="5"/>
  <c r="O99" i="5"/>
  <c r="Y112" i="5"/>
  <c r="AD113" i="5"/>
  <c r="Z116" i="5"/>
  <c r="AC116" i="5" s="1"/>
  <c r="Z119" i="5"/>
  <c r="AC119" i="5" s="1"/>
  <c r="Z120" i="5"/>
  <c r="AC120" i="5" s="1"/>
  <c r="Z123" i="5"/>
  <c r="AC123" i="5" s="1"/>
  <c r="Z124" i="5"/>
  <c r="O127" i="5"/>
  <c r="Y128" i="5"/>
  <c r="AB128" i="5" s="1"/>
  <c r="Y96" i="5"/>
  <c r="AB96" i="5" s="1"/>
  <c r="AD97" i="5"/>
  <c r="Z100" i="5"/>
  <c r="AC100" i="5" s="1"/>
  <c r="Z104" i="5"/>
  <c r="AC104" i="5" s="1"/>
  <c r="AD109" i="5"/>
  <c r="AC124" i="5"/>
  <c r="AD124" i="5"/>
  <c r="Z128" i="5"/>
  <c r="AC128" i="5" s="1"/>
  <c r="AA102" i="5"/>
  <c r="AD102" i="5" s="1"/>
  <c r="Z102" i="5"/>
  <c r="AC102" i="5" s="1"/>
  <c r="AD119" i="5"/>
  <c r="AD127" i="5"/>
  <c r="AD135" i="5"/>
  <c r="P143" i="5"/>
  <c r="O143" i="5"/>
  <c r="O92" i="5"/>
  <c r="Y92" i="5"/>
  <c r="AB92" i="5" s="1"/>
  <c r="Y102" i="5"/>
  <c r="AB102" i="5" s="1"/>
  <c r="AA106" i="5"/>
  <c r="AD106" i="5" s="1"/>
  <c r="Z106" i="5"/>
  <c r="AC106" i="5" s="1"/>
  <c r="AA118" i="5"/>
  <c r="Z118" i="5"/>
  <c r="AC118" i="5" s="1"/>
  <c r="Y118" i="5"/>
  <c r="AB118" i="5" s="1"/>
  <c r="AA121" i="5"/>
  <c r="AD121" i="5" s="1"/>
  <c r="Z121" i="5"/>
  <c r="AC121" i="5" s="1"/>
  <c r="AA126" i="5"/>
  <c r="AD126" i="5" s="1"/>
  <c r="Z126" i="5"/>
  <c r="AC126" i="5" s="1"/>
  <c r="Y126" i="5"/>
  <c r="AB126" i="5" s="1"/>
  <c r="AA129" i="5"/>
  <c r="AD129" i="5" s="1"/>
  <c r="Z129" i="5"/>
  <c r="AC129" i="5" s="1"/>
  <c r="AA134" i="5"/>
  <c r="AD134" i="5" s="1"/>
  <c r="Z134" i="5"/>
  <c r="AC134" i="5" s="1"/>
  <c r="Y134" i="5"/>
  <c r="AB134" i="5" s="1"/>
  <c r="AC136" i="5"/>
  <c r="AA137" i="5"/>
  <c r="AD137" i="5" s="1"/>
  <c r="Z137" i="5"/>
  <c r="AC137" i="5" s="1"/>
  <c r="O145" i="5"/>
  <c r="O153" i="5"/>
  <c r="AA92" i="5"/>
  <c r="AD92" i="5" s="1"/>
  <c r="O93" i="5"/>
  <c r="Y93" i="5"/>
  <c r="AB93" i="5" s="1"/>
  <c r="AA94" i="5"/>
  <c r="AD94" i="5" s="1"/>
  <c r="Z94" i="5"/>
  <c r="AC94" i="5" s="1"/>
  <c r="AA99" i="5"/>
  <c r="AD99" i="5" s="1"/>
  <c r="Y99" i="5"/>
  <c r="AB99" i="5" s="1"/>
  <c r="Z101" i="5"/>
  <c r="AC101" i="5" s="1"/>
  <c r="AC103" i="5"/>
  <c r="Y105" i="5"/>
  <c r="AB105" i="5" s="1"/>
  <c r="Y106" i="5"/>
  <c r="AB106" i="5" s="1"/>
  <c r="AA110" i="5"/>
  <c r="AD110" i="5" s="1"/>
  <c r="Z110" i="5"/>
  <c r="AC110" i="5" s="1"/>
  <c r="AB112" i="5"/>
  <c r="AA115" i="5"/>
  <c r="AD115" i="5" s="1"/>
  <c r="Y115" i="5"/>
  <c r="AB115" i="5" s="1"/>
  <c r="AB117" i="5"/>
  <c r="Y121" i="5"/>
  <c r="AB121" i="5" s="1"/>
  <c r="AD123" i="5"/>
  <c r="AB125" i="5"/>
  <c r="Y129" i="5"/>
  <c r="AB129" i="5" s="1"/>
  <c r="AD131" i="5"/>
  <c r="AB133" i="5"/>
  <c r="Y137" i="5"/>
  <c r="AB137" i="5" s="1"/>
  <c r="AD139" i="5"/>
  <c r="AD140" i="5"/>
  <c r="Z148" i="5"/>
  <c r="AC148" i="5" s="1"/>
  <c r="Y148" i="5"/>
  <c r="AB148" i="5" s="1"/>
  <c r="AA148" i="5"/>
  <c r="AD148" i="5" s="1"/>
  <c r="Z156" i="5"/>
  <c r="AC156" i="5" s="1"/>
  <c r="Y156" i="5"/>
  <c r="AB156" i="5" s="1"/>
  <c r="AA156" i="5"/>
  <c r="AD156" i="5" s="1"/>
  <c r="AC95" i="5"/>
  <c r="AA107" i="5"/>
  <c r="AD107" i="5" s="1"/>
  <c r="Y107" i="5"/>
  <c r="AB107" i="5" s="1"/>
  <c r="AC111" i="5"/>
  <c r="AD118" i="5"/>
  <c r="P151" i="5"/>
  <c r="O151" i="5"/>
  <c r="AC93" i="5"/>
  <c r="AA95" i="5"/>
  <c r="AD95" i="5" s="1"/>
  <c r="Y95" i="5"/>
  <c r="AB95" i="5" s="1"/>
  <c r="Y101" i="5"/>
  <c r="AB101" i="5" s="1"/>
  <c r="AD104" i="5"/>
  <c r="AC108" i="5"/>
  <c r="AA111" i="5"/>
  <c r="AD111" i="5" s="1"/>
  <c r="Y111" i="5"/>
  <c r="AB111" i="5" s="1"/>
  <c r="AA93" i="5"/>
  <c r="AD93" i="5" s="1"/>
  <c r="AA98" i="5"/>
  <c r="AD98" i="5" s="1"/>
  <c r="Z98" i="5"/>
  <c r="AC98" i="5" s="1"/>
  <c r="AA103" i="5"/>
  <c r="AD103" i="5" s="1"/>
  <c r="Y103" i="5"/>
  <c r="AB103" i="5" s="1"/>
  <c r="Z105" i="5"/>
  <c r="AC105" i="5" s="1"/>
  <c r="AC107" i="5"/>
  <c r="AA114" i="5"/>
  <c r="AD114" i="5" s="1"/>
  <c r="Z114" i="5"/>
  <c r="AC114" i="5" s="1"/>
  <c r="AD116" i="5"/>
  <c r="AA117" i="5"/>
  <c r="AD117" i="5" s="1"/>
  <c r="Z117" i="5"/>
  <c r="AC117" i="5" s="1"/>
  <c r="AA122" i="5"/>
  <c r="AD122" i="5" s="1"/>
  <c r="Z122" i="5"/>
  <c r="AC122" i="5" s="1"/>
  <c r="Y122" i="5"/>
  <c r="AB122" i="5" s="1"/>
  <c r="AA125" i="5"/>
  <c r="AD125" i="5" s="1"/>
  <c r="Z125" i="5"/>
  <c r="AC125" i="5" s="1"/>
  <c r="AA130" i="5"/>
  <c r="AD130" i="5" s="1"/>
  <c r="Z130" i="5"/>
  <c r="AC130" i="5" s="1"/>
  <c r="Y130" i="5"/>
  <c r="AB130" i="5" s="1"/>
  <c r="AA133" i="5"/>
  <c r="AD133" i="5" s="1"/>
  <c r="Z133" i="5"/>
  <c r="AC133" i="5" s="1"/>
  <c r="AA138" i="5"/>
  <c r="AD138" i="5" s="1"/>
  <c r="Z138" i="5"/>
  <c r="AC138" i="5" s="1"/>
  <c r="Y138" i="5"/>
  <c r="AB138" i="5" s="1"/>
  <c r="Z142" i="5"/>
  <c r="AC142" i="5" s="1"/>
  <c r="Y142" i="5"/>
  <c r="AB142" i="5" s="1"/>
  <c r="AA142" i="5"/>
  <c r="AD142" i="5" s="1"/>
  <c r="Z150" i="5"/>
  <c r="AC150" i="5" s="1"/>
  <c r="Y150" i="5"/>
  <c r="AB150" i="5" s="1"/>
  <c r="AA150" i="5"/>
  <c r="AD150" i="5" s="1"/>
  <c r="Z146" i="5"/>
  <c r="AC146" i="5" s="1"/>
  <c r="Y146" i="5"/>
  <c r="AB146" i="5" s="1"/>
  <c r="AA146" i="5"/>
  <c r="AD146" i="5" s="1"/>
  <c r="Z154" i="5"/>
  <c r="AC154" i="5" s="1"/>
  <c r="Y154" i="5"/>
  <c r="AB154" i="5" s="1"/>
  <c r="AA154" i="5"/>
  <c r="AD154" i="5" s="1"/>
  <c r="Y119" i="5"/>
  <c r="AB119" i="5" s="1"/>
  <c r="Y123" i="5"/>
  <c r="AB123" i="5" s="1"/>
  <c r="Y127" i="5"/>
  <c r="AB127" i="5" s="1"/>
  <c r="Y131" i="5"/>
  <c r="AB131" i="5" s="1"/>
  <c r="Y135" i="5"/>
  <c r="AB135" i="5" s="1"/>
  <c r="Y139" i="5"/>
  <c r="AB139" i="5" s="1"/>
  <c r="O141" i="5"/>
  <c r="Z144" i="5"/>
  <c r="AC144" i="5" s="1"/>
  <c r="Y144" i="5"/>
  <c r="AB144" i="5" s="1"/>
  <c r="AA144" i="5"/>
  <c r="AD144" i="5" s="1"/>
  <c r="O149" i="5"/>
  <c r="Z152" i="5"/>
  <c r="AC152" i="5" s="1"/>
  <c r="Y152" i="5"/>
  <c r="AB152" i="5" s="1"/>
  <c r="AA152" i="5"/>
  <c r="AD152" i="5" s="1"/>
  <c r="AD141" i="5"/>
  <c r="AD143" i="5"/>
  <c r="AD145" i="5"/>
  <c r="AD147" i="5"/>
  <c r="AD149" i="5"/>
  <c r="AD151" i="5"/>
  <c r="AD153" i="5"/>
  <c r="AD155" i="5"/>
  <c r="Z141" i="5"/>
  <c r="AC141" i="5" s="1"/>
  <c r="Y141" i="5"/>
  <c r="AB141" i="5" s="1"/>
  <c r="O142" i="5"/>
  <c r="Z143" i="5"/>
  <c r="AC143" i="5" s="1"/>
  <c r="Y143" i="5"/>
  <c r="AB143" i="5" s="1"/>
  <c r="O144" i="5"/>
  <c r="Z145" i="5"/>
  <c r="AC145" i="5" s="1"/>
  <c r="Y145" i="5"/>
  <c r="AB145" i="5" s="1"/>
  <c r="O146" i="5"/>
  <c r="Z147" i="5"/>
  <c r="AC147" i="5" s="1"/>
  <c r="Y147" i="5"/>
  <c r="AB147" i="5" s="1"/>
  <c r="O148" i="5"/>
  <c r="Z149" i="5"/>
  <c r="AC149" i="5" s="1"/>
  <c r="Y149" i="5"/>
  <c r="AB149" i="5" s="1"/>
  <c r="O150" i="5"/>
  <c r="Z151" i="5"/>
  <c r="AC151" i="5" s="1"/>
  <c r="Y151" i="5"/>
  <c r="AB151" i="5" s="1"/>
  <c r="O152" i="5"/>
  <c r="Z153" i="5"/>
  <c r="AC153" i="5" s="1"/>
  <c r="Y153" i="5"/>
  <c r="AB153" i="5" s="1"/>
  <c r="O154" i="5"/>
  <c r="Z155" i="5"/>
  <c r="AC155" i="5" s="1"/>
  <c r="Y155" i="5"/>
  <c r="AB155" i="5" s="1"/>
  <c r="O156" i="5"/>
  <c r="Y194" i="7"/>
  <c r="W194" i="7"/>
  <c r="X194" i="7" s="1"/>
  <c r="V194" i="7"/>
  <c r="P194" i="7"/>
  <c r="R194" i="7" s="1"/>
  <c r="Y193" i="7"/>
  <c r="W193" i="7"/>
  <c r="X193" i="7" s="1"/>
  <c r="V193" i="7"/>
  <c r="P193" i="7"/>
  <c r="Q193" i="7" s="1"/>
  <c r="Y192" i="7"/>
  <c r="W192" i="7"/>
  <c r="X192" i="7" s="1"/>
  <c r="V192" i="7"/>
  <c r="P192" i="7"/>
  <c r="Q192" i="7" s="1"/>
  <c r="Y191" i="7"/>
  <c r="W191" i="7"/>
  <c r="X191" i="7" s="1"/>
  <c r="V191" i="7"/>
  <c r="P191" i="7"/>
  <c r="Q191" i="7" s="1"/>
  <c r="Y190" i="7"/>
  <c r="W190" i="7"/>
  <c r="X190" i="7" s="1"/>
  <c r="V190" i="7"/>
  <c r="P190" i="7"/>
  <c r="R190" i="7" s="1"/>
  <c r="Y189" i="7"/>
  <c r="W189" i="7"/>
  <c r="X189" i="7" s="1"/>
  <c r="V189" i="7"/>
  <c r="P189" i="7"/>
  <c r="R189" i="7" s="1"/>
  <c r="Y188" i="7"/>
  <c r="W188" i="7"/>
  <c r="X188" i="7" s="1"/>
  <c r="V188" i="7"/>
  <c r="P188" i="7"/>
  <c r="R188" i="7" s="1"/>
  <c r="Y187" i="7"/>
  <c r="W187" i="7"/>
  <c r="X187" i="7" s="1"/>
  <c r="V187" i="7"/>
  <c r="P187" i="7"/>
  <c r="Q187" i="7" s="1"/>
  <c r="Y186" i="7"/>
  <c r="W186" i="7"/>
  <c r="X186" i="7" s="1"/>
  <c r="V186" i="7"/>
  <c r="P186" i="7"/>
  <c r="R186" i="7" s="1"/>
  <c r="Y185" i="7"/>
  <c r="W185" i="7"/>
  <c r="X185" i="7" s="1"/>
  <c r="V185" i="7"/>
  <c r="P185" i="7"/>
  <c r="Q185" i="7" s="1"/>
  <c r="Y184" i="7"/>
  <c r="W184" i="7"/>
  <c r="X184" i="7" s="1"/>
  <c r="V184" i="7"/>
  <c r="P184" i="7"/>
  <c r="R184" i="7" s="1"/>
  <c r="Y183" i="7"/>
  <c r="W183" i="7"/>
  <c r="X183" i="7" s="1"/>
  <c r="V183" i="7"/>
  <c r="P183" i="7"/>
  <c r="Y182" i="7"/>
  <c r="W182" i="7"/>
  <c r="X182" i="7" s="1"/>
  <c r="V182" i="7"/>
  <c r="P182" i="7"/>
  <c r="R182" i="7" s="1"/>
  <c r="Y181" i="7"/>
  <c r="W181" i="7"/>
  <c r="X181" i="7" s="1"/>
  <c r="V181" i="7"/>
  <c r="P181" i="7"/>
  <c r="R181" i="7" s="1"/>
  <c r="Y180" i="7"/>
  <c r="W180" i="7"/>
  <c r="X180" i="7" s="1"/>
  <c r="V180" i="7"/>
  <c r="P180" i="7"/>
  <c r="Q180" i="7" s="1"/>
  <c r="Y179" i="7"/>
  <c r="W179" i="7"/>
  <c r="X179" i="7" s="1"/>
  <c r="V179" i="7"/>
  <c r="P179" i="7"/>
  <c r="R179" i="7" s="1"/>
  <c r="Y178" i="7"/>
  <c r="W178" i="7"/>
  <c r="X178" i="7" s="1"/>
  <c r="V178" i="7"/>
  <c r="P178" i="7"/>
  <c r="Q178" i="7" s="1"/>
  <c r="Y177" i="7"/>
  <c r="W177" i="7"/>
  <c r="X177" i="7" s="1"/>
  <c r="V177" i="7"/>
  <c r="P177" i="7"/>
  <c r="R177" i="7" s="1"/>
  <c r="Y176" i="7"/>
  <c r="W176" i="7"/>
  <c r="X176" i="7" s="1"/>
  <c r="V176" i="7"/>
  <c r="P176" i="7"/>
  <c r="R176" i="7" s="1"/>
  <c r="Y175" i="7"/>
  <c r="W175" i="7"/>
  <c r="X175" i="7" s="1"/>
  <c r="V175" i="7"/>
  <c r="P175" i="7"/>
  <c r="Q175" i="7" s="1"/>
  <c r="Y174" i="7"/>
  <c r="W174" i="7"/>
  <c r="X174" i="7" s="1"/>
  <c r="V174" i="7"/>
  <c r="P174" i="7"/>
  <c r="Q174" i="7" s="1"/>
  <c r="Y173" i="7"/>
  <c r="W173" i="7"/>
  <c r="X173" i="7" s="1"/>
  <c r="V173" i="7"/>
  <c r="P173" i="7"/>
  <c r="R173" i="7" s="1"/>
  <c r="Y210" i="7"/>
  <c r="W210" i="7"/>
  <c r="X210" i="7" s="1"/>
  <c r="V210" i="7"/>
  <c r="P210" i="7"/>
  <c r="Q210" i="7" s="1"/>
  <c r="Y209" i="7"/>
  <c r="W209" i="7"/>
  <c r="X209" i="7" s="1"/>
  <c r="V209" i="7"/>
  <c r="P209" i="7"/>
  <c r="R209" i="7" s="1"/>
  <c r="Y208" i="7"/>
  <c r="W208" i="7"/>
  <c r="X208" i="7" s="1"/>
  <c r="V208" i="7"/>
  <c r="P208" i="7"/>
  <c r="R208" i="7" s="1"/>
  <c r="Y207" i="7"/>
  <c r="W207" i="7"/>
  <c r="X207" i="7" s="1"/>
  <c r="V207" i="7"/>
  <c r="P207" i="7"/>
  <c r="Y206" i="7"/>
  <c r="W206" i="7"/>
  <c r="X206" i="7" s="1"/>
  <c r="V206" i="7"/>
  <c r="P206" i="7"/>
  <c r="R206" i="7" s="1"/>
  <c r="Y205" i="7"/>
  <c r="W205" i="7"/>
  <c r="X205" i="7" s="1"/>
  <c r="V205" i="7"/>
  <c r="P205" i="7"/>
  <c r="R205" i="7" s="1"/>
  <c r="Y204" i="7"/>
  <c r="W204" i="7"/>
  <c r="X204" i="7" s="1"/>
  <c r="V204" i="7"/>
  <c r="P204" i="7"/>
  <c r="Q204" i="7" s="1"/>
  <c r="Y203" i="7"/>
  <c r="W203" i="7"/>
  <c r="X203" i="7" s="1"/>
  <c r="V203" i="7"/>
  <c r="P203" i="7"/>
  <c r="R203" i="7" s="1"/>
  <c r="Y202" i="7"/>
  <c r="W202" i="7"/>
  <c r="X202" i="7" s="1"/>
  <c r="V202" i="7"/>
  <c r="P202" i="7"/>
  <c r="R202" i="7" s="1"/>
  <c r="Y201" i="7"/>
  <c r="W201" i="7"/>
  <c r="X201" i="7" s="1"/>
  <c r="V201" i="7"/>
  <c r="P201" i="7"/>
  <c r="Y200" i="7"/>
  <c r="W200" i="7"/>
  <c r="X200" i="7" s="1"/>
  <c r="V200" i="7"/>
  <c r="P200" i="7"/>
  <c r="R200" i="7" s="1"/>
  <c r="Y199" i="7"/>
  <c r="W199" i="7"/>
  <c r="X199" i="7" s="1"/>
  <c r="V199" i="7"/>
  <c r="P199" i="7"/>
  <c r="R199" i="7" s="1"/>
  <c r="Y198" i="7"/>
  <c r="W198" i="7"/>
  <c r="X198" i="7" s="1"/>
  <c r="V198" i="7"/>
  <c r="P198" i="7"/>
  <c r="R198" i="7" s="1"/>
  <c r="Y212" i="7"/>
  <c r="W212" i="7"/>
  <c r="X212" i="7" s="1"/>
  <c r="V212" i="7"/>
  <c r="P212" i="7"/>
  <c r="R212" i="7" s="1"/>
  <c r="Y211" i="7"/>
  <c r="W211" i="7"/>
  <c r="X211" i="7" s="1"/>
  <c r="V211" i="7"/>
  <c r="P211" i="7"/>
  <c r="R211" i="7" s="1"/>
  <c r="Y197" i="7"/>
  <c r="W197" i="7"/>
  <c r="X197" i="7" s="1"/>
  <c r="V197" i="7"/>
  <c r="P197" i="7"/>
  <c r="R197" i="7" s="1"/>
  <c r="Y196" i="7"/>
  <c r="W196" i="7"/>
  <c r="X196" i="7" s="1"/>
  <c r="V196" i="7"/>
  <c r="P196" i="7"/>
  <c r="Q196" i="7" s="1"/>
  <c r="Y195" i="7"/>
  <c r="W195" i="7"/>
  <c r="X195" i="7" s="1"/>
  <c r="V195" i="7"/>
  <c r="P195" i="7"/>
  <c r="R195" i="7" s="1"/>
  <c r="Y172" i="7"/>
  <c r="W172" i="7"/>
  <c r="X172" i="7" s="1"/>
  <c r="V172" i="7"/>
  <c r="P172" i="7"/>
  <c r="R172" i="7" s="1"/>
  <c r="Y171" i="7"/>
  <c r="W171" i="7"/>
  <c r="X171" i="7" s="1"/>
  <c r="V171" i="7"/>
  <c r="P171" i="7"/>
  <c r="Y170" i="7"/>
  <c r="W170" i="7"/>
  <c r="X170" i="7" s="1"/>
  <c r="V170" i="7"/>
  <c r="P170" i="7"/>
  <c r="R170" i="7" s="1"/>
  <c r="Y169" i="7"/>
  <c r="W169" i="7"/>
  <c r="X169" i="7" s="1"/>
  <c r="V169" i="7"/>
  <c r="P169" i="7"/>
  <c r="R169" i="7" s="1"/>
  <c r="Y168" i="7"/>
  <c r="W168" i="7"/>
  <c r="X168" i="7" s="1"/>
  <c r="V168" i="7"/>
  <c r="P168" i="7"/>
  <c r="Q168" i="7" s="1"/>
  <c r="Y167" i="7"/>
  <c r="W167" i="7"/>
  <c r="X167" i="7" s="1"/>
  <c r="V167" i="7"/>
  <c r="P167" i="7"/>
  <c r="Y166" i="7"/>
  <c r="W166" i="7"/>
  <c r="X166" i="7" s="1"/>
  <c r="V166" i="7"/>
  <c r="P166" i="7"/>
  <c r="R166" i="7" s="1"/>
  <c r="Y217" i="7"/>
  <c r="W217" i="7"/>
  <c r="X217" i="7" s="1"/>
  <c r="V217" i="7"/>
  <c r="P217" i="7"/>
  <c r="R217" i="7" s="1"/>
  <c r="Y216" i="7"/>
  <c r="W216" i="7"/>
  <c r="X216" i="7" s="1"/>
  <c r="V216" i="7"/>
  <c r="P216" i="7"/>
  <c r="R216" i="7" s="1"/>
  <c r="Y215" i="7"/>
  <c r="W215" i="7"/>
  <c r="X215" i="7" s="1"/>
  <c r="V215" i="7"/>
  <c r="P215" i="7"/>
  <c r="Q215" i="7" s="1"/>
  <c r="Y214" i="7"/>
  <c r="W214" i="7"/>
  <c r="X214" i="7" s="1"/>
  <c r="V214" i="7"/>
  <c r="P214" i="7"/>
  <c r="R214" i="7" s="1"/>
  <c r="Y213" i="7"/>
  <c r="W213" i="7"/>
  <c r="X213" i="7" s="1"/>
  <c r="V213" i="7"/>
  <c r="P213" i="7"/>
  <c r="Q213" i="7" s="1"/>
  <c r="Y165" i="7"/>
  <c r="W165" i="7"/>
  <c r="X165" i="7" s="1"/>
  <c r="V165" i="7"/>
  <c r="P165" i="7"/>
  <c r="R165" i="7" s="1"/>
  <c r="Y147" i="7"/>
  <c r="W147" i="7"/>
  <c r="X147" i="7" s="1"/>
  <c r="V147" i="7"/>
  <c r="P147" i="7"/>
  <c r="R147" i="7" s="1"/>
  <c r="Y146" i="7"/>
  <c r="W146" i="7"/>
  <c r="X146" i="7" s="1"/>
  <c r="V146" i="7"/>
  <c r="P146" i="7"/>
  <c r="R146" i="7" s="1"/>
  <c r="Y145" i="7"/>
  <c r="W145" i="7"/>
  <c r="X145" i="7" s="1"/>
  <c r="V145" i="7"/>
  <c r="P145" i="7"/>
  <c r="R145" i="7" s="1"/>
  <c r="Y144" i="7"/>
  <c r="W144" i="7"/>
  <c r="X144" i="7" s="1"/>
  <c r="V144" i="7"/>
  <c r="P144" i="7"/>
  <c r="R144" i="7" s="1"/>
  <c r="Y143" i="7"/>
  <c r="W143" i="7"/>
  <c r="X143" i="7" s="1"/>
  <c r="V143" i="7"/>
  <c r="P143" i="7"/>
  <c r="R143" i="7" s="1"/>
  <c r="Y142" i="7"/>
  <c r="W142" i="7"/>
  <c r="X142" i="7" s="1"/>
  <c r="V142" i="7"/>
  <c r="P142" i="7"/>
  <c r="Q142" i="7" s="1"/>
  <c r="Y141" i="7"/>
  <c r="W141" i="7"/>
  <c r="X141" i="7" s="1"/>
  <c r="V141" i="7"/>
  <c r="P141" i="7"/>
  <c r="R141" i="7" s="1"/>
  <c r="Y140" i="7"/>
  <c r="W140" i="7"/>
  <c r="X140" i="7" s="1"/>
  <c r="V140" i="7"/>
  <c r="P140" i="7"/>
  <c r="R140" i="7" s="1"/>
  <c r="Y139" i="7"/>
  <c r="W139" i="7"/>
  <c r="X139" i="7" s="1"/>
  <c r="V139" i="7"/>
  <c r="P139" i="7"/>
  <c r="Q139" i="7" s="1"/>
  <c r="Y138" i="7"/>
  <c r="W138" i="7"/>
  <c r="X138" i="7" s="1"/>
  <c r="V138" i="7"/>
  <c r="P138" i="7"/>
  <c r="Y137" i="7"/>
  <c r="W137" i="7"/>
  <c r="X137" i="7" s="1"/>
  <c r="V137" i="7"/>
  <c r="P137" i="7"/>
  <c r="R137" i="7" s="1"/>
  <c r="Y136" i="7"/>
  <c r="W136" i="7"/>
  <c r="X136" i="7" s="1"/>
  <c r="V136" i="7"/>
  <c r="P136" i="7"/>
  <c r="Y135" i="7"/>
  <c r="W135" i="7"/>
  <c r="X135" i="7" s="1"/>
  <c r="V135" i="7"/>
  <c r="P135" i="7"/>
  <c r="R135" i="7" s="1"/>
  <c r="Y134" i="7"/>
  <c r="W134" i="7"/>
  <c r="X134" i="7" s="1"/>
  <c r="V134" i="7"/>
  <c r="P134" i="7"/>
  <c r="R134" i="7" s="1"/>
  <c r="Y150" i="7"/>
  <c r="W150" i="7"/>
  <c r="X150" i="7" s="1"/>
  <c r="V150" i="7"/>
  <c r="P150" i="7"/>
  <c r="R150" i="7" s="1"/>
  <c r="Y149" i="7"/>
  <c r="W149" i="7"/>
  <c r="X149" i="7" s="1"/>
  <c r="V149" i="7"/>
  <c r="P149" i="7"/>
  <c r="R149" i="7" s="1"/>
  <c r="Y148" i="7"/>
  <c r="W148" i="7"/>
  <c r="X148" i="7" s="1"/>
  <c r="V148" i="7"/>
  <c r="R148" i="7"/>
  <c r="Q148" i="7"/>
  <c r="Y94" i="7"/>
  <c r="W94" i="7"/>
  <c r="X94" i="7" s="1"/>
  <c r="V94" i="7"/>
  <c r="P94" i="7"/>
  <c r="R94" i="7" s="1"/>
  <c r="Y93" i="7"/>
  <c r="W93" i="7"/>
  <c r="X93" i="7" s="1"/>
  <c r="V93" i="7"/>
  <c r="P93" i="7"/>
  <c r="R93" i="7" s="1"/>
  <c r="Y92" i="7"/>
  <c r="W92" i="7"/>
  <c r="X92" i="7" s="1"/>
  <c r="V92" i="7"/>
  <c r="P92" i="7"/>
  <c r="Q92" i="7" s="1"/>
  <c r="Y91" i="7"/>
  <c r="W91" i="7"/>
  <c r="X91" i="7" s="1"/>
  <c r="V91" i="7"/>
  <c r="P91" i="7"/>
  <c r="Q91" i="7" s="1"/>
  <c r="Y90" i="7"/>
  <c r="W90" i="7"/>
  <c r="X90" i="7" s="1"/>
  <c r="V90" i="7"/>
  <c r="P90" i="7"/>
  <c r="R90" i="7" s="1"/>
  <c r="Y89" i="7"/>
  <c r="W89" i="7"/>
  <c r="X89" i="7" s="1"/>
  <c r="V89" i="7"/>
  <c r="P89" i="7"/>
  <c r="R89" i="7" s="1"/>
  <c r="Y88" i="7"/>
  <c r="W88" i="7"/>
  <c r="X88" i="7" s="1"/>
  <c r="V88" i="7"/>
  <c r="P88" i="7"/>
  <c r="R88" i="7" s="1"/>
  <c r="Y87" i="7"/>
  <c r="W87" i="7"/>
  <c r="X87" i="7" s="1"/>
  <c r="V87" i="7"/>
  <c r="P87" i="7"/>
  <c r="R87" i="7" s="1"/>
  <c r="Y86" i="7"/>
  <c r="W86" i="7"/>
  <c r="X86" i="7" s="1"/>
  <c r="V86" i="7"/>
  <c r="P86" i="7"/>
  <c r="R86" i="7" s="1"/>
  <c r="Y85" i="7"/>
  <c r="W85" i="7"/>
  <c r="X85" i="7" s="1"/>
  <c r="V85" i="7"/>
  <c r="P85" i="7"/>
  <c r="Q85" i="7" s="1"/>
  <c r="Y84" i="7"/>
  <c r="W84" i="7"/>
  <c r="X84" i="7" s="1"/>
  <c r="V84" i="7"/>
  <c r="P84" i="7"/>
  <c r="R84" i="7" s="1"/>
  <c r="Y83" i="7"/>
  <c r="W83" i="7"/>
  <c r="X83" i="7" s="1"/>
  <c r="V83" i="7"/>
  <c r="P83" i="7"/>
  <c r="R83" i="7" s="1"/>
  <c r="Y82" i="7"/>
  <c r="W82" i="7"/>
  <c r="X82" i="7" s="1"/>
  <c r="V82" i="7"/>
  <c r="P82" i="7"/>
  <c r="R82" i="7" s="1"/>
  <c r="Y81" i="7"/>
  <c r="W81" i="7"/>
  <c r="X81" i="7" s="1"/>
  <c r="V81" i="7"/>
  <c r="P81" i="7"/>
  <c r="R81" i="7" s="1"/>
  <c r="Y80" i="7"/>
  <c r="W80" i="7"/>
  <c r="X80" i="7" s="1"/>
  <c r="V80" i="7"/>
  <c r="P80" i="7"/>
  <c r="R80" i="7" s="1"/>
  <c r="Y79" i="7"/>
  <c r="W79" i="7"/>
  <c r="X79" i="7" s="1"/>
  <c r="V79" i="7"/>
  <c r="P79" i="7"/>
  <c r="Q79" i="7" s="1"/>
  <c r="Y78" i="7"/>
  <c r="W78" i="7"/>
  <c r="X78" i="7" s="1"/>
  <c r="V78" i="7"/>
  <c r="P78" i="7"/>
  <c r="R78" i="7" s="1"/>
  <c r="Y77" i="7"/>
  <c r="W77" i="7"/>
  <c r="X77" i="7" s="1"/>
  <c r="V77" i="7"/>
  <c r="P77" i="7"/>
  <c r="R77" i="7" s="1"/>
  <c r="Y76" i="7"/>
  <c r="W76" i="7"/>
  <c r="X76" i="7" s="1"/>
  <c r="V76" i="7"/>
  <c r="P76" i="7"/>
  <c r="R76" i="7" s="1"/>
  <c r="Y75" i="7"/>
  <c r="W75" i="7"/>
  <c r="X75" i="7" s="1"/>
  <c r="V75" i="7"/>
  <c r="P75" i="7"/>
  <c r="R75" i="7" s="1"/>
  <c r="Y74" i="7"/>
  <c r="W74" i="7"/>
  <c r="X74" i="7" s="1"/>
  <c r="V74" i="7"/>
  <c r="P74" i="7"/>
  <c r="R74" i="7" s="1"/>
  <c r="Y73" i="7"/>
  <c r="W73" i="7"/>
  <c r="X73" i="7" s="1"/>
  <c r="V73" i="7"/>
  <c r="P73" i="7"/>
  <c r="Q73" i="7" s="1"/>
  <c r="Y72" i="7"/>
  <c r="W72" i="7"/>
  <c r="X72" i="7" s="1"/>
  <c r="V72" i="7"/>
  <c r="P72" i="7"/>
  <c r="R72" i="7" s="1"/>
  <c r="Y71" i="7"/>
  <c r="W71" i="7"/>
  <c r="X71" i="7" s="1"/>
  <c r="V71" i="7"/>
  <c r="P71" i="7"/>
  <c r="R71" i="7" s="1"/>
  <c r="Y70" i="7"/>
  <c r="W70" i="7"/>
  <c r="X70" i="7" s="1"/>
  <c r="V70" i="7"/>
  <c r="P70" i="7"/>
  <c r="R70" i="7" s="1"/>
  <c r="Y68" i="7"/>
  <c r="W68" i="7"/>
  <c r="X68" i="7" s="1"/>
  <c r="V68" i="7"/>
  <c r="P68" i="7"/>
  <c r="R68" i="7" s="1"/>
  <c r="Y67" i="7"/>
  <c r="W67" i="7"/>
  <c r="X67" i="7" s="1"/>
  <c r="V67" i="7"/>
  <c r="P67" i="7"/>
  <c r="R67" i="7" s="1"/>
  <c r="Y66" i="7"/>
  <c r="W66" i="7"/>
  <c r="X66" i="7" s="1"/>
  <c r="V66" i="7"/>
  <c r="P66" i="7"/>
  <c r="R66" i="7" s="1"/>
  <c r="Y65" i="7"/>
  <c r="W65" i="7"/>
  <c r="X65" i="7" s="1"/>
  <c r="V65" i="7"/>
  <c r="P65" i="7"/>
  <c r="Q65" i="7" s="1"/>
  <c r="Y64" i="7"/>
  <c r="W64" i="7"/>
  <c r="X64" i="7" s="1"/>
  <c r="V64" i="7"/>
  <c r="P64" i="7"/>
  <c r="R64" i="7" s="1"/>
  <c r="Y63" i="7"/>
  <c r="W63" i="7"/>
  <c r="X63" i="7" s="1"/>
  <c r="V63" i="7"/>
  <c r="P63" i="7"/>
  <c r="Q63" i="7" s="1"/>
  <c r="Y62" i="7"/>
  <c r="W62" i="7"/>
  <c r="X62" i="7" s="1"/>
  <c r="V62" i="7"/>
  <c r="P62" i="7"/>
  <c r="R62" i="7" s="1"/>
  <c r="Y61" i="7"/>
  <c r="W61" i="7"/>
  <c r="X61" i="7" s="1"/>
  <c r="V61" i="7"/>
  <c r="P61" i="7"/>
  <c r="R61" i="7" s="1"/>
  <c r="Y60" i="7"/>
  <c r="W60" i="7"/>
  <c r="X60" i="7" s="1"/>
  <c r="V60" i="7"/>
  <c r="P60" i="7"/>
  <c r="R60" i="7" s="1"/>
  <c r="Y59" i="7"/>
  <c r="W59" i="7"/>
  <c r="X59" i="7" s="1"/>
  <c r="V59" i="7"/>
  <c r="P59" i="7"/>
  <c r="Q59" i="7" s="1"/>
  <c r="Y58" i="7"/>
  <c r="W58" i="7"/>
  <c r="X58" i="7" s="1"/>
  <c r="V58" i="7"/>
  <c r="P58" i="7"/>
  <c r="R58" i="7" s="1"/>
  <c r="Y57" i="7"/>
  <c r="W57" i="7"/>
  <c r="X57" i="7" s="1"/>
  <c r="V57" i="7"/>
  <c r="P57" i="7"/>
  <c r="Q57" i="7" s="1"/>
  <c r="Y56" i="7"/>
  <c r="W56" i="7"/>
  <c r="X56" i="7" s="1"/>
  <c r="V56" i="7"/>
  <c r="P56" i="7"/>
  <c r="Q56" i="7" s="1"/>
  <c r="Y55" i="7"/>
  <c r="W55" i="7"/>
  <c r="X55" i="7" s="1"/>
  <c r="V55" i="7"/>
  <c r="P55" i="7"/>
  <c r="R55" i="7" s="1"/>
  <c r="Y54" i="7"/>
  <c r="W54" i="7"/>
  <c r="X54" i="7" s="1"/>
  <c r="V54" i="7"/>
  <c r="P54" i="7"/>
  <c r="R54" i="7" s="1"/>
  <c r="Y53" i="7"/>
  <c r="W53" i="7"/>
  <c r="X53" i="7" s="1"/>
  <c r="V53" i="7"/>
  <c r="P53" i="7"/>
  <c r="Q53" i="7" s="1"/>
  <c r="Y52" i="7"/>
  <c r="W52" i="7"/>
  <c r="X52" i="7" s="1"/>
  <c r="V52" i="7"/>
  <c r="P52" i="7"/>
  <c r="R52" i="7" s="1"/>
  <c r="Y51" i="7"/>
  <c r="W51" i="7"/>
  <c r="X51" i="7" s="1"/>
  <c r="V51" i="7"/>
  <c r="P51" i="7"/>
  <c r="Q51" i="7" s="1"/>
  <c r="Y50" i="7"/>
  <c r="W50" i="7"/>
  <c r="X50" i="7" s="1"/>
  <c r="V50" i="7"/>
  <c r="P50" i="7"/>
  <c r="R50" i="7" s="1"/>
  <c r="Y49" i="7"/>
  <c r="W49" i="7"/>
  <c r="X49" i="7" s="1"/>
  <c r="V49" i="7"/>
  <c r="P49" i="7"/>
  <c r="R49" i="7" s="1"/>
  <c r="Y48" i="7"/>
  <c r="W48" i="7"/>
  <c r="X48" i="7" s="1"/>
  <c r="V48" i="7"/>
  <c r="P48" i="7"/>
  <c r="R48" i="7" s="1"/>
  <c r="Y47" i="7"/>
  <c r="W47" i="7"/>
  <c r="X47" i="7" s="1"/>
  <c r="V47" i="7"/>
  <c r="P47" i="7"/>
  <c r="Q47" i="7" s="1"/>
  <c r="Y46" i="7"/>
  <c r="W46" i="7"/>
  <c r="X46" i="7" s="1"/>
  <c r="V46" i="7"/>
  <c r="P46" i="7"/>
  <c r="R46" i="7" s="1"/>
  <c r="Y45" i="7"/>
  <c r="W45" i="7"/>
  <c r="X45" i="7" s="1"/>
  <c r="V45" i="7"/>
  <c r="P45" i="7"/>
  <c r="Q45" i="7" s="1"/>
  <c r="Y44" i="7"/>
  <c r="W44" i="7"/>
  <c r="X44" i="7" s="1"/>
  <c r="V44" i="7"/>
  <c r="P44" i="7"/>
  <c r="R44" i="7" s="1"/>
  <c r="Y119" i="7"/>
  <c r="W119" i="7"/>
  <c r="X119" i="7" s="1"/>
  <c r="V119" i="7"/>
  <c r="P119" i="7"/>
  <c r="R119" i="7" s="1"/>
  <c r="Y118" i="7"/>
  <c r="W118" i="7"/>
  <c r="X118" i="7" s="1"/>
  <c r="V118" i="7"/>
  <c r="P118" i="7"/>
  <c r="R118" i="7" s="1"/>
  <c r="Y117" i="7"/>
  <c r="W117" i="7"/>
  <c r="X117" i="7" s="1"/>
  <c r="V117" i="7"/>
  <c r="P117" i="7"/>
  <c r="R117" i="7" s="1"/>
  <c r="Y116" i="7"/>
  <c r="W116" i="7"/>
  <c r="X116" i="7" s="1"/>
  <c r="V116" i="7"/>
  <c r="P116" i="7"/>
  <c r="Q116" i="7" s="1"/>
  <c r="Y115" i="7"/>
  <c r="W115" i="7"/>
  <c r="X115" i="7" s="1"/>
  <c r="V115" i="7"/>
  <c r="P115" i="7"/>
  <c r="R115" i="7" s="1"/>
  <c r="Y114" i="7"/>
  <c r="W114" i="7"/>
  <c r="X114" i="7" s="1"/>
  <c r="V114" i="7"/>
  <c r="P114" i="7"/>
  <c r="R114" i="7" s="1"/>
  <c r="Y113" i="7"/>
  <c r="W113" i="7"/>
  <c r="X113" i="7" s="1"/>
  <c r="V113" i="7"/>
  <c r="P113" i="7"/>
  <c r="R113" i="7" s="1"/>
  <c r="Y112" i="7"/>
  <c r="W112" i="7"/>
  <c r="X112" i="7" s="1"/>
  <c r="V112" i="7"/>
  <c r="P112" i="7"/>
  <c r="R112" i="7" s="1"/>
  <c r="Y111" i="7"/>
  <c r="W111" i="7"/>
  <c r="X111" i="7" s="1"/>
  <c r="V111" i="7"/>
  <c r="P111" i="7"/>
  <c r="R111" i="7" s="1"/>
  <c r="Y110" i="7"/>
  <c r="W110" i="7"/>
  <c r="X110" i="7" s="1"/>
  <c r="V110" i="7"/>
  <c r="P110" i="7"/>
  <c r="Q110" i="7" s="1"/>
  <c r="Y109" i="7"/>
  <c r="W109" i="7"/>
  <c r="X109" i="7" s="1"/>
  <c r="V109" i="7"/>
  <c r="P109" i="7"/>
  <c r="R109" i="7" s="1"/>
  <c r="Y108" i="7"/>
  <c r="W108" i="7"/>
  <c r="X108" i="7" s="1"/>
  <c r="V108" i="7"/>
  <c r="P108" i="7"/>
  <c r="R108" i="7" s="1"/>
  <c r="Y107" i="7"/>
  <c r="W107" i="7"/>
  <c r="X107" i="7" s="1"/>
  <c r="V107" i="7"/>
  <c r="P107" i="7"/>
  <c r="R107" i="7" s="1"/>
  <c r="Y106" i="7"/>
  <c r="W106" i="7"/>
  <c r="X106" i="7" s="1"/>
  <c r="V106" i="7"/>
  <c r="P106" i="7"/>
  <c r="R106" i="7" s="1"/>
  <c r="Y105" i="7"/>
  <c r="W105" i="7"/>
  <c r="X105" i="7" s="1"/>
  <c r="V105" i="7"/>
  <c r="P105" i="7"/>
  <c r="R105" i="7" s="1"/>
  <c r="Y104" i="7"/>
  <c r="W104" i="7"/>
  <c r="X104" i="7" s="1"/>
  <c r="V104" i="7"/>
  <c r="P104" i="7"/>
  <c r="Q104" i="7" s="1"/>
  <c r="Y103" i="7"/>
  <c r="W103" i="7"/>
  <c r="X103" i="7" s="1"/>
  <c r="V103" i="7"/>
  <c r="P103" i="7"/>
  <c r="R103" i="7" s="1"/>
  <c r="Y102" i="7"/>
  <c r="W102" i="7"/>
  <c r="X102" i="7" s="1"/>
  <c r="V102" i="7"/>
  <c r="P102" i="7"/>
  <c r="R102" i="7" s="1"/>
  <c r="Y101" i="7"/>
  <c r="W101" i="7"/>
  <c r="X101" i="7" s="1"/>
  <c r="V101" i="7"/>
  <c r="P101" i="7"/>
  <c r="R101" i="7" s="1"/>
  <c r="Y100" i="7"/>
  <c r="W100" i="7"/>
  <c r="X100" i="7" s="1"/>
  <c r="V100" i="7"/>
  <c r="P100" i="7"/>
  <c r="R100" i="7" s="1"/>
  <c r="Y99" i="7"/>
  <c r="W99" i="7"/>
  <c r="X99" i="7" s="1"/>
  <c r="V99" i="7"/>
  <c r="P99" i="7"/>
  <c r="R99" i="7" s="1"/>
  <c r="Y98" i="7"/>
  <c r="W98" i="7"/>
  <c r="X98" i="7" s="1"/>
  <c r="V98" i="7"/>
  <c r="P98" i="7"/>
  <c r="Q98" i="7" s="1"/>
  <c r="Y97" i="7"/>
  <c r="W97" i="7"/>
  <c r="X97" i="7" s="1"/>
  <c r="V97" i="7"/>
  <c r="P97" i="7"/>
  <c r="R97" i="7" s="1"/>
  <c r="Y96" i="7"/>
  <c r="W96" i="7"/>
  <c r="X96" i="7" s="1"/>
  <c r="V96" i="7"/>
  <c r="P96" i="7"/>
  <c r="R96" i="7" s="1"/>
  <c r="Y95" i="7"/>
  <c r="W95" i="7"/>
  <c r="X95" i="7" s="1"/>
  <c r="V95" i="7"/>
  <c r="P95" i="7"/>
  <c r="R95" i="7" s="1"/>
  <c r="Y125" i="7"/>
  <c r="W125" i="7"/>
  <c r="X125" i="7" s="1"/>
  <c r="V125" i="7"/>
  <c r="P125" i="7"/>
  <c r="Q125" i="7" s="1"/>
  <c r="Y124" i="7"/>
  <c r="W124" i="7"/>
  <c r="X124" i="7" s="1"/>
  <c r="V124" i="7"/>
  <c r="P124" i="7"/>
  <c r="R124" i="7" s="1"/>
  <c r="K196" i="6"/>
  <c r="L196" i="6" s="1"/>
  <c r="J196" i="6"/>
  <c r="K195" i="6"/>
  <c r="L195" i="6" s="1"/>
  <c r="J195" i="6"/>
  <c r="K194" i="6"/>
  <c r="L194" i="6" s="1"/>
  <c r="J194" i="6"/>
  <c r="K193" i="6"/>
  <c r="L193" i="6" s="1"/>
  <c r="J193" i="6"/>
  <c r="K192" i="6"/>
  <c r="L192" i="6" s="1"/>
  <c r="J192" i="6"/>
  <c r="K191" i="6"/>
  <c r="L191" i="6" s="1"/>
  <c r="J191" i="6"/>
  <c r="K190" i="6"/>
  <c r="L190" i="6" s="1"/>
  <c r="J190" i="6"/>
  <c r="K189" i="6"/>
  <c r="L189" i="6" s="1"/>
  <c r="J189" i="6"/>
  <c r="K188" i="6"/>
  <c r="L188" i="6" s="1"/>
  <c r="J188" i="6"/>
  <c r="K187" i="6"/>
  <c r="L187" i="6" s="1"/>
  <c r="J187" i="6"/>
  <c r="K186" i="6"/>
  <c r="L186" i="6" s="1"/>
  <c r="J186" i="6"/>
  <c r="K185" i="6"/>
  <c r="L185" i="6" s="1"/>
  <c r="J185" i="6"/>
  <c r="K184" i="6"/>
  <c r="L184" i="6" s="1"/>
  <c r="J184" i="6"/>
  <c r="K183" i="6"/>
  <c r="L183" i="6" s="1"/>
  <c r="J183" i="6"/>
  <c r="K182" i="6"/>
  <c r="L182" i="6" s="1"/>
  <c r="J182" i="6"/>
  <c r="K181" i="6"/>
  <c r="L181" i="6" s="1"/>
  <c r="J181" i="6"/>
  <c r="K180" i="6"/>
  <c r="L180" i="6" s="1"/>
  <c r="J180" i="6"/>
  <c r="K179" i="6"/>
  <c r="L179" i="6" s="1"/>
  <c r="J179" i="6"/>
  <c r="K178" i="6"/>
  <c r="L178" i="6" s="1"/>
  <c r="J178" i="6"/>
  <c r="K177" i="6"/>
  <c r="L177" i="6" s="1"/>
  <c r="J177" i="6"/>
  <c r="K217" i="6"/>
  <c r="L217" i="6" s="1"/>
  <c r="J217" i="6"/>
  <c r="K216" i="6"/>
  <c r="L216" i="6" s="1"/>
  <c r="J216" i="6"/>
  <c r="K215" i="6"/>
  <c r="L215" i="6" s="1"/>
  <c r="J215" i="6"/>
  <c r="K214" i="6"/>
  <c r="L214" i="6" s="1"/>
  <c r="J214" i="6"/>
  <c r="K213" i="6"/>
  <c r="L213" i="6" s="1"/>
  <c r="J213" i="6"/>
  <c r="K212" i="6"/>
  <c r="L212" i="6" s="1"/>
  <c r="J212" i="6"/>
  <c r="K211" i="6"/>
  <c r="L211" i="6" s="1"/>
  <c r="J211" i="6"/>
  <c r="K210" i="6"/>
  <c r="L210" i="6" s="1"/>
  <c r="J210" i="6"/>
  <c r="K209" i="6"/>
  <c r="L209" i="6" s="1"/>
  <c r="J209" i="6"/>
  <c r="K208" i="6"/>
  <c r="L208" i="6" s="1"/>
  <c r="J208" i="6"/>
  <c r="K207" i="6"/>
  <c r="L207" i="6" s="1"/>
  <c r="J207" i="6"/>
  <c r="K206" i="6"/>
  <c r="L206" i="6" s="1"/>
  <c r="J206" i="6"/>
  <c r="K205" i="6"/>
  <c r="L205" i="6" s="1"/>
  <c r="J205" i="6"/>
  <c r="K204" i="6"/>
  <c r="L204" i="6" s="1"/>
  <c r="J204" i="6"/>
  <c r="K203" i="6"/>
  <c r="L203" i="6" s="1"/>
  <c r="J203" i="6"/>
  <c r="K202" i="6"/>
  <c r="L202" i="6" s="1"/>
  <c r="J202" i="6"/>
  <c r="K201" i="6"/>
  <c r="L201" i="6" s="1"/>
  <c r="J201" i="6"/>
  <c r="K200" i="6"/>
  <c r="L200" i="6" s="1"/>
  <c r="J200" i="6"/>
  <c r="K199" i="6"/>
  <c r="L199" i="6" s="1"/>
  <c r="J199" i="6"/>
  <c r="K198" i="6"/>
  <c r="L198" i="6" s="1"/>
  <c r="J198" i="6"/>
  <c r="K225" i="6"/>
  <c r="L225" i="6" s="1"/>
  <c r="J225" i="6"/>
  <c r="K224" i="6"/>
  <c r="L224" i="6" s="1"/>
  <c r="J224" i="6"/>
  <c r="K223" i="6"/>
  <c r="L223" i="6" s="1"/>
  <c r="J223" i="6"/>
  <c r="K152" i="6"/>
  <c r="L152" i="6" s="1"/>
  <c r="J152" i="6"/>
  <c r="K151" i="6"/>
  <c r="L151" i="6" s="1"/>
  <c r="J151" i="6"/>
  <c r="K150" i="6"/>
  <c r="L150" i="6" s="1"/>
  <c r="J150" i="6"/>
  <c r="K149" i="6"/>
  <c r="L149" i="6" s="1"/>
  <c r="J149" i="6"/>
  <c r="K148" i="6"/>
  <c r="L148" i="6" s="1"/>
  <c r="J148" i="6"/>
  <c r="K147" i="6"/>
  <c r="L147" i="6" s="1"/>
  <c r="J147" i="6"/>
  <c r="K146" i="6"/>
  <c r="L146" i="6" s="1"/>
  <c r="J146" i="6"/>
  <c r="K145" i="6"/>
  <c r="L145" i="6" s="1"/>
  <c r="J145" i="6"/>
  <c r="K144" i="6"/>
  <c r="L144" i="6" s="1"/>
  <c r="J144" i="6"/>
  <c r="K143" i="6"/>
  <c r="L143" i="6" s="1"/>
  <c r="J143" i="6"/>
  <c r="K142" i="6"/>
  <c r="L142" i="6" s="1"/>
  <c r="J142" i="6"/>
  <c r="K141" i="6"/>
  <c r="L141" i="6" s="1"/>
  <c r="J141" i="6"/>
  <c r="K140" i="6"/>
  <c r="L140" i="6" s="1"/>
  <c r="J140" i="6"/>
  <c r="K139" i="6"/>
  <c r="L139" i="6" s="1"/>
  <c r="J139" i="6"/>
  <c r="K138" i="6"/>
  <c r="L138" i="6" s="1"/>
  <c r="J138" i="6"/>
  <c r="K137" i="6"/>
  <c r="L137" i="6" s="1"/>
  <c r="J137" i="6"/>
  <c r="K136" i="6"/>
  <c r="L136" i="6" s="1"/>
  <c r="J136" i="6"/>
  <c r="K135" i="6"/>
  <c r="L135" i="6" s="1"/>
  <c r="J135" i="6"/>
  <c r="K134" i="6"/>
  <c r="L134" i="6" s="1"/>
  <c r="J134" i="6"/>
  <c r="K133" i="6"/>
  <c r="L133" i="6" s="1"/>
  <c r="J133" i="6"/>
  <c r="K132" i="6"/>
  <c r="L132" i="6" s="1"/>
  <c r="J132" i="6"/>
  <c r="K131" i="6"/>
  <c r="L131" i="6" s="1"/>
  <c r="J131" i="6"/>
  <c r="K130" i="6"/>
  <c r="L130" i="6" s="1"/>
  <c r="J130" i="6"/>
  <c r="K129" i="6"/>
  <c r="L129" i="6" s="1"/>
  <c r="J129" i="6"/>
  <c r="K128" i="6"/>
  <c r="L128" i="6" s="1"/>
  <c r="J128" i="6"/>
  <c r="K127" i="6"/>
  <c r="L127" i="6" s="1"/>
  <c r="J127" i="6"/>
  <c r="K222" i="6"/>
  <c r="L222" i="6" s="1"/>
  <c r="J222" i="6"/>
  <c r="K221" i="6"/>
  <c r="L221" i="6" s="1"/>
  <c r="J221" i="6"/>
  <c r="K220" i="6"/>
  <c r="L220" i="6" s="1"/>
  <c r="J220" i="6"/>
  <c r="K219" i="6"/>
  <c r="L219" i="6" s="1"/>
  <c r="J219" i="6"/>
  <c r="K218" i="6"/>
  <c r="L218" i="6" s="1"/>
  <c r="J218" i="6"/>
  <c r="K197" i="6"/>
  <c r="L197" i="6" s="1"/>
  <c r="J197" i="6"/>
  <c r="K176" i="6"/>
  <c r="L176" i="6" s="1"/>
  <c r="J176" i="6"/>
  <c r="K175" i="6"/>
  <c r="L175" i="6" s="1"/>
  <c r="J175" i="6"/>
  <c r="K174" i="6"/>
  <c r="L174" i="6" s="1"/>
  <c r="J174" i="6"/>
  <c r="K173" i="6"/>
  <c r="L173" i="6" s="1"/>
  <c r="J173" i="6"/>
  <c r="K172" i="6"/>
  <c r="L172" i="6" s="1"/>
  <c r="J172" i="6"/>
  <c r="K171" i="6"/>
  <c r="L171" i="6" s="1"/>
  <c r="J171" i="6"/>
  <c r="K170" i="6"/>
  <c r="L170" i="6" s="1"/>
  <c r="J170" i="6"/>
  <c r="K169" i="6"/>
  <c r="L169" i="6" s="1"/>
  <c r="J169" i="6"/>
  <c r="K168" i="6"/>
  <c r="L168" i="6" s="1"/>
  <c r="J168" i="6"/>
  <c r="K167" i="6"/>
  <c r="L167" i="6" s="1"/>
  <c r="J167" i="6"/>
  <c r="K166" i="6"/>
  <c r="L166" i="6" s="1"/>
  <c r="J166" i="6"/>
  <c r="K165" i="6"/>
  <c r="L165" i="6" s="1"/>
  <c r="J165" i="6"/>
  <c r="K164" i="6"/>
  <c r="L164" i="6" s="1"/>
  <c r="J164" i="6"/>
  <c r="K119" i="6"/>
  <c r="L119" i="6" s="1"/>
  <c r="J119" i="6"/>
  <c r="K118" i="6"/>
  <c r="L118" i="6" s="1"/>
  <c r="J118" i="6"/>
  <c r="K117" i="6"/>
  <c r="L117" i="6" s="1"/>
  <c r="J117" i="6"/>
  <c r="K116" i="6"/>
  <c r="L116" i="6" s="1"/>
  <c r="J116" i="6"/>
  <c r="K115" i="6"/>
  <c r="L115" i="6" s="1"/>
  <c r="J115" i="6"/>
  <c r="K114" i="6"/>
  <c r="L114" i="6" s="1"/>
  <c r="J114" i="6"/>
  <c r="K113" i="6"/>
  <c r="L113" i="6" s="1"/>
  <c r="J113" i="6"/>
  <c r="K112" i="6"/>
  <c r="L112" i="6" s="1"/>
  <c r="J112" i="6"/>
  <c r="K111" i="6"/>
  <c r="L111" i="6" s="1"/>
  <c r="J111" i="6"/>
  <c r="K110" i="6"/>
  <c r="L110" i="6" s="1"/>
  <c r="J110" i="6"/>
  <c r="K109" i="6"/>
  <c r="L109" i="6" s="1"/>
  <c r="J109" i="6"/>
  <c r="K108" i="6"/>
  <c r="L108" i="6" s="1"/>
  <c r="J108" i="6"/>
  <c r="K107" i="6"/>
  <c r="L107" i="6" s="1"/>
  <c r="J107" i="6"/>
  <c r="K156" i="6"/>
  <c r="L156" i="6" s="1"/>
  <c r="J156" i="6"/>
  <c r="K155" i="6"/>
  <c r="L155" i="6" s="1"/>
  <c r="J155" i="6"/>
  <c r="K154" i="6"/>
  <c r="L154" i="6" s="1"/>
  <c r="J154" i="6"/>
  <c r="K153" i="6"/>
  <c r="L153" i="6" s="1"/>
  <c r="J153" i="6"/>
  <c r="K126" i="6"/>
  <c r="L126" i="6" s="1"/>
  <c r="J126" i="6"/>
  <c r="K125" i="6"/>
  <c r="L125" i="6" s="1"/>
  <c r="J125" i="6"/>
  <c r="K124" i="6"/>
  <c r="L124" i="6" s="1"/>
  <c r="J124" i="6"/>
  <c r="K123" i="6"/>
  <c r="L123" i="6" s="1"/>
  <c r="J123" i="6"/>
  <c r="K122" i="6"/>
  <c r="L122" i="6" s="1"/>
  <c r="J122" i="6"/>
  <c r="K121" i="6"/>
  <c r="L121" i="6" s="1"/>
  <c r="J121" i="6"/>
  <c r="K159" i="6"/>
  <c r="L159" i="6" s="1"/>
  <c r="J159" i="6"/>
  <c r="K158" i="6"/>
  <c r="L158" i="6" s="1"/>
  <c r="J158" i="6"/>
  <c r="K157" i="6"/>
  <c r="L157" i="6" s="1"/>
  <c r="J157" i="6"/>
  <c r="K54" i="6"/>
  <c r="L54" i="6" s="1"/>
  <c r="J54" i="6"/>
  <c r="K53" i="6"/>
  <c r="L53" i="6" s="1"/>
  <c r="J53" i="6"/>
  <c r="K52" i="6"/>
  <c r="L52" i="6" s="1"/>
  <c r="J52" i="6"/>
  <c r="K51" i="6"/>
  <c r="L51" i="6" s="1"/>
  <c r="J51" i="6"/>
  <c r="K50" i="6"/>
  <c r="L50" i="6" s="1"/>
  <c r="J50" i="6"/>
  <c r="K49" i="6"/>
  <c r="L49" i="6" s="1"/>
  <c r="J49" i="6"/>
  <c r="K48" i="6"/>
  <c r="L48" i="6" s="1"/>
  <c r="J48" i="6"/>
  <c r="K47" i="6"/>
  <c r="L47" i="6" s="1"/>
  <c r="J47" i="6"/>
  <c r="K46" i="6"/>
  <c r="L46" i="6" s="1"/>
  <c r="J46" i="6"/>
  <c r="K45" i="6"/>
  <c r="L45" i="6" s="1"/>
  <c r="J45" i="6"/>
  <c r="K44" i="6"/>
  <c r="L44" i="6" s="1"/>
  <c r="J44" i="6"/>
  <c r="K43" i="6"/>
  <c r="L43" i="6" s="1"/>
  <c r="J43" i="6"/>
  <c r="K42" i="6"/>
  <c r="L42" i="6" s="1"/>
  <c r="J42" i="6"/>
  <c r="K72" i="6"/>
  <c r="L72" i="6" s="1"/>
  <c r="J72" i="6"/>
  <c r="K71" i="6"/>
  <c r="L71" i="6" s="1"/>
  <c r="J71" i="6"/>
  <c r="K70" i="6"/>
  <c r="L70" i="6" s="1"/>
  <c r="J70" i="6"/>
  <c r="K69" i="6"/>
  <c r="L69" i="6" s="1"/>
  <c r="J69" i="6"/>
  <c r="K68" i="6"/>
  <c r="L68" i="6" s="1"/>
  <c r="J68" i="6"/>
  <c r="K67" i="6"/>
  <c r="L67" i="6" s="1"/>
  <c r="J67" i="6"/>
  <c r="K66" i="6"/>
  <c r="L66" i="6" s="1"/>
  <c r="J66" i="6"/>
  <c r="K65" i="6"/>
  <c r="L65" i="6" s="1"/>
  <c r="J65" i="6"/>
  <c r="K64" i="6"/>
  <c r="L64" i="6" s="1"/>
  <c r="J64" i="6"/>
  <c r="K63" i="6"/>
  <c r="L63" i="6" s="1"/>
  <c r="J63" i="6"/>
  <c r="K62" i="6"/>
  <c r="L62" i="6" s="1"/>
  <c r="J62" i="6"/>
  <c r="K61" i="6"/>
  <c r="L61" i="6" s="1"/>
  <c r="J61" i="6"/>
  <c r="K60" i="6"/>
  <c r="L60" i="6" s="1"/>
  <c r="J60" i="6"/>
  <c r="K58" i="6"/>
  <c r="L58" i="6" s="1"/>
  <c r="J58" i="6"/>
  <c r="K57" i="6"/>
  <c r="L57" i="6" s="1"/>
  <c r="J57" i="6"/>
  <c r="K56" i="6"/>
  <c r="L56" i="6" s="1"/>
  <c r="J56" i="6"/>
  <c r="K55" i="6"/>
  <c r="L55" i="6" s="1"/>
  <c r="J55" i="6"/>
  <c r="K41" i="6"/>
  <c r="L41" i="6" s="1"/>
  <c r="J41" i="6"/>
  <c r="K40" i="6"/>
  <c r="L40" i="6" s="1"/>
  <c r="J40" i="6"/>
  <c r="K39" i="6"/>
  <c r="L39" i="6" s="1"/>
  <c r="J39" i="6"/>
  <c r="K38" i="6"/>
  <c r="L38" i="6" s="1"/>
  <c r="J38" i="6"/>
  <c r="K37" i="6"/>
  <c r="L37" i="6" s="1"/>
  <c r="J37" i="6"/>
  <c r="K36" i="6"/>
  <c r="L36" i="6" s="1"/>
  <c r="J36" i="6"/>
  <c r="K35" i="6"/>
  <c r="L35" i="6" s="1"/>
  <c r="J35" i="6"/>
  <c r="K34" i="6"/>
  <c r="L34" i="6" s="1"/>
  <c r="J34" i="6"/>
  <c r="K33" i="6"/>
  <c r="L33" i="6" s="1"/>
  <c r="J33" i="6"/>
  <c r="K86" i="6"/>
  <c r="L86" i="6" s="1"/>
  <c r="J86" i="6"/>
  <c r="K85" i="6"/>
  <c r="L85" i="6" s="1"/>
  <c r="J85" i="6"/>
  <c r="K84" i="6"/>
  <c r="L84" i="6" s="1"/>
  <c r="J84" i="6"/>
  <c r="K83" i="6"/>
  <c r="L83" i="6" s="1"/>
  <c r="J83" i="6"/>
  <c r="K82" i="6"/>
  <c r="L82" i="6" s="1"/>
  <c r="J82" i="6"/>
  <c r="K81" i="6"/>
  <c r="L81" i="6" s="1"/>
  <c r="J81" i="6"/>
  <c r="K80" i="6"/>
  <c r="L80" i="6" s="1"/>
  <c r="J80" i="6"/>
  <c r="K79" i="6"/>
  <c r="L79" i="6" s="1"/>
  <c r="J79" i="6"/>
  <c r="K78" i="6"/>
  <c r="L78" i="6" s="1"/>
  <c r="J78" i="6"/>
  <c r="K77" i="6"/>
  <c r="L77" i="6" s="1"/>
  <c r="J77" i="6"/>
  <c r="K76" i="6"/>
  <c r="L76" i="6" s="1"/>
  <c r="J76" i="6"/>
  <c r="K75" i="6"/>
  <c r="L75" i="6" s="1"/>
  <c r="J75" i="6"/>
  <c r="K74" i="6"/>
  <c r="L74" i="6" s="1"/>
  <c r="J74" i="6"/>
  <c r="X205" i="5"/>
  <c r="Z205" i="5" s="1"/>
  <c r="V205" i="5"/>
  <c r="W205" i="5" s="1"/>
  <c r="T205" i="5"/>
  <c r="N205" i="5"/>
  <c r="P205" i="5" s="1"/>
  <c r="X204" i="5"/>
  <c r="AA204" i="5" s="1"/>
  <c r="V204" i="5"/>
  <c r="W204" i="5" s="1"/>
  <c r="T204" i="5"/>
  <c r="N204" i="5"/>
  <c r="O204" i="5" s="1"/>
  <c r="X203" i="5"/>
  <c r="Z203" i="5" s="1"/>
  <c r="V203" i="5"/>
  <c r="W203" i="5" s="1"/>
  <c r="T203" i="5"/>
  <c r="N203" i="5"/>
  <c r="P203" i="5" s="1"/>
  <c r="X202" i="5"/>
  <c r="Z202" i="5" s="1"/>
  <c r="V202" i="5"/>
  <c r="W202" i="5" s="1"/>
  <c r="T202" i="5"/>
  <c r="N202" i="5"/>
  <c r="P202" i="5" s="1"/>
  <c r="X201" i="5"/>
  <c r="AA201" i="5" s="1"/>
  <c r="V201" i="5"/>
  <c r="W201" i="5" s="1"/>
  <c r="T201" i="5"/>
  <c r="N201" i="5"/>
  <c r="O201" i="5" s="1"/>
  <c r="X200" i="5"/>
  <c r="Z200" i="5" s="1"/>
  <c r="V200" i="5"/>
  <c r="W200" i="5" s="1"/>
  <c r="T200" i="5"/>
  <c r="N200" i="5"/>
  <c r="P200" i="5" s="1"/>
  <c r="X199" i="5"/>
  <c r="Z199" i="5" s="1"/>
  <c r="V199" i="5"/>
  <c r="W199" i="5" s="1"/>
  <c r="T199" i="5"/>
  <c r="N199" i="5"/>
  <c r="P199" i="5" s="1"/>
  <c r="X198" i="5"/>
  <c r="AA198" i="5" s="1"/>
  <c r="V198" i="5"/>
  <c r="W198" i="5" s="1"/>
  <c r="T198" i="5"/>
  <c r="N198" i="5"/>
  <c r="O198" i="5" s="1"/>
  <c r="X197" i="5"/>
  <c r="Z197" i="5" s="1"/>
  <c r="V197" i="5"/>
  <c r="W197" i="5" s="1"/>
  <c r="T197" i="5"/>
  <c r="N197" i="5"/>
  <c r="P197" i="5" s="1"/>
  <c r="X196" i="5"/>
  <c r="AA196" i="5" s="1"/>
  <c r="V196" i="5"/>
  <c r="W196" i="5" s="1"/>
  <c r="T196" i="5"/>
  <c r="N196" i="5"/>
  <c r="P196" i="5" s="1"/>
  <c r="X195" i="5"/>
  <c r="AA195" i="5" s="1"/>
  <c r="V195" i="5"/>
  <c r="W195" i="5" s="1"/>
  <c r="T195" i="5"/>
  <c r="N195" i="5"/>
  <c r="P195" i="5" s="1"/>
  <c r="X225" i="5"/>
  <c r="Z225" i="5" s="1"/>
  <c r="V225" i="5"/>
  <c r="W225" i="5" s="1"/>
  <c r="T225" i="5"/>
  <c r="N225" i="5"/>
  <c r="P225" i="5" s="1"/>
  <c r="X224" i="5"/>
  <c r="Z224" i="5" s="1"/>
  <c r="V224" i="5"/>
  <c r="W224" i="5" s="1"/>
  <c r="T224" i="5"/>
  <c r="N224" i="5"/>
  <c r="P224" i="5" s="1"/>
  <c r="X223" i="5"/>
  <c r="AA223" i="5" s="1"/>
  <c r="V223" i="5"/>
  <c r="W223" i="5" s="1"/>
  <c r="T223" i="5"/>
  <c r="N223" i="5"/>
  <c r="P223" i="5" s="1"/>
  <c r="X222" i="5"/>
  <c r="Z222" i="5" s="1"/>
  <c r="V222" i="5"/>
  <c r="W222" i="5" s="1"/>
  <c r="T222" i="5"/>
  <c r="N222" i="5"/>
  <c r="P222" i="5" s="1"/>
  <c r="X221" i="5"/>
  <c r="Z221" i="5" s="1"/>
  <c r="V221" i="5"/>
  <c r="W221" i="5" s="1"/>
  <c r="T221" i="5"/>
  <c r="N221" i="5"/>
  <c r="P221" i="5" s="1"/>
  <c r="X220" i="5"/>
  <c r="AA220" i="5" s="1"/>
  <c r="V220" i="5"/>
  <c r="W220" i="5" s="1"/>
  <c r="T220" i="5"/>
  <c r="N220" i="5"/>
  <c r="P220" i="5" s="1"/>
  <c r="X213" i="5"/>
  <c r="AA213" i="5" s="1"/>
  <c r="V213" i="5"/>
  <c r="W213" i="5" s="1"/>
  <c r="T213" i="5"/>
  <c r="N213" i="5"/>
  <c r="P213" i="5" s="1"/>
  <c r="X212" i="5"/>
  <c r="AA212" i="5" s="1"/>
  <c r="V212" i="5"/>
  <c r="W212" i="5" s="1"/>
  <c r="T212" i="5"/>
  <c r="N212" i="5"/>
  <c r="P212" i="5" s="1"/>
  <c r="X211" i="5"/>
  <c r="AA211" i="5" s="1"/>
  <c r="V211" i="5"/>
  <c r="W211" i="5" s="1"/>
  <c r="T211" i="5"/>
  <c r="N211" i="5"/>
  <c r="P211" i="5" s="1"/>
  <c r="X210" i="5"/>
  <c r="AA210" i="5" s="1"/>
  <c r="V210" i="5"/>
  <c r="W210" i="5" s="1"/>
  <c r="T210" i="5"/>
  <c r="N210" i="5"/>
  <c r="P210" i="5" s="1"/>
  <c r="X209" i="5"/>
  <c r="Z209" i="5" s="1"/>
  <c r="V209" i="5"/>
  <c r="W209" i="5" s="1"/>
  <c r="T209" i="5"/>
  <c r="N209" i="5"/>
  <c r="P209" i="5" s="1"/>
  <c r="X208" i="5"/>
  <c r="AA208" i="5" s="1"/>
  <c r="V208" i="5"/>
  <c r="W208" i="5" s="1"/>
  <c r="T208" i="5"/>
  <c r="N208" i="5"/>
  <c r="P208" i="5" s="1"/>
  <c r="X207" i="5"/>
  <c r="AA207" i="5" s="1"/>
  <c r="V207" i="5"/>
  <c r="W207" i="5" s="1"/>
  <c r="T207" i="5"/>
  <c r="N207" i="5"/>
  <c r="P207" i="5" s="1"/>
  <c r="X206" i="5"/>
  <c r="Z206" i="5" s="1"/>
  <c r="V206" i="5"/>
  <c r="W206" i="5" s="1"/>
  <c r="T206" i="5"/>
  <c r="N206" i="5"/>
  <c r="P206" i="5" s="1"/>
  <c r="X194" i="5"/>
  <c r="Y194" i="5" s="1"/>
  <c r="V194" i="5"/>
  <c r="W194" i="5" s="1"/>
  <c r="T194" i="5"/>
  <c r="N194" i="5"/>
  <c r="P194" i="5" s="1"/>
  <c r="X193" i="5"/>
  <c r="AA193" i="5" s="1"/>
  <c r="V193" i="5"/>
  <c r="W193" i="5" s="1"/>
  <c r="T193" i="5"/>
  <c r="N193" i="5"/>
  <c r="P193" i="5" s="1"/>
  <c r="X192" i="5"/>
  <c r="AA192" i="5" s="1"/>
  <c r="V192" i="5"/>
  <c r="W192" i="5" s="1"/>
  <c r="T192" i="5"/>
  <c r="N192" i="5"/>
  <c r="P192" i="5" s="1"/>
  <c r="X219" i="5"/>
  <c r="AA219" i="5" s="1"/>
  <c r="V219" i="5"/>
  <c r="W219" i="5" s="1"/>
  <c r="T219" i="5"/>
  <c r="N219" i="5"/>
  <c r="P219" i="5" s="1"/>
  <c r="X218" i="5"/>
  <c r="Y218" i="5" s="1"/>
  <c r="V218" i="5"/>
  <c r="W218" i="5" s="1"/>
  <c r="T218" i="5"/>
  <c r="N218" i="5"/>
  <c r="O218" i="5" s="1"/>
  <c r="X215" i="5"/>
  <c r="AA215" i="5" s="1"/>
  <c r="V215" i="5"/>
  <c r="W215" i="5" s="1"/>
  <c r="T215" i="5"/>
  <c r="N215" i="5"/>
  <c r="O215" i="5" s="1"/>
  <c r="X214" i="5"/>
  <c r="AA214" i="5" s="1"/>
  <c r="V214" i="5"/>
  <c r="W214" i="5" s="1"/>
  <c r="T214" i="5"/>
  <c r="N214" i="5"/>
  <c r="O214" i="5" s="1"/>
  <c r="X191" i="5"/>
  <c r="AA191" i="5" s="1"/>
  <c r="V191" i="5"/>
  <c r="W191" i="5" s="1"/>
  <c r="T191" i="5"/>
  <c r="N191" i="5"/>
  <c r="O191" i="5" s="1"/>
  <c r="X190" i="5"/>
  <c r="AA190" i="5" s="1"/>
  <c r="V190" i="5"/>
  <c r="W190" i="5" s="1"/>
  <c r="T190" i="5"/>
  <c r="N190" i="5"/>
  <c r="O190" i="5" s="1"/>
  <c r="X189" i="5"/>
  <c r="AA189" i="5" s="1"/>
  <c r="V189" i="5"/>
  <c r="W189" i="5" s="1"/>
  <c r="T189" i="5"/>
  <c r="N189" i="5"/>
  <c r="O189" i="5" s="1"/>
  <c r="X188" i="5"/>
  <c r="AA188" i="5" s="1"/>
  <c r="V188" i="5"/>
  <c r="W188" i="5" s="1"/>
  <c r="T188" i="5"/>
  <c r="N188" i="5"/>
  <c r="O188" i="5" s="1"/>
  <c r="X187" i="5"/>
  <c r="AA187" i="5" s="1"/>
  <c r="V187" i="5"/>
  <c r="W187" i="5" s="1"/>
  <c r="T187" i="5"/>
  <c r="N187" i="5"/>
  <c r="O187" i="5" s="1"/>
  <c r="X186" i="5"/>
  <c r="AA186" i="5" s="1"/>
  <c r="V186" i="5"/>
  <c r="W186" i="5" s="1"/>
  <c r="T186" i="5"/>
  <c r="N186" i="5"/>
  <c r="O186" i="5" s="1"/>
  <c r="X185" i="5"/>
  <c r="Y185" i="5" s="1"/>
  <c r="V185" i="5"/>
  <c r="W185" i="5" s="1"/>
  <c r="T185" i="5"/>
  <c r="N185" i="5"/>
  <c r="O185" i="5" s="1"/>
  <c r="X184" i="5"/>
  <c r="AA184" i="5" s="1"/>
  <c r="V184" i="5"/>
  <c r="W184" i="5" s="1"/>
  <c r="T184" i="5"/>
  <c r="N184" i="5"/>
  <c r="O184" i="5" s="1"/>
  <c r="X183" i="5"/>
  <c r="AA183" i="5" s="1"/>
  <c r="V183" i="5"/>
  <c r="W183" i="5" s="1"/>
  <c r="T183" i="5"/>
  <c r="N183" i="5"/>
  <c r="O183" i="5" s="1"/>
  <c r="X42" i="5"/>
  <c r="AA42" i="5" s="1"/>
  <c r="V42" i="5"/>
  <c r="W42" i="5" s="1"/>
  <c r="T42" i="5"/>
  <c r="N42" i="5"/>
  <c r="P42" i="5" s="1"/>
  <c r="X41" i="5"/>
  <c r="AA41" i="5" s="1"/>
  <c r="V41" i="5"/>
  <c r="W41" i="5" s="1"/>
  <c r="T41" i="5"/>
  <c r="N41" i="5"/>
  <c r="P41" i="5" s="1"/>
  <c r="X40" i="5"/>
  <c r="AA40" i="5" s="1"/>
  <c r="V40" i="5"/>
  <c r="W40" i="5" s="1"/>
  <c r="T40" i="5"/>
  <c r="N40" i="5"/>
  <c r="P40" i="5" s="1"/>
  <c r="X39" i="5"/>
  <c r="AA39" i="5" s="1"/>
  <c r="V39" i="5"/>
  <c r="W39" i="5" s="1"/>
  <c r="T39" i="5"/>
  <c r="N39" i="5"/>
  <c r="P39" i="5" s="1"/>
  <c r="X38" i="5"/>
  <c r="Z38" i="5" s="1"/>
  <c r="V38" i="5"/>
  <c r="W38" i="5" s="1"/>
  <c r="T38" i="5"/>
  <c r="N38" i="5"/>
  <c r="O38" i="5" s="1"/>
  <c r="X37" i="5"/>
  <c r="AA37" i="5" s="1"/>
  <c r="V37" i="5"/>
  <c r="W37" i="5" s="1"/>
  <c r="T37" i="5"/>
  <c r="N37" i="5"/>
  <c r="P37" i="5" s="1"/>
  <c r="X36" i="5"/>
  <c r="AA36" i="5" s="1"/>
  <c r="V36" i="5"/>
  <c r="W36" i="5" s="1"/>
  <c r="T36" i="5"/>
  <c r="N36" i="5"/>
  <c r="P36" i="5" s="1"/>
  <c r="X35" i="5"/>
  <c r="Z35" i="5" s="1"/>
  <c r="V35" i="5"/>
  <c r="W35" i="5" s="1"/>
  <c r="T35" i="5"/>
  <c r="N35" i="5"/>
  <c r="P35" i="5" s="1"/>
  <c r="X34" i="5"/>
  <c r="Z34" i="5" s="1"/>
  <c r="V34" i="5"/>
  <c r="W34" i="5" s="1"/>
  <c r="T34" i="5"/>
  <c r="N34" i="5"/>
  <c r="P34" i="5" s="1"/>
  <c r="X55" i="5"/>
  <c r="Z55" i="5" s="1"/>
  <c r="V55" i="5"/>
  <c r="W55" i="5" s="1"/>
  <c r="T55" i="5"/>
  <c r="N55" i="5"/>
  <c r="P55" i="5" s="1"/>
  <c r="X54" i="5"/>
  <c r="Z54" i="5" s="1"/>
  <c r="V54" i="5"/>
  <c r="W54" i="5" s="1"/>
  <c r="T54" i="5"/>
  <c r="N54" i="5"/>
  <c r="O54" i="5" s="1"/>
  <c r="X53" i="5"/>
  <c r="Y53" i="5" s="1"/>
  <c r="V53" i="5"/>
  <c r="W53" i="5" s="1"/>
  <c r="T53" i="5"/>
  <c r="N53" i="5"/>
  <c r="P53" i="5" s="1"/>
  <c r="X52" i="5"/>
  <c r="Z52" i="5" s="1"/>
  <c r="V52" i="5"/>
  <c r="W52" i="5" s="1"/>
  <c r="T52" i="5"/>
  <c r="N52" i="5"/>
  <c r="P52" i="5" s="1"/>
  <c r="X51" i="5"/>
  <c r="Z51" i="5" s="1"/>
  <c r="V51" i="5"/>
  <c r="W51" i="5" s="1"/>
  <c r="T51" i="5"/>
  <c r="N51" i="5"/>
  <c r="O51" i="5" s="1"/>
  <c r="X50" i="5"/>
  <c r="Z50" i="5" s="1"/>
  <c r="V50" i="5"/>
  <c r="W50" i="5" s="1"/>
  <c r="T50" i="5"/>
  <c r="N50" i="5"/>
  <c r="P50" i="5" s="1"/>
  <c r="X49" i="5"/>
  <c r="Z49" i="5" s="1"/>
  <c r="V49" i="5"/>
  <c r="W49" i="5" s="1"/>
  <c r="T49" i="5"/>
  <c r="N49" i="5"/>
  <c r="P49" i="5" s="1"/>
  <c r="X48" i="5"/>
  <c r="Z48" i="5" s="1"/>
  <c r="V48" i="5"/>
  <c r="W48" i="5" s="1"/>
  <c r="T48" i="5"/>
  <c r="N48" i="5"/>
  <c r="O48" i="5" s="1"/>
  <c r="X47" i="5"/>
  <c r="Z47" i="5" s="1"/>
  <c r="V47" i="5"/>
  <c r="W47" i="5" s="1"/>
  <c r="T47" i="5"/>
  <c r="N47" i="5"/>
  <c r="P47" i="5" s="1"/>
  <c r="X178" i="5"/>
  <c r="AA178" i="5" s="1"/>
  <c r="V178" i="5"/>
  <c r="W178" i="5" s="1"/>
  <c r="T178" i="5"/>
  <c r="N178" i="5"/>
  <c r="P178" i="5" s="1"/>
  <c r="X177" i="5"/>
  <c r="AA177" i="5" s="1"/>
  <c r="V177" i="5"/>
  <c r="W177" i="5" s="1"/>
  <c r="T177" i="5"/>
  <c r="N177" i="5"/>
  <c r="O177" i="5" s="1"/>
  <c r="X176" i="5"/>
  <c r="Z176" i="5" s="1"/>
  <c r="V176" i="5"/>
  <c r="W176" i="5" s="1"/>
  <c r="T176" i="5"/>
  <c r="N176" i="5"/>
  <c r="P176" i="5" s="1"/>
  <c r="X175" i="5"/>
  <c r="Z175" i="5" s="1"/>
  <c r="V175" i="5"/>
  <c r="W175" i="5" s="1"/>
  <c r="T175" i="5"/>
  <c r="N175" i="5"/>
  <c r="P175" i="5" s="1"/>
  <c r="X174" i="5"/>
  <c r="AA174" i="5" s="1"/>
  <c r="V174" i="5"/>
  <c r="W174" i="5" s="1"/>
  <c r="T174" i="5"/>
  <c r="N174" i="5"/>
  <c r="O174" i="5" s="1"/>
  <c r="X173" i="5"/>
  <c r="Z173" i="5" s="1"/>
  <c r="V173" i="5"/>
  <c r="W173" i="5" s="1"/>
  <c r="T173" i="5"/>
  <c r="N173" i="5"/>
  <c r="P173" i="5" s="1"/>
  <c r="X172" i="5"/>
  <c r="Z172" i="5" s="1"/>
  <c r="V172" i="5"/>
  <c r="W172" i="5" s="1"/>
  <c r="T172" i="5"/>
  <c r="N172" i="5"/>
  <c r="P172" i="5" s="1"/>
  <c r="X171" i="5"/>
  <c r="AA171" i="5" s="1"/>
  <c r="V171" i="5"/>
  <c r="W171" i="5" s="1"/>
  <c r="T171" i="5"/>
  <c r="N171" i="5"/>
  <c r="O171" i="5" s="1"/>
  <c r="X170" i="5"/>
  <c r="Z170" i="5" s="1"/>
  <c r="V170" i="5"/>
  <c r="W170" i="5" s="1"/>
  <c r="T170" i="5"/>
  <c r="N170" i="5"/>
  <c r="P170" i="5" s="1"/>
  <c r="X169" i="5"/>
  <c r="Z169" i="5" s="1"/>
  <c r="V169" i="5"/>
  <c r="W169" i="5" s="1"/>
  <c r="T169" i="5"/>
  <c r="N169" i="5"/>
  <c r="P169" i="5" s="1"/>
  <c r="X217" i="5"/>
  <c r="Y217" i="5" s="1"/>
  <c r="V217" i="5"/>
  <c r="W217" i="5" s="1"/>
  <c r="T217" i="5"/>
  <c r="N217" i="5"/>
  <c r="P217" i="5" s="1"/>
  <c r="X216" i="5"/>
  <c r="AA216" i="5" s="1"/>
  <c r="V216" i="5"/>
  <c r="W216" i="5" s="1"/>
  <c r="T216" i="5"/>
  <c r="N216" i="5"/>
  <c r="P216" i="5" s="1"/>
  <c r="X182" i="5"/>
  <c r="Y182" i="5" s="1"/>
  <c r="V182" i="5"/>
  <c r="W182" i="5" s="1"/>
  <c r="T182" i="5"/>
  <c r="N182" i="5"/>
  <c r="P182" i="5" s="1"/>
  <c r="X181" i="5"/>
  <c r="AA181" i="5" s="1"/>
  <c r="V181" i="5"/>
  <c r="W181" i="5" s="1"/>
  <c r="T181" i="5"/>
  <c r="N181" i="5"/>
  <c r="P181" i="5" s="1"/>
  <c r="X180" i="5"/>
  <c r="Z180" i="5" s="1"/>
  <c r="V180" i="5"/>
  <c r="W180" i="5" s="1"/>
  <c r="T180" i="5"/>
  <c r="N180" i="5"/>
  <c r="O180" i="5" s="1"/>
  <c r="X179" i="5"/>
  <c r="Z179" i="5" s="1"/>
  <c r="V179" i="5"/>
  <c r="W179" i="5" s="1"/>
  <c r="T179" i="5"/>
  <c r="N179" i="5"/>
  <c r="P179" i="5" s="1"/>
  <c r="X168" i="5"/>
  <c r="Z168" i="5" s="1"/>
  <c r="V168" i="5"/>
  <c r="W168" i="5" s="1"/>
  <c r="T168" i="5"/>
  <c r="N168" i="5"/>
  <c r="O168" i="5" s="1"/>
  <c r="Z166" i="7" l="1"/>
  <c r="Z187" i="7"/>
  <c r="Z193" i="7"/>
  <c r="Z209" i="7"/>
  <c r="Z177" i="7"/>
  <c r="Z96" i="7"/>
  <c r="Z75" i="7"/>
  <c r="R178" i="7"/>
  <c r="R196" i="7"/>
  <c r="R204" i="7"/>
  <c r="Q150" i="7"/>
  <c r="Q194" i="7"/>
  <c r="Z198" i="7"/>
  <c r="Z201" i="7"/>
  <c r="Z173" i="7"/>
  <c r="Z176" i="7"/>
  <c r="Z196" i="7"/>
  <c r="Z204" i="7"/>
  <c r="Z170" i="7"/>
  <c r="Z203" i="7"/>
  <c r="Z207" i="7"/>
  <c r="Z210" i="7"/>
  <c r="Z188" i="7"/>
  <c r="Z178" i="7"/>
  <c r="Z143" i="7"/>
  <c r="R210" i="7"/>
  <c r="Q200" i="7"/>
  <c r="Z206" i="7"/>
  <c r="Z184" i="7"/>
  <c r="Z185" i="7"/>
  <c r="Z186" i="7"/>
  <c r="Q190" i="7"/>
  <c r="Q170" i="7"/>
  <c r="Q212" i="7"/>
  <c r="Q198" i="7"/>
  <c r="Z200" i="7"/>
  <c r="Q177" i="7"/>
  <c r="Q181" i="7"/>
  <c r="R193" i="7"/>
  <c r="R185" i="7"/>
  <c r="Q186" i="7"/>
  <c r="R187" i="7"/>
  <c r="Q188" i="7"/>
  <c r="Z189" i="7"/>
  <c r="R192" i="7"/>
  <c r="Q206" i="7"/>
  <c r="Q184" i="7"/>
  <c r="R139" i="7"/>
  <c r="Q145" i="7"/>
  <c r="Q147" i="7"/>
  <c r="R142" i="7"/>
  <c r="Z136" i="7"/>
  <c r="Z134" i="7"/>
  <c r="Z137" i="7"/>
  <c r="Z140" i="7"/>
  <c r="Z148" i="7"/>
  <c r="Z135" i="7"/>
  <c r="Z138" i="7"/>
  <c r="Z139" i="7"/>
  <c r="Z147" i="7"/>
  <c r="Q207" i="7"/>
  <c r="R207" i="7"/>
  <c r="Q78" i="7"/>
  <c r="R138" i="7"/>
  <c r="Q138" i="7"/>
  <c r="Z199" i="7"/>
  <c r="Z94" i="7"/>
  <c r="Q149" i="7"/>
  <c r="Q201" i="7"/>
  <c r="R201" i="7"/>
  <c r="R136" i="7"/>
  <c r="Q136" i="7"/>
  <c r="R171" i="7"/>
  <c r="Q171" i="7"/>
  <c r="R175" i="7"/>
  <c r="R183" i="7"/>
  <c r="Q183" i="7"/>
  <c r="Z77" i="7"/>
  <c r="Z149" i="7"/>
  <c r="Z150" i="7"/>
  <c r="R167" i="7"/>
  <c r="Q167" i="7"/>
  <c r="Z205" i="7"/>
  <c r="Z191" i="7"/>
  <c r="Z141" i="7"/>
  <c r="Z142" i="7"/>
  <c r="Z169" i="7"/>
  <c r="Z195" i="7"/>
  <c r="Z179" i="7"/>
  <c r="Z190" i="7"/>
  <c r="Z192" i="7"/>
  <c r="Z194" i="7"/>
  <c r="Z144" i="7"/>
  <c r="Z168" i="7"/>
  <c r="Z172" i="7"/>
  <c r="Z183" i="7"/>
  <c r="Q135" i="7"/>
  <c r="Z145" i="7"/>
  <c r="Z146" i="7"/>
  <c r="Z202" i="7"/>
  <c r="Z208" i="7"/>
  <c r="Z174" i="7"/>
  <c r="Z175" i="7"/>
  <c r="Z182" i="7"/>
  <c r="R191" i="7"/>
  <c r="Z215" i="7"/>
  <c r="Z171" i="7"/>
  <c r="Z180" i="7"/>
  <c r="Z181" i="7"/>
  <c r="Q109" i="7"/>
  <c r="Q113" i="7"/>
  <c r="R125" i="7"/>
  <c r="Q103" i="7"/>
  <c r="Q107" i="7"/>
  <c r="Q82" i="7"/>
  <c r="Z89" i="7"/>
  <c r="R92" i="7"/>
  <c r="Q124" i="7"/>
  <c r="Q97" i="7"/>
  <c r="Q101" i="7"/>
  <c r="Q95" i="7"/>
  <c r="Z83" i="7"/>
  <c r="Z87" i="7"/>
  <c r="Q90" i="7"/>
  <c r="Z93" i="7"/>
  <c r="Q115" i="7"/>
  <c r="R56" i="7"/>
  <c r="Q88" i="7"/>
  <c r="R98" i="7"/>
  <c r="Q106" i="7"/>
  <c r="R116" i="7"/>
  <c r="Q50" i="7"/>
  <c r="R51" i="7"/>
  <c r="Q68" i="7"/>
  <c r="Q70" i="7"/>
  <c r="R79" i="7"/>
  <c r="Q80" i="7"/>
  <c r="R104" i="7"/>
  <c r="Q112" i="7"/>
  <c r="Q119" i="7"/>
  <c r="Q44" i="7"/>
  <c r="R45" i="7"/>
  <c r="Q62" i="7"/>
  <c r="R63" i="7"/>
  <c r="Z71" i="7"/>
  <c r="R85" i="7"/>
  <c r="Q86" i="7"/>
  <c r="R73" i="7"/>
  <c r="Q74" i="7"/>
  <c r="Q76" i="7"/>
  <c r="Z81" i="7"/>
  <c r="Q84" i="7"/>
  <c r="Q94" i="7"/>
  <c r="Q100" i="7"/>
  <c r="R110" i="7"/>
  <c r="R57" i="7"/>
  <c r="Q72" i="7"/>
  <c r="R91" i="7"/>
  <c r="Z100" i="7"/>
  <c r="Z102" i="7"/>
  <c r="Z99" i="7"/>
  <c r="Z109" i="7"/>
  <c r="Z110" i="7"/>
  <c r="Z117" i="7"/>
  <c r="Z90" i="7"/>
  <c r="Z91" i="7"/>
  <c r="Z92" i="7"/>
  <c r="Z97" i="7"/>
  <c r="Z98" i="7"/>
  <c r="Z105" i="7"/>
  <c r="Z107" i="7"/>
  <c r="Z115" i="7"/>
  <c r="Z116" i="7"/>
  <c r="Z46" i="7"/>
  <c r="Z49" i="7"/>
  <c r="Z50" i="7"/>
  <c r="Z51" i="7"/>
  <c r="Z54" i="7"/>
  <c r="Z59" i="7"/>
  <c r="Z64" i="7"/>
  <c r="Z67" i="7"/>
  <c r="Z68" i="7"/>
  <c r="Z82" i="7"/>
  <c r="Z76" i="7"/>
  <c r="Z47" i="7"/>
  <c r="Z52" i="7"/>
  <c r="Z55" i="7"/>
  <c r="Z56" i="7"/>
  <c r="Z65" i="7"/>
  <c r="Z84" i="7"/>
  <c r="Z85" i="7"/>
  <c r="Z86" i="7"/>
  <c r="Z101" i="7"/>
  <c r="Z57" i="7"/>
  <c r="Z60" i="7"/>
  <c r="Z72" i="7"/>
  <c r="Z73" i="7"/>
  <c r="Z74" i="7"/>
  <c r="Z124" i="7"/>
  <c r="Z125" i="7"/>
  <c r="Z106" i="7"/>
  <c r="Z108" i="7"/>
  <c r="Z70" i="7"/>
  <c r="Z88" i="7"/>
  <c r="Z112" i="7"/>
  <c r="Z114" i="7"/>
  <c r="Z95" i="7"/>
  <c r="Z103" i="7"/>
  <c r="Z104" i="7"/>
  <c r="Z111" i="7"/>
  <c r="Z113" i="7"/>
  <c r="Z118" i="7"/>
  <c r="Z119" i="7"/>
  <c r="Z44" i="7"/>
  <c r="Z45" i="7"/>
  <c r="Z48" i="7"/>
  <c r="Z53" i="7"/>
  <c r="Z58" i="7"/>
  <c r="Z61" i="7"/>
  <c r="Z62" i="7"/>
  <c r="Z63" i="7"/>
  <c r="Z66" i="7"/>
  <c r="Z78" i="7"/>
  <c r="Z79" i="7"/>
  <c r="Z80" i="7"/>
  <c r="Q189" i="7"/>
  <c r="Q173" i="7"/>
  <c r="R174" i="7"/>
  <c r="Q179" i="7"/>
  <c r="R180" i="7"/>
  <c r="Q176" i="7"/>
  <c r="Q182" i="7"/>
  <c r="Q214" i="7"/>
  <c r="R215" i="7"/>
  <c r="R168" i="7"/>
  <c r="Q169" i="7"/>
  <c r="Q195" i="7"/>
  <c r="Z197" i="7"/>
  <c r="Q199" i="7"/>
  <c r="Q205" i="7"/>
  <c r="Q203" i="7"/>
  <c r="Q209" i="7"/>
  <c r="Z167" i="7"/>
  <c r="Q202" i="7"/>
  <c r="Q208" i="7"/>
  <c r="Z217" i="7"/>
  <c r="Z211" i="7"/>
  <c r="Z212" i="7"/>
  <c r="Q166" i="7"/>
  <c r="Q172" i="7"/>
  <c r="R213" i="7"/>
  <c r="Q211" i="7"/>
  <c r="Q197" i="7"/>
  <c r="Z213" i="7"/>
  <c r="Q165" i="7"/>
  <c r="Q216" i="7"/>
  <c r="Z165" i="7"/>
  <c r="Z214" i="7"/>
  <c r="Z216" i="7"/>
  <c r="Q217" i="7"/>
  <c r="Q146" i="7"/>
  <c r="Q144" i="7"/>
  <c r="Q143" i="7"/>
  <c r="Q137" i="7"/>
  <c r="Q141" i="7"/>
  <c r="Q134" i="7"/>
  <c r="Q140" i="7"/>
  <c r="Q71" i="7"/>
  <c r="Q77" i="7"/>
  <c r="Q83" i="7"/>
  <c r="Q89" i="7"/>
  <c r="Q75" i="7"/>
  <c r="Q81" i="7"/>
  <c r="Q87" i="7"/>
  <c r="Q93" i="7"/>
  <c r="Q46" i="7"/>
  <c r="R47" i="7"/>
  <c r="Q52" i="7"/>
  <c r="R53" i="7"/>
  <c r="Q58" i="7"/>
  <c r="R59" i="7"/>
  <c r="Q64" i="7"/>
  <c r="R65" i="7"/>
  <c r="Q49" i="7"/>
  <c r="Q55" i="7"/>
  <c r="Q61" i="7"/>
  <c r="Q67" i="7"/>
  <c r="Q48" i="7"/>
  <c r="Q54" i="7"/>
  <c r="Q60" i="7"/>
  <c r="Q66" i="7"/>
  <c r="Q96" i="7"/>
  <c r="Q102" i="7"/>
  <c r="Q108" i="7"/>
  <c r="Q114" i="7"/>
  <c r="Q118" i="7"/>
  <c r="Q99" i="7"/>
  <c r="Q105" i="7"/>
  <c r="Q111" i="7"/>
  <c r="Q117" i="7"/>
  <c r="Y55" i="5"/>
  <c r="Z184" i="5"/>
  <c r="AC184" i="5" s="1"/>
  <c r="AD211" i="5"/>
  <c r="O195" i="5"/>
  <c r="O223" i="5"/>
  <c r="AD219" i="5"/>
  <c r="Y211" i="5"/>
  <c r="AB211" i="5" s="1"/>
  <c r="Y187" i="5"/>
  <c r="AB187" i="5" s="1"/>
  <c r="AB218" i="5"/>
  <c r="AA200" i="5"/>
  <c r="AD200" i="5" s="1"/>
  <c r="Y192" i="5"/>
  <c r="AB192" i="5" s="1"/>
  <c r="Y224" i="5"/>
  <c r="AB224" i="5" s="1"/>
  <c r="AA203" i="5"/>
  <c r="AD203" i="5" s="1"/>
  <c r="AD187" i="5"/>
  <c r="AA209" i="5"/>
  <c r="AD209" i="5" s="1"/>
  <c r="Y188" i="5"/>
  <c r="AB188" i="5" s="1"/>
  <c r="Y210" i="5"/>
  <c r="AB210" i="5" s="1"/>
  <c r="AA199" i="5"/>
  <c r="AD199" i="5" s="1"/>
  <c r="Y204" i="5"/>
  <c r="AB204" i="5" s="1"/>
  <c r="Y223" i="5"/>
  <c r="AB223" i="5" s="1"/>
  <c r="AA197" i="5"/>
  <c r="AD197" i="5" s="1"/>
  <c r="AA168" i="5"/>
  <c r="AD168" i="5" s="1"/>
  <c r="Z185" i="5"/>
  <c r="AC185" i="5" s="1"/>
  <c r="AD215" i="5"/>
  <c r="AA218" i="5"/>
  <c r="AD218" i="5" s="1"/>
  <c r="AD208" i="5"/>
  <c r="Y169" i="5"/>
  <c r="AB169" i="5" s="1"/>
  <c r="AA185" i="5"/>
  <c r="AD185" i="5" s="1"/>
  <c r="Z187" i="5"/>
  <c r="AC187" i="5" s="1"/>
  <c r="Z188" i="5"/>
  <c r="AC188" i="5" s="1"/>
  <c r="Y190" i="5"/>
  <c r="AB190" i="5" s="1"/>
  <c r="Y191" i="5"/>
  <c r="AB191" i="5" s="1"/>
  <c r="P218" i="5"/>
  <c r="Y193" i="5"/>
  <c r="AB193" i="5" s="1"/>
  <c r="Z194" i="5"/>
  <c r="AC194" i="5" s="1"/>
  <c r="Z211" i="5"/>
  <c r="AC211" i="5" s="1"/>
  <c r="Y213" i="5"/>
  <c r="AB213" i="5" s="1"/>
  <c r="Z223" i="5"/>
  <c r="AC223" i="5" s="1"/>
  <c r="AA224" i="5"/>
  <c r="AD224" i="5" s="1"/>
  <c r="AA225" i="5"/>
  <c r="AD225" i="5" s="1"/>
  <c r="Y196" i="5"/>
  <c r="AB196" i="5" s="1"/>
  <c r="Y201" i="5"/>
  <c r="AB201" i="5" s="1"/>
  <c r="Y202" i="5"/>
  <c r="AB202" i="5" s="1"/>
  <c r="Y176" i="5"/>
  <c r="AB176" i="5" s="1"/>
  <c r="Y178" i="5"/>
  <c r="AB178" i="5" s="1"/>
  <c r="Z190" i="5"/>
  <c r="AC190" i="5" s="1"/>
  <c r="Z191" i="5"/>
  <c r="AC191" i="5" s="1"/>
  <c r="O219" i="5"/>
  <c r="Y219" i="5"/>
  <c r="AB219" i="5" s="1"/>
  <c r="AA194" i="5"/>
  <c r="AD194" i="5" s="1"/>
  <c r="Y206" i="5"/>
  <c r="AB206" i="5" s="1"/>
  <c r="AD207" i="5"/>
  <c r="Y212" i="5"/>
  <c r="AB212" i="5" s="1"/>
  <c r="P198" i="5"/>
  <c r="P201" i="5"/>
  <c r="Z201" i="5"/>
  <c r="AC201" i="5" s="1"/>
  <c r="AA202" i="5"/>
  <c r="AD202" i="5" s="1"/>
  <c r="Y172" i="5"/>
  <c r="AB172" i="5" s="1"/>
  <c r="Y173" i="5"/>
  <c r="AB173" i="5" s="1"/>
  <c r="Y174" i="5"/>
  <c r="AB174" i="5" s="1"/>
  <c r="AA176" i="5"/>
  <c r="AD176" i="5" s="1"/>
  <c r="AA206" i="5"/>
  <c r="AD206" i="5" s="1"/>
  <c r="Y207" i="5"/>
  <c r="AB207" i="5" s="1"/>
  <c r="Y208" i="5"/>
  <c r="AB208" i="5" s="1"/>
  <c r="O220" i="5"/>
  <c r="Y220" i="5"/>
  <c r="AB220" i="5" s="1"/>
  <c r="Y221" i="5"/>
  <c r="AB221" i="5" s="1"/>
  <c r="AA172" i="5"/>
  <c r="AD172" i="5" s="1"/>
  <c r="Z174" i="5"/>
  <c r="AC174" i="5" s="1"/>
  <c r="Y215" i="5"/>
  <c r="AB215" i="5" s="1"/>
  <c r="Z208" i="5"/>
  <c r="AC208" i="5" s="1"/>
  <c r="AC209" i="5"/>
  <c r="Z220" i="5"/>
  <c r="AC220" i="5" s="1"/>
  <c r="AA221" i="5"/>
  <c r="AD221" i="5" s="1"/>
  <c r="AA222" i="5"/>
  <c r="AD222" i="5" s="1"/>
  <c r="P204" i="5"/>
  <c r="Z204" i="5"/>
  <c r="AC204" i="5" s="1"/>
  <c r="Y205" i="5"/>
  <c r="AB205" i="5" s="1"/>
  <c r="P177" i="5"/>
  <c r="Y184" i="5"/>
  <c r="AB184" i="5" s="1"/>
  <c r="P214" i="5"/>
  <c r="P215" i="5"/>
  <c r="Z215" i="5"/>
  <c r="AC215" i="5" s="1"/>
  <c r="Z218" i="5"/>
  <c r="AC218" i="5" s="1"/>
  <c r="Y209" i="5"/>
  <c r="AB209" i="5" s="1"/>
  <c r="AD210" i="5"/>
  <c r="Y199" i="5"/>
  <c r="AB199" i="5" s="1"/>
  <c r="AA205" i="5"/>
  <c r="AD205" i="5" s="1"/>
  <c r="AC205" i="5"/>
  <c r="AC199" i="5"/>
  <c r="AC197" i="5"/>
  <c r="AD196" i="5"/>
  <c r="AC202" i="5"/>
  <c r="O209" i="5"/>
  <c r="AD195" i="5"/>
  <c r="Z196" i="5"/>
  <c r="AC196" i="5" s="1"/>
  <c r="O197" i="5"/>
  <c r="AD198" i="5"/>
  <c r="O200" i="5"/>
  <c r="AD201" i="5"/>
  <c r="O203" i="5"/>
  <c r="AD204" i="5"/>
  <c r="Y195" i="5"/>
  <c r="AB195" i="5" s="1"/>
  <c r="Y198" i="5"/>
  <c r="AB198" i="5" s="1"/>
  <c r="AC200" i="5"/>
  <c r="AC203" i="5"/>
  <c r="O206" i="5"/>
  <c r="Z195" i="5"/>
  <c r="AC195" i="5" s="1"/>
  <c r="O196" i="5"/>
  <c r="Z198" i="5"/>
  <c r="AC198" i="5" s="1"/>
  <c r="O199" i="5"/>
  <c r="O202" i="5"/>
  <c r="O205" i="5"/>
  <c r="Y197" i="5"/>
  <c r="AB197" i="5" s="1"/>
  <c r="Y200" i="5"/>
  <c r="AB200" i="5" s="1"/>
  <c r="Y203" i="5"/>
  <c r="AB203" i="5" s="1"/>
  <c r="AC224" i="5"/>
  <c r="AC221" i="5"/>
  <c r="P184" i="5"/>
  <c r="P189" i="5"/>
  <c r="P190" i="5"/>
  <c r="AD220" i="5"/>
  <c r="O222" i="5"/>
  <c r="AD223" i="5"/>
  <c r="O225" i="5"/>
  <c r="AC222" i="5"/>
  <c r="AC225" i="5"/>
  <c r="O221" i="5"/>
  <c r="O224" i="5"/>
  <c r="P186" i="5"/>
  <c r="P187" i="5"/>
  <c r="O192" i="5"/>
  <c r="O212" i="5"/>
  <c r="Y222" i="5"/>
  <c r="AB222" i="5" s="1"/>
  <c r="Y225" i="5"/>
  <c r="AB225" i="5" s="1"/>
  <c r="AD193" i="5"/>
  <c r="AD213" i="5"/>
  <c r="AD192" i="5"/>
  <c r="Z193" i="5"/>
  <c r="AC193" i="5" s="1"/>
  <c r="O194" i="5"/>
  <c r="AB194" i="5"/>
  <c r="Z207" i="5"/>
  <c r="AC207" i="5" s="1"/>
  <c r="O208" i="5"/>
  <c r="Z210" i="5"/>
  <c r="AC210" i="5" s="1"/>
  <c r="O211" i="5"/>
  <c r="AD212" i="5"/>
  <c r="Z213" i="5"/>
  <c r="AC213" i="5" s="1"/>
  <c r="Z192" i="5"/>
  <c r="AC192" i="5" s="1"/>
  <c r="O193" i="5"/>
  <c r="O207" i="5"/>
  <c r="O210" i="5"/>
  <c r="Z212" i="5"/>
  <c r="AC212" i="5" s="1"/>
  <c r="O213" i="5"/>
  <c r="AC206" i="5"/>
  <c r="Z219" i="5"/>
  <c r="AC219" i="5" s="1"/>
  <c r="P183" i="5"/>
  <c r="AD188" i="5"/>
  <c r="AD184" i="5"/>
  <c r="AB185" i="5"/>
  <c r="AD190" i="5"/>
  <c r="AD191" i="5"/>
  <c r="AD214" i="5"/>
  <c r="Y183" i="5"/>
  <c r="AB183" i="5" s="1"/>
  <c r="P185" i="5"/>
  <c r="Y186" i="5"/>
  <c r="AB186" i="5" s="1"/>
  <c r="P188" i="5"/>
  <c r="Y189" i="5"/>
  <c r="AB189" i="5" s="1"/>
  <c r="P191" i="5"/>
  <c r="Y214" i="5"/>
  <c r="AB214" i="5" s="1"/>
  <c r="Z183" i="5"/>
  <c r="AC183" i="5" s="1"/>
  <c r="Z186" i="5"/>
  <c r="AC186" i="5" s="1"/>
  <c r="Z189" i="5"/>
  <c r="AC189" i="5" s="1"/>
  <c r="Z214" i="5"/>
  <c r="AC214" i="5" s="1"/>
  <c r="AD183" i="5"/>
  <c r="AD186" i="5"/>
  <c r="AD189" i="5"/>
  <c r="Z182" i="5"/>
  <c r="AC182" i="5" s="1"/>
  <c r="AA169" i="5"/>
  <c r="AD169" i="5" s="1"/>
  <c r="Y170" i="5"/>
  <c r="AB170" i="5" s="1"/>
  <c r="AA173" i="5"/>
  <c r="AD173" i="5" s="1"/>
  <c r="Y177" i="5"/>
  <c r="AB177" i="5" s="1"/>
  <c r="AA182" i="5"/>
  <c r="AD182" i="5" s="1"/>
  <c r="AA170" i="5"/>
  <c r="AD170" i="5" s="1"/>
  <c r="Z177" i="5"/>
  <c r="AC177" i="5" s="1"/>
  <c r="Y216" i="5"/>
  <c r="AB216" i="5" s="1"/>
  <c r="Y171" i="5"/>
  <c r="AB171" i="5" s="1"/>
  <c r="P174" i="5"/>
  <c r="Y51" i="5"/>
  <c r="AB51" i="5" s="1"/>
  <c r="Z53" i="5"/>
  <c r="AC53" i="5" s="1"/>
  <c r="O41" i="5"/>
  <c r="O216" i="5"/>
  <c r="Z216" i="5"/>
  <c r="AC216" i="5" s="1"/>
  <c r="P171" i="5"/>
  <c r="Z171" i="5"/>
  <c r="AC171" i="5" s="1"/>
  <c r="Y175" i="5"/>
  <c r="AB175" i="5" s="1"/>
  <c r="AA48" i="5"/>
  <c r="Y49" i="5"/>
  <c r="AB49" i="5" s="1"/>
  <c r="AA51" i="5"/>
  <c r="AD51" i="5" s="1"/>
  <c r="AA175" i="5"/>
  <c r="AD175" i="5" s="1"/>
  <c r="AD36" i="5"/>
  <c r="P48" i="5"/>
  <c r="P51" i="5"/>
  <c r="P38" i="5"/>
  <c r="AD39" i="5"/>
  <c r="O35" i="5"/>
  <c r="P54" i="5"/>
  <c r="AA47" i="5"/>
  <c r="AD47" i="5" s="1"/>
  <c r="Y35" i="5"/>
  <c r="AB35" i="5" s="1"/>
  <c r="Y54" i="5"/>
  <c r="AB54" i="5" s="1"/>
  <c r="AA35" i="5"/>
  <c r="AD35" i="5" s="1"/>
  <c r="Y36" i="5"/>
  <c r="AB36" i="5" s="1"/>
  <c r="Y37" i="5"/>
  <c r="AB37" i="5" s="1"/>
  <c r="AD40" i="5"/>
  <c r="Y41" i="5"/>
  <c r="AB41" i="5" s="1"/>
  <c r="AA54" i="5"/>
  <c r="AD54" i="5" s="1"/>
  <c r="Z37" i="5"/>
  <c r="AC37" i="5" s="1"/>
  <c r="AA55" i="5"/>
  <c r="AD55" i="5" s="1"/>
  <c r="Y34" i="5"/>
  <c r="AB34" i="5" s="1"/>
  <c r="Y39" i="5"/>
  <c r="AB39" i="5" s="1"/>
  <c r="Y40" i="5"/>
  <c r="AB40" i="5" s="1"/>
  <c r="Y47" i="5"/>
  <c r="AB47" i="5" s="1"/>
  <c r="AA34" i="5"/>
  <c r="AD34" i="5" s="1"/>
  <c r="Z40" i="5"/>
  <c r="AC40" i="5" s="1"/>
  <c r="AC47" i="5"/>
  <c r="AA49" i="5"/>
  <c r="AD49" i="5" s="1"/>
  <c r="Y50" i="5"/>
  <c r="AB50" i="5" s="1"/>
  <c r="AA53" i="5"/>
  <c r="AD53" i="5" s="1"/>
  <c r="AD37" i="5"/>
  <c r="Y38" i="5"/>
  <c r="AB38" i="5" s="1"/>
  <c r="AA50" i="5"/>
  <c r="AD50" i="5" s="1"/>
  <c r="AA38" i="5"/>
  <c r="AD38" i="5" s="1"/>
  <c r="Y52" i="5"/>
  <c r="AB52" i="5" s="1"/>
  <c r="Y48" i="5"/>
  <c r="AB48" i="5" s="1"/>
  <c r="AC50" i="5"/>
  <c r="AA52" i="5"/>
  <c r="AD52" i="5" s="1"/>
  <c r="Y42" i="5"/>
  <c r="AB42" i="5" s="1"/>
  <c r="AD42" i="5"/>
  <c r="AC35" i="5"/>
  <c r="AC38" i="5"/>
  <c r="O34" i="5"/>
  <c r="Z36" i="5"/>
  <c r="AC36" i="5" s="1"/>
  <c r="O37" i="5"/>
  <c r="Z39" i="5"/>
  <c r="AC39" i="5" s="1"/>
  <c r="O40" i="5"/>
  <c r="AD41" i="5"/>
  <c r="Z42" i="5"/>
  <c r="AC42" i="5" s="1"/>
  <c r="AC34" i="5"/>
  <c r="O36" i="5"/>
  <c r="O39" i="5"/>
  <c r="Z41" i="5"/>
  <c r="AC41" i="5" s="1"/>
  <c r="O42" i="5"/>
  <c r="AC48" i="5"/>
  <c r="AC51" i="5"/>
  <c r="AC54" i="5"/>
  <c r="O47" i="5"/>
  <c r="AD48" i="5"/>
  <c r="O50" i="5"/>
  <c r="O53" i="5"/>
  <c r="AB53" i="5"/>
  <c r="O49" i="5"/>
  <c r="O52" i="5"/>
  <c r="O55" i="5"/>
  <c r="AB55" i="5"/>
  <c r="AC49" i="5"/>
  <c r="AC52" i="5"/>
  <c r="AC55" i="5"/>
  <c r="AD178" i="5"/>
  <c r="O170" i="5"/>
  <c r="AD171" i="5"/>
  <c r="O173" i="5"/>
  <c r="AD174" i="5"/>
  <c r="O176" i="5"/>
  <c r="AD177" i="5"/>
  <c r="Z178" i="5"/>
  <c r="AC178" i="5" s="1"/>
  <c r="AC170" i="5"/>
  <c r="AC173" i="5"/>
  <c r="AC176" i="5"/>
  <c r="O169" i="5"/>
  <c r="O172" i="5"/>
  <c r="O175" i="5"/>
  <c r="O178" i="5"/>
  <c r="AC169" i="5"/>
  <c r="AC172" i="5"/>
  <c r="AC175" i="5"/>
  <c r="AD181" i="5"/>
  <c r="AD216" i="5"/>
  <c r="AB217" i="5"/>
  <c r="Z181" i="5"/>
  <c r="AC181" i="5" s="1"/>
  <c r="O182" i="5"/>
  <c r="AB182" i="5"/>
  <c r="Z217" i="5"/>
  <c r="AC217" i="5" s="1"/>
  <c r="AA217" i="5"/>
  <c r="AD217" i="5" s="1"/>
  <c r="Y181" i="5"/>
  <c r="AB181" i="5" s="1"/>
  <c r="O181" i="5"/>
  <c r="O217" i="5"/>
  <c r="Y180" i="5"/>
  <c r="AB180" i="5" s="1"/>
  <c r="Y168" i="5"/>
  <c r="AB168" i="5" s="1"/>
  <c r="P180" i="5"/>
  <c r="AA180" i="5"/>
  <c r="AD180" i="5" s="1"/>
  <c r="Y179" i="5"/>
  <c r="AB179" i="5" s="1"/>
  <c r="AA179" i="5"/>
  <c r="AD179" i="5" s="1"/>
  <c r="P168" i="5"/>
  <c r="AC168" i="5"/>
  <c r="AC180" i="5"/>
  <c r="O179" i="5"/>
  <c r="AC179" i="5"/>
  <c r="A2" i="19" l="1"/>
  <c r="A1" i="19"/>
  <c r="Y164" i="7" l="1"/>
  <c r="W164" i="7"/>
  <c r="X164" i="7" s="1"/>
  <c r="Y163" i="7"/>
  <c r="W163" i="7"/>
  <c r="X163" i="7" s="1"/>
  <c r="Y162" i="7"/>
  <c r="W162" i="7"/>
  <c r="X162" i="7" s="1"/>
  <c r="Y161" i="7"/>
  <c r="W161" i="7"/>
  <c r="X161" i="7" s="1"/>
  <c r="Y160" i="7"/>
  <c r="W160" i="7"/>
  <c r="X160" i="7" s="1"/>
  <c r="Y159" i="7"/>
  <c r="W159" i="7"/>
  <c r="X159" i="7" s="1"/>
  <c r="Y158" i="7"/>
  <c r="W158" i="7"/>
  <c r="X158" i="7" s="1"/>
  <c r="Y157" i="7"/>
  <c r="W157" i="7"/>
  <c r="X157" i="7" s="1"/>
  <c r="Y156" i="7"/>
  <c r="W156" i="7"/>
  <c r="X156" i="7" s="1"/>
  <c r="Y155" i="7"/>
  <c r="W155" i="7"/>
  <c r="X155" i="7" s="1"/>
  <c r="Y154" i="7"/>
  <c r="W154" i="7"/>
  <c r="X154" i="7" s="1"/>
  <c r="Y153" i="7"/>
  <c r="W153" i="7"/>
  <c r="X153" i="7" s="1"/>
  <c r="Y152" i="7"/>
  <c r="W152" i="7"/>
  <c r="X152" i="7" s="1"/>
  <c r="Y151" i="7"/>
  <c r="W151" i="7"/>
  <c r="X151" i="7" s="1"/>
  <c r="Y133" i="7"/>
  <c r="W133" i="7"/>
  <c r="X133" i="7" s="1"/>
  <c r="Y132" i="7"/>
  <c r="W132" i="7"/>
  <c r="X132" i="7" s="1"/>
  <c r="Y131" i="7"/>
  <c r="W131" i="7"/>
  <c r="X131" i="7" s="1"/>
  <c r="Y130" i="7"/>
  <c r="W130" i="7"/>
  <c r="X130" i="7" s="1"/>
  <c r="Y129" i="7"/>
  <c r="W129" i="7"/>
  <c r="X129" i="7" s="1"/>
  <c r="Y128" i="7"/>
  <c r="W128" i="7"/>
  <c r="X128" i="7" s="1"/>
  <c r="Y127" i="7"/>
  <c r="W127" i="7"/>
  <c r="X127" i="7" s="1"/>
  <c r="Y126" i="7"/>
  <c r="W126" i="7"/>
  <c r="X126" i="7" s="1"/>
  <c r="Y123" i="7"/>
  <c r="W123" i="7"/>
  <c r="X123" i="7" s="1"/>
  <c r="Y122" i="7"/>
  <c r="W122" i="7"/>
  <c r="X122" i="7" s="1"/>
  <c r="Y121" i="7"/>
  <c r="W121" i="7"/>
  <c r="X121" i="7" s="1"/>
  <c r="Y120" i="7"/>
  <c r="W120" i="7"/>
  <c r="X120" i="7" s="1"/>
  <c r="Y69" i="7"/>
  <c r="W69" i="7"/>
  <c r="X69" i="7" s="1"/>
  <c r="Y43" i="7"/>
  <c r="W43" i="7"/>
  <c r="X43" i="7" s="1"/>
  <c r="Y42" i="7"/>
  <c r="W42" i="7"/>
  <c r="X42" i="7" s="1"/>
  <c r="Y41" i="7"/>
  <c r="W41" i="7"/>
  <c r="X41" i="7" s="1"/>
  <c r="Y40" i="7"/>
  <c r="W40" i="7"/>
  <c r="X40" i="7" s="1"/>
  <c r="Y39" i="7"/>
  <c r="W39" i="7"/>
  <c r="X39" i="7" s="1"/>
  <c r="Y38" i="7"/>
  <c r="W38" i="7"/>
  <c r="X38" i="7" s="1"/>
  <c r="Y37" i="7"/>
  <c r="W37" i="7"/>
  <c r="X37" i="7" s="1"/>
  <c r="Y36" i="7"/>
  <c r="W36" i="7"/>
  <c r="X36" i="7" s="1"/>
  <c r="Y35" i="7"/>
  <c r="W35" i="7"/>
  <c r="X35" i="7" s="1"/>
  <c r="Y34" i="7"/>
  <c r="W34" i="7"/>
  <c r="X34" i="7" s="1"/>
  <c r="Y33" i="7"/>
  <c r="W33" i="7"/>
  <c r="X33" i="7" s="1"/>
  <c r="Y32" i="7"/>
  <c r="W32" i="7"/>
  <c r="X32" i="7" s="1"/>
  <c r="Y31" i="7"/>
  <c r="W31" i="7"/>
  <c r="X31" i="7" s="1"/>
  <c r="Y30" i="7"/>
  <c r="W30" i="7"/>
  <c r="X30" i="7" s="1"/>
  <c r="Y29" i="7"/>
  <c r="W29" i="7"/>
  <c r="X29" i="7" s="1"/>
  <c r="Y28" i="7"/>
  <c r="W28" i="7"/>
  <c r="X28" i="7" s="1"/>
  <c r="Y27" i="7"/>
  <c r="W27" i="7"/>
  <c r="X27" i="7" s="1"/>
  <c r="Y26" i="7"/>
  <c r="W26" i="7"/>
  <c r="X26" i="7" s="1"/>
  <c r="Y25" i="7"/>
  <c r="W25" i="7"/>
  <c r="X25" i="7" s="1"/>
  <c r="Y24" i="7"/>
  <c r="W24" i="7"/>
  <c r="X24" i="7" s="1"/>
  <c r="Y23" i="7"/>
  <c r="W23" i="7"/>
  <c r="X23" i="7" s="1"/>
  <c r="Y22" i="7"/>
  <c r="W22" i="7"/>
  <c r="X22" i="7" s="1"/>
  <c r="Y21" i="7"/>
  <c r="W21" i="7"/>
  <c r="X21" i="7" s="1"/>
  <c r="Y20" i="7"/>
  <c r="W20" i="7"/>
  <c r="X20" i="7" s="1"/>
  <c r="Y19" i="7"/>
  <c r="W19" i="7"/>
  <c r="X19" i="7" s="1"/>
  <c r="Y18" i="7"/>
  <c r="W18" i="7"/>
  <c r="X18" i="7" s="1"/>
  <c r="K163" i="6"/>
  <c r="L163" i="6" s="1"/>
  <c r="K162" i="6"/>
  <c r="L162" i="6" s="1"/>
  <c r="K161" i="6"/>
  <c r="L161" i="6" s="1"/>
  <c r="K160" i="6"/>
  <c r="L160" i="6" s="1"/>
  <c r="K120" i="6"/>
  <c r="L120" i="6" s="1"/>
  <c r="K106" i="6"/>
  <c r="L106" i="6" s="1"/>
  <c r="K105" i="6"/>
  <c r="L105" i="6" s="1"/>
  <c r="K104" i="6"/>
  <c r="L104" i="6" s="1"/>
  <c r="K103" i="6"/>
  <c r="L103" i="6" s="1"/>
  <c r="K102" i="6"/>
  <c r="L102" i="6" s="1"/>
  <c r="K101" i="6"/>
  <c r="L101" i="6" s="1"/>
  <c r="K100" i="6"/>
  <c r="L100" i="6" s="1"/>
  <c r="K99" i="6"/>
  <c r="L99" i="6" s="1"/>
  <c r="K98" i="6"/>
  <c r="L98" i="6" s="1"/>
  <c r="K97" i="6"/>
  <c r="L97" i="6" s="1"/>
  <c r="K96" i="6"/>
  <c r="L96" i="6" s="1"/>
  <c r="K95" i="6"/>
  <c r="L95" i="6" s="1"/>
  <c r="K94" i="6"/>
  <c r="L94" i="6" s="1"/>
  <c r="K93" i="6"/>
  <c r="L93" i="6" s="1"/>
  <c r="K92" i="6"/>
  <c r="L92" i="6" s="1"/>
  <c r="K91" i="6"/>
  <c r="L91" i="6" s="1"/>
  <c r="K90" i="6"/>
  <c r="L90" i="6" s="1"/>
  <c r="K89" i="6"/>
  <c r="L89" i="6" s="1"/>
  <c r="K88" i="6"/>
  <c r="L88" i="6" s="1"/>
  <c r="K87" i="6"/>
  <c r="L87" i="6" s="1"/>
  <c r="K73" i="6"/>
  <c r="L73" i="6" s="1"/>
  <c r="K59" i="6"/>
  <c r="L59" i="6" s="1"/>
  <c r="K32" i="6"/>
  <c r="L32" i="6" s="1"/>
  <c r="K31" i="6"/>
  <c r="L31" i="6" s="1"/>
  <c r="K30" i="6"/>
  <c r="L30" i="6" s="1"/>
  <c r="K29" i="6"/>
  <c r="L29" i="6" s="1"/>
  <c r="K28" i="6"/>
  <c r="L28" i="6" s="1"/>
  <c r="K27" i="6"/>
  <c r="L27" i="6" s="1"/>
  <c r="K26" i="6"/>
  <c r="L26" i="6" s="1"/>
  <c r="K25" i="6"/>
  <c r="L25" i="6" s="1"/>
  <c r="K24" i="6"/>
  <c r="L24" i="6" s="1"/>
  <c r="K23" i="6"/>
  <c r="L23" i="6" s="1"/>
  <c r="K22" i="6"/>
  <c r="L22" i="6" s="1"/>
  <c r="K21" i="6"/>
  <c r="L21" i="6" s="1"/>
  <c r="K20" i="6"/>
  <c r="L20" i="6" s="1"/>
  <c r="K19" i="6"/>
  <c r="L19" i="6" s="1"/>
  <c r="K18" i="6"/>
  <c r="L18" i="6" s="1"/>
  <c r="AD228" i="5"/>
  <c r="AC228" i="5"/>
  <c r="AB228" i="5"/>
  <c r="W228" i="5"/>
  <c r="X167" i="5"/>
  <c r="V167" i="5"/>
  <c r="W167" i="5" s="1"/>
  <c r="X166" i="5"/>
  <c r="AA166" i="5" s="1"/>
  <c r="V166" i="5"/>
  <c r="W166" i="5" s="1"/>
  <c r="X165" i="5"/>
  <c r="Y165" i="5" s="1"/>
  <c r="V165" i="5"/>
  <c r="W165" i="5" s="1"/>
  <c r="X164" i="5"/>
  <c r="Z164" i="5" s="1"/>
  <c r="V164" i="5"/>
  <c r="W164" i="5" s="1"/>
  <c r="X163" i="5"/>
  <c r="V163" i="5"/>
  <c r="W163" i="5" s="1"/>
  <c r="X162" i="5"/>
  <c r="AA162" i="5" s="1"/>
  <c r="V162" i="5"/>
  <c r="W162" i="5" s="1"/>
  <c r="X161" i="5"/>
  <c r="AA161" i="5" s="1"/>
  <c r="V161" i="5"/>
  <c r="W161" i="5" s="1"/>
  <c r="X160" i="5"/>
  <c r="Z160" i="5" s="1"/>
  <c r="V160" i="5"/>
  <c r="W160" i="5" s="1"/>
  <c r="X159" i="5"/>
  <c r="V159" i="5"/>
  <c r="W159" i="5" s="1"/>
  <c r="X158" i="5"/>
  <c r="Y158" i="5" s="1"/>
  <c r="V158" i="5"/>
  <c r="W158" i="5" s="1"/>
  <c r="X157" i="5"/>
  <c r="Y157" i="5" s="1"/>
  <c r="V157" i="5"/>
  <c r="W157" i="5" s="1"/>
  <c r="X91" i="5"/>
  <c r="V91" i="5"/>
  <c r="W91" i="5" s="1"/>
  <c r="X90" i="5"/>
  <c r="Y90" i="5" s="1"/>
  <c r="V90" i="5"/>
  <c r="W90" i="5" s="1"/>
  <c r="X89" i="5"/>
  <c r="Y89" i="5" s="1"/>
  <c r="V89" i="5"/>
  <c r="W89" i="5" s="1"/>
  <c r="X88" i="5"/>
  <c r="Z88" i="5" s="1"/>
  <c r="V88" i="5"/>
  <c r="W88" i="5" s="1"/>
  <c r="X87" i="5"/>
  <c r="V87" i="5"/>
  <c r="W87" i="5" s="1"/>
  <c r="X86" i="5"/>
  <c r="Y86" i="5" s="1"/>
  <c r="V86" i="5"/>
  <c r="W86" i="5" s="1"/>
  <c r="X85" i="5"/>
  <c r="Y85" i="5" s="1"/>
  <c r="V85" i="5"/>
  <c r="W85" i="5" s="1"/>
  <c r="X84" i="5"/>
  <c r="Z84" i="5" s="1"/>
  <c r="V84" i="5"/>
  <c r="W84" i="5" s="1"/>
  <c r="X83" i="5"/>
  <c r="V83" i="5"/>
  <c r="W83" i="5" s="1"/>
  <c r="X82" i="5"/>
  <c r="Y82" i="5" s="1"/>
  <c r="V82" i="5"/>
  <c r="W82" i="5" s="1"/>
  <c r="X81" i="5"/>
  <c r="Y81" i="5" s="1"/>
  <c r="V81" i="5"/>
  <c r="W81" i="5" s="1"/>
  <c r="X80" i="5"/>
  <c r="Z80" i="5" s="1"/>
  <c r="V80" i="5"/>
  <c r="W80" i="5" s="1"/>
  <c r="X79" i="5"/>
  <c r="V79" i="5"/>
  <c r="W79" i="5" s="1"/>
  <c r="X78" i="5"/>
  <c r="Y78" i="5" s="1"/>
  <c r="V78" i="5"/>
  <c r="W78" i="5" s="1"/>
  <c r="X77" i="5"/>
  <c r="Y77" i="5" s="1"/>
  <c r="V77" i="5"/>
  <c r="W77" i="5" s="1"/>
  <c r="X76" i="5"/>
  <c r="Z76" i="5" s="1"/>
  <c r="V76" i="5"/>
  <c r="W76" i="5" s="1"/>
  <c r="X75" i="5"/>
  <c r="Y75" i="5" s="1"/>
  <c r="V75" i="5"/>
  <c r="W75" i="5" s="1"/>
  <c r="X74" i="5"/>
  <c r="AA74" i="5" s="1"/>
  <c r="V74" i="5"/>
  <c r="W74" i="5" s="1"/>
  <c r="X73" i="5"/>
  <c r="Y73" i="5" s="1"/>
  <c r="V73" i="5"/>
  <c r="W73" i="5" s="1"/>
  <c r="X72" i="5"/>
  <c r="V72" i="5"/>
  <c r="W72" i="5" s="1"/>
  <c r="X71" i="5"/>
  <c r="V71" i="5"/>
  <c r="W71" i="5" s="1"/>
  <c r="X70" i="5"/>
  <c r="Y70" i="5" s="1"/>
  <c r="V70" i="5"/>
  <c r="W70" i="5" s="1"/>
  <c r="X69" i="5"/>
  <c r="Y69" i="5" s="1"/>
  <c r="V69" i="5"/>
  <c r="W69" i="5" s="1"/>
  <c r="X68" i="5"/>
  <c r="AA68" i="5" s="1"/>
  <c r="V68" i="5"/>
  <c r="W68" i="5" s="1"/>
  <c r="X67" i="5"/>
  <c r="V67" i="5"/>
  <c r="W67" i="5" s="1"/>
  <c r="X66" i="5"/>
  <c r="AA66" i="5" s="1"/>
  <c r="V66" i="5"/>
  <c r="W66" i="5" s="1"/>
  <c r="X65" i="5"/>
  <c r="Y65" i="5" s="1"/>
  <c r="V65" i="5"/>
  <c r="W65" i="5" s="1"/>
  <c r="X64" i="5"/>
  <c r="V64" i="5"/>
  <c r="W64" i="5" s="1"/>
  <c r="X63" i="5"/>
  <c r="AA63" i="5" s="1"/>
  <c r="V63" i="5"/>
  <c r="W63" i="5" s="1"/>
  <c r="X62" i="5"/>
  <c r="AA62" i="5" s="1"/>
  <c r="V62" i="5"/>
  <c r="W62" i="5" s="1"/>
  <c r="X61" i="5"/>
  <c r="Y61" i="5" s="1"/>
  <c r="V61" i="5"/>
  <c r="W61" i="5" s="1"/>
  <c r="X60" i="5"/>
  <c r="Z60" i="5" s="1"/>
  <c r="V60" i="5"/>
  <c r="W60" i="5" s="1"/>
  <c r="X59" i="5"/>
  <c r="AA59" i="5" s="1"/>
  <c r="V59" i="5"/>
  <c r="W59" i="5" s="1"/>
  <c r="X58" i="5"/>
  <c r="Z58" i="5" s="1"/>
  <c r="V58" i="5"/>
  <c r="W58" i="5" s="1"/>
  <c r="X57" i="5"/>
  <c r="Y57" i="5" s="1"/>
  <c r="V57" i="5"/>
  <c r="W57" i="5" s="1"/>
  <c r="X56" i="5"/>
  <c r="Z56" i="5" s="1"/>
  <c r="V56" i="5"/>
  <c r="W56" i="5" s="1"/>
  <c r="X46" i="5"/>
  <c r="AA46" i="5" s="1"/>
  <c r="V46" i="5"/>
  <c r="W46" i="5" s="1"/>
  <c r="X45" i="5"/>
  <c r="Y45" i="5" s="1"/>
  <c r="V45" i="5"/>
  <c r="W45" i="5" s="1"/>
  <c r="X44" i="5"/>
  <c r="Y44" i="5" s="1"/>
  <c r="V44" i="5"/>
  <c r="W44" i="5" s="1"/>
  <c r="X43" i="5"/>
  <c r="Z43" i="5" s="1"/>
  <c r="V43" i="5"/>
  <c r="W43" i="5" s="1"/>
  <c r="X33" i="5"/>
  <c r="AA33" i="5" s="1"/>
  <c r="V33" i="5"/>
  <c r="W33" i="5" s="1"/>
  <c r="X32" i="5"/>
  <c r="AA32" i="5" s="1"/>
  <c r="V32" i="5"/>
  <c r="W32" i="5" s="1"/>
  <c r="X31" i="5"/>
  <c r="Y31" i="5" s="1"/>
  <c r="V31" i="5"/>
  <c r="W31" i="5" s="1"/>
  <c r="X30" i="5"/>
  <c r="Z30" i="5" s="1"/>
  <c r="V30" i="5"/>
  <c r="W30" i="5" s="1"/>
  <c r="X29" i="5"/>
  <c r="AA29" i="5" s="1"/>
  <c r="V29" i="5"/>
  <c r="W29" i="5" s="1"/>
  <c r="X28" i="5"/>
  <c r="AA28" i="5" s="1"/>
  <c r="V28" i="5"/>
  <c r="W28" i="5" s="1"/>
  <c r="X27" i="5"/>
  <c r="Y27" i="5" s="1"/>
  <c r="V27" i="5"/>
  <c r="W27" i="5" s="1"/>
  <c r="X26" i="5"/>
  <c r="Z26" i="5" s="1"/>
  <c r="V26" i="5"/>
  <c r="W26" i="5" s="1"/>
  <c r="X25" i="5"/>
  <c r="AA25" i="5" s="1"/>
  <c r="V25" i="5"/>
  <c r="W25" i="5" s="1"/>
  <c r="X24" i="5"/>
  <c r="Z24" i="5" s="1"/>
  <c r="V24" i="5"/>
  <c r="W24" i="5" s="1"/>
  <c r="X23" i="5"/>
  <c r="Y23" i="5" s="1"/>
  <c r="V23" i="5"/>
  <c r="W23" i="5" s="1"/>
  <c r="X22" i="5"/>
  <c r="Z22" i="5" s="1"/>
  <c r="V22" i="5"/>
  <c r="W22" i="5" s="1"/>
  <c r="X21" i="5"/>
  <c r="AA21" i="5" s="1"/>
  <c r="V21" i="5"/>
  <c r="W21" i="5" s="1"/>
  <c r="X20" i="5"/>
  <c r="Y20" i="5" s="1"/>
  <c r="V20" i="5"/>
  <c r="W20" i="5" s="1"/>
  <c r="X19" i="5"/>
  <c r="Y19" i="5" s="1"/>
  <c r="V19" i="5"/>
  <c r="W19" i="5" s="1"/>
  <c r="X18" i="5"/>
  <c r="Y18" i="5" s="1"/>
  <c r="V18" i="5"/>
  <c r="W18" i="5" s="1"/>
  <c r="Z133" i="7" l="1"/>
  <c r="Z156" i="7"/>
  <c r="Z152" i="7"/>
  <c r="Z128" i="7"/>
  <c r="Z159" i="7"/>
  <c r="Z157" i="7"/>
  <c r="Z163" i="7"/>
  <c r="Z131" i="7"/>
  <c r="Z161" i="7"/>
  <c r="Z122" i="7"/>
  <c r="Z126" i="7"/>
  <c r="Z32" i="7"/>
  <c r="Z40" i="7"/>
  <c r="Z36" i="7"/>
  <c r="Z69" i="7"/>
  <c r="AA86" i="5"/>
  <c r="AD86" i="5" s="1"/>
  <c r="AA157" i="5"/>
  <c r="AD157" i="5" s="1"/>
  <c r="Z154" i="7"/>
  <c r="AD74" i="5"/>
  <c r="AA78" i="5"/>
  <c r="AD78" i="5" s="1"/>
  <c r="Z130" i="7"/>
  <c r="Z132" i="7"/>
  <c r="Z151" i="7"/>
  <c r="Z158" i="7"/>
  <c r="Z160" i="7"/>
  <c r="Z127" i="7"/>
  <c r="Z129" i="7"/>
  <c r="Z153" i="7"/>
  <c r="Z155" i="7"/>
  <c r="Z162" i="7"/>
  <c r="Z164" i="7"/>
  <c r="Z19" i="7"/>
  <c r="Z21" i="7"/>
  <c r="Z23" i="7"/>
  <c r="Z25" i="7"/>
  <c r="Z27" i="7"/>
  <c r="Z29" i="7"/>
  <c r="Z31" i="7"/>
  <c r="Z35" i="7"/>
  <c r="Z39" i="7"/>
  <c r="Z43" i="7"/>
  <c r="Z34" i="7"/>
  <c r="Z38" i="7"/>
  <c r="Z42" i="7"/>
  <c r="Z121" i="7"/>
  <c r="Z123" i="7"/>
  <c r="Z18" i="7"/>
  <c r="Z33" i="7"/>
  <c r="Z37" i="7"/>
  <c r="Z41" i="7"/>
  <c r="Z120" i="7"/>
  <c r="Z20" i="7"/>
  <c r="Z22" i="7"/>
  <c r="Z24" i="7"/>
  <c r="Z26" i="7"/>
  <c r="Z28" i="7"/>
  <c r="Z30" i="7"/>
  <c r="X219" i="7"/>
  <c r="F8" i="20" s="1"/>
  <c r="L226" i="6"/>
  <c r="F7" i="20" s="1"/>
  <c r="Z161" i="5"/>
  <c r="AC161" i="5" s="1"/>
  <c r="Y166" i="5"/>
  <c r="AB166" i="5" s="1"/>
  <c r="AA158" i="5"/>
  <c r="AD158" i="5" s="1"/>
  <c r="Z158" i="5"/>
  <c r="AC158" i="5" s="1"/>
  <c r="AA160" i="5"/>
  <c r="AD160" i="5" s="1"/>
  <c r="Z166" i="5"/>
  <c r="AC166" i="5" s="1"/>
  <c r="AD63" i="5"/>
  <c r="AA85" i="5"/>
  <c r="AD85" i="5" s="1"/>
  <c r="AA19" i="5"/>
  <c r="AD19" i="5" s="1"/>
  <c r="AA45" i="5"/>
  <c r="AD45" i="5" s="1"/>
  <c r="AA77" i="5"/>
  <c r="AD77" i="5" s="1"/>
  <c r="Y32" i="5"/>
  <c r="AB32" i="5" s="1"/>
  <c r="AA82" i="5"/>
  <c r="AD82" i="5" s="1"/>
  <c r="AA90" i="5"/>
  <c r="AD90" i="5" s="1"/>
  <c r="AA24" i="5"/>
  <c r="AD24" i="5" s="1"/>
  <c r="Z31" i="5"/>
  <c r="AC31" i="5" s="1"/>
  <c r="Z45" i="5"/>
  <c r="AC45" i="5" s="1"/>
  <c r="AA81" i="5"/>
  <c r="AD81" i="5" s="1"/>
  <c r="AA89" i="5"/>
  <c r="AD89" i="5" s="1"/>
  <c r="AA31" i="5"/>
  <c r="AD31" i="5" s="1"/>
  <c r="Z32" i="5"/>
  <c r="AC32" i="5" s="1"/>
  <c r="AA44" i="5"/>
  <c r="AD44" i="5" s="1"/>
  <c r="AA76" i="5"/>
  <c r="AD76" i="5" s="1"/>
  <c r="AA80" i="5"/>
  <c r="AD80" i="5" s="1"/>
  <c r="AA84" i="5"/>
  <c r="AD84" i="5" s="1"/>
  <c r="AA88" i="5"/>
  <c r="AD88" i="5" s="1"/>
  <c r="Z20" i="5"/>
  <c r="AC20" i="5" s="1"/>
  <c r="AA43" i="5"/>
  <c r="AD43" i="5" s="1"/>
  <c r="AA58" i="5"/>
  <c r="AD58" i="5" s="1"/>
  <c r="Z65" i="5"/>
  <c r="AC65" i="5" s="1"/>
  <c r="Y66" i="5"/>
  <c r="AB66" i="5" s="1"/>
  <c r="Z70" i="5"/>
  <c r="AC70" i="5" s="1"/>
  <c r="AA20" i="5"/>
  <c r="AD20" i="5" s="1"/>
  <c r="AA65" i="5"/>
  <c r="AD65" i="5" s="1"/>
  <c r="Z66" i="5"/>
  <c r="AC66" i="5" s="1"/>
  <c r="AA69" i="5"/>
  <c r="AD69" i="5" s="1"/>
  <c r="AA70" i="5"/>
  <c r="AD70" i="5" s="1"/>
  <c r="Z78" i="5"/>
  <c r="AC78" i="5" s="1"/>
  <c r="Z82" i="5"/>
  <c r="AC82" i="5" s="1"/>
  <c r="Z86" i="5"/>
  <c r="AC86" i="5" s="1"/>
  <c r="Z90" i="5"/>
  <c r="AC90" i="5" s="1"/>
  <c r="AA30" i="5"/>
  <c r="AD30" i="5" s="1"/>
  <c r="AB70" i="5"/>
  <c r="Z165" i="5"/>
  <c r="AC165" i="5" s="1"/>
  <c r="Z18" i="5"/>
  <c r="AC18" i="5" s="1"/>
  <c r="Z23" i="5"/>
  <c r="AC23" i="5" s="1"/>
  <c r="Y24" i="5"/>
  <c r="AB24" i="5" s="1"/>
  <c r="AA26" i="5"/>
  <c r="AD26" i="5" s="1"/>
  <c r="AA27" i="5"/>
  <c r="AD27" i="5" s="1"/>
  <c r="Z28" i="5"/>
  <c r="AC28" i="5" s="1"/>
  <c r="Z57" i="5"/>
  <c r="AC57" i="5" s="1"/>
  <c r="Y58" i="5"/>
  <c r="AB58" i="5" s="1"/>
  <c r="AA60" i="5"/>
  <c r="AD60" i="5" s="1"/>
  <c r="AA61" i="5"/>
  <c r="AD61" i="5" s="1"/>
  <c r="Z62" i="5"/>
  <c r="AC62" i="5" s="1"/>
  <c r="AA73" i="5"/>
  <c r="AD73" i="5" s="1"/>
  <c r="Z74" i="5"/>
  <c r="AC74" i="5" s="1"/>
  <c r="AB75" i="5"/>
  <c r="AA164" i="5"/>
  <c r="AD164" i="5" s="1"/>
  <c r="W227" i="5"/>
  <c r="F6" i="20" s="1"/>
  <c r="Z27" i="5"/>
  <c r="AC27" i="5" s="1"/>
  <c r="Y28" i="5"/>
  <c r="AB28" i="5" s="1"/>
  <c r="Z61" i="5"/>
  <c r="AC61" i="5" s="1"/>
  <c r="Y62" i="5"/>
  <c r="AB62" i="5" s="1"/>
  <c r="Z73" i="5"/>
  <c r="AC73" i="5" s="1"/>
  <c r="Y74" i="5"/>
  <c r="AB74" i="5" s="1"/>
  <c r="AA18" i="5"/>
  <c r="AD18" i="5" s="1"/>
  <c r="Z19" i="5"/>
  <c r="AC19" i="5" s="1"/>
  <c r="AA22" i="5"/>
  <c r="AD22" i="5" s="1"/>
  <c r="AA23" i="5"/>
  <c r="AD23" i="5" s="1"/>
  <c r="Z44" i="5"/>
  <c r="AC44" i="5" s="1"/>
  <c r="AA56" i="5"/>
  <c r="AD56" i="5" s="1"/>
  <c r="AA57" i="5"/>
  <c r="AD57" i="5" s="1"/>
  <c r="Z69" i="5"/>
  <c r="AC69" i="5" s="1"/>
  <c r="Z77" i="5"/>
  <c r="AC77" i="5" s="1"/>
  <c r="Z81" i="5"/>
  <c r="AC81" i="5" s="1"/>
  <c r="Z85" i="5"/>
  <c r="AC85" i="5" s="1"/>
  <c r="Z89" i="5"/>
  <c r="AC89" i="5" s="1"/>
  <c r="Z157" i="5"/>
  <c r="AC157" i="5" s="1"/>
  <c r="Y161" i="5"/>
  <c r="AB161" i="5" s="1"/>
  <c r="Y162" i="5"/>
  <c r="AB162" i="5" s="1"/>
  <c r="AB18" i="5"/>
  <c r="AB61" i="5"/>
  <c r="AB57" i="5"/>
  <c r="AC58" i="5"/>
  <c r="AD28" i="5"/>
  <c r="AD33" i="5"/>
  <c r="AB23" i="5"/>
  <c r="AB19" i="5"/>
  <c r="AB20" i="5"/>
  <c r="AD25" i="5"/>
  <c r="AB44" i="5"/>
  <c r="AB45" i="5"/>
  <c r="AD59" i="5"/>
  <c r="AB69" i="5"/>
  <c r="AB27" i="5"/>
  <c r="AD62" i="5"/>
  <c r="AB73" i="5"/>
  <c r="AC24" i="5"/>
  <c r="AD29" i="5"/>
  <c r="AD21" i="5"/>
  <c r="AB31" i="5"/>
  <c r="AD32" i="5"/>
  <c r="AD46" i="5"/>
  <c r="Z64" i="5"/>
  <c r="AC64" i="5" s="1"/>
  <c r="Y64" i="5"/>
  <c r="AB64" i="5" s="1"/>
  <c r="AA71" i="5"/>
  <c r="AD71" i="5" s="1"/>
  <c r="Z71" i="5"/>
  <c r="AC71" i="5" s="1"/>
  <c r="Y21" i="5"/>
  <c r="AB21" i="5" s="1"/>
  <c r="Y25" i="5"/>
  <c r="AB25" i="5" s="1"/>
  <c r="Y29" i="5"/>
  <c r="AB29" i="5" s="1"/>
  <c r="Y33" i="5"/>
  <c r="AB33" i="5" s="1"/>
  <c r="Y46" i="5"/>
  <c r="AB46" i="5" s="1"/>
  <c r="Y59" i="5"/>
  <c r="AB59" i="5" s="1"/>
  <c r="AA64" i="5"/>
  <c r="AD64" i="5" s="1"/>
  <c r="AA67" i="5"/>
  <c r="AD67" i="5" s="1"/>
  <c r="Z67" i="5"/>
  <c r="AC67" i="5" s="1"/>
  <c r="Y71" i="5"/>
  <c r="AB71" i="5" s="1"/>
  <c r="AC80" i="5"/>
  <c r="AB82" i="5"/>
  <c r="AC88" i="5"/>
  <c r="AB90" i="5"/>
  <c r="AB89" i="5"/>
  <c r="Z25" i="5"/>
  <c r="AC25" i="5" s="1"/>
  <c r="Y26" i="5"/>
  <c r="AB26" i="5" s="1"/>
  <c r="AC26" i="5"/>
  <c r="Z29" i="5"/>
  <c r="AC29" i="5" s="1"/>
  <c r="Y30" i="5"/>
  <c r="AB30" i="5" s="1"/>
  <c r="AC30" i="5"/>
  <c r="Z33" i="5"/>
  <c r="AC33" i="5" s="1"/>
  <c r="Y43" i="5"/>
  <c r="AB43" i="5" s="1"/>
  <c r="AC43" i="5"/>
  <c r="Z46" i="5"/>
  <c r="AC46" i="5" s="1"/>
  <c r="Y56" i="5"/>
  <c r="AB56" i="5" s="1"/>
  <c r="AC56" i="5"/>
  <c r="Z59" i="5"/>
  <c r="AC59" i="5" s="1"/>
  <c r="Y60" i="5"/>
  <c r="AB60" i="5" s="1"/>
  <c r="AC60" i="5"/>
  <c r="Y63" i="5"/>
  <c r="AB63" i="5" s="1"/>
  <c r="Y67" i="5"/>
  <c r="AB67" i="5" s="1"/>
  <c r="AD68" i="5"/>
  <c r="Z72" i="5"/>
  <c r="AC72" i="5" s="1"/>
  <c r="Y72" i="5"/>
  <c r="AB72" i="5" s="1"/>
  <c r="AB77" i="5"/>
  <c r="AA79" i="5"/>
  <c r="AD79" i="5" s="1"/>
  <c r="Z79" i="5"/>
  <c r="AC79" i="5" s="1"/>
  <c r="Y79" i="5"/>
  <c r="AB79" i="5" s="1"/>
  <c r="AB85" i="5"/>
  <c r="AA87" i="5"/>
  <c r="AD87" i="5" s="1"/>
  <c r="Z87" i="5"/>
  <c r="AC87" i="5" s="1"/>
  <c r="Y87" i="5"/>
  <c r="AB87" i="5" s="1"/>
  <c r="AB157" i="5"/>
  <c r="Z159" i="5"/>
  <c r="AC159" i="5" s="1"/>
  <c r="AA159" i="5"/>
  <c r="AD159" i="5" s="1"/>
  <c r="Y159" i="5"/>
  <c r="AB159" i="5" s="1"/>
  <c r="AB65" i="5"/>
  <c r="AB81" i="5"/>
  <c r="AA83" i="5"/>
  <c r="AD83" i="5" s="1"/>
  <c r="Z83" i="5"/>
  <c r="AC83" i="5" s="1"/>
  <c r="Y83" i="5"/>
  <c r="AB83" i="5" s="1"/>
  <c r="AA91" i="5"/>
  <c r="AD91" i="5" s="1"/>
  <c r="Z91" i="5"/>
  <c r="AC91" i="5" s="1"/>
  <c r="Y91" i="5"/>
  <c r="AB91" i="5" s="1"/>
  <c r="Z21" i="5"/>
  <c r="AC21" i="5" s="1"/>
  <c r="Y22" i="5"/>
  <c r="AB22" i="5" s="1"/>
  <c r="AC22" i="5"/>
  <c r="Z63" i="5"/>
  <c r="AC63" i="5" s="1"/>
  <c r="AD66" i="5"/>
  <c r="Z68" i="5"/>
  <c r="AC68" i="5" s="1"/>
  <c r="Y68" i="5"/>
  <c r="AB68" i="5" s="1"/>
  <c r="AA72" i="5"/>
  <c r="AD72" i="5" s="1"/>
  <c r="AA75" i="5"/>
  <c r="AD75" i="5" s="1"/>
  <c r="Z75" i="5"/>
  <c r="AC75" i="5" s="1"/>
  <c r="AC76" i="5"/>
  <c r="AB78" i="5"/>
  <c r="AC84" i="5"/>
  <c r="AB86" i="5"/>
  <c r="AB158" i="5"/>
  <c r="AD161" i="5"/>
  <c r="AC160" i="5"/>
  <c r="AD162" i="5"/>
  <c r="AB165" i="5"/>
  <c r="AD166" i="5"/>
  <c r="Y76" i="5"/>
  <c r="AB76" i="5" s="1"/>
  <c r="Y80" i="5"/>
  <c r="AB80" i="5" s="1"/>
  <c r="Y84" i="5"/>
  <c r="AB84" i="5" s="1"/>
  <c r="Y88" i="5"/>
  <c r="AB88" i="5" s="1"/>
  <c r="AC164" i="5"/>
  <c r="AA163" i="5"/>
  <c r="AD163" i="5" s="1"/>
  <c r="Z163" i="5"/>
  <c r="AC163" i="5" s="1"/>
  <c r="Y163" i="5"/>
  <c r="AB163" i="5" s="1"/>
  <c r="AA167" i="5"/>
  <c r="AD167" i="5" s="1"/>
  <c r="Z167" i="5"/>
  <c r="AC167" i="5" s="1"/>
  <c r="Y167" i="5"/>
  <c r="AB167" i="5" s="1"/>
  <c r="Z162" i="5"/>
  <c r="AC162" i="5" s="1"/>
  <c r="AA165" i="5"/>
  <c r="AD165" i="5" s="1"/>
  <c r="Y160" i="5"/>
  <c r="AB160" i="5" s="1"/>
  <c r="Y164" i="5"/>
  <c r="AB164" i="5" s="1"/>
  <c r="F20" i="20"/>
  <c r="I14" i="20"/>
  <c r="F9" i="20"/>
  <c r="Z219" i="7" l="1"/>
  <c r="F19" i="20" s="1"/>
  <c r="AD227" i="5"/>
  <c r="F18" i="20" s="1"/>
  <c r="AC227" i="5"/>
  <c r="F17" i="20" s="1"/>
  <c r="AB227" i="5"/>
  <c r="F16" i="20" s="1"/>
  <c r="V164" i="7"/>
  <c r="P164" i="7"/>
  <c r="Q164" i="7" s="1"/>
  <c r="V163" i="7"/>
  <c r="P163" i="7"/>
  <c r="V162" i="7"/>
  <c r="P162" i="7"/>
  <c r="V161" i="7"/>
  <c r="P161" i="7"/>
  <c r="Q161" i="7" s="1"/>
  <c r="V160" i="7"/>
  <c r="P160" i="7"/>
  <c r="R160" i="7" s="1"/>
  <c r="V159" i="7"/>
  <c r="P159" i="7"/>
  <c r="R159" i="7" s="1"/>
  <c r="V158" i="7"/>
  <c r="P158" i="7"/>
  <c r="V157" i="7"/>
  <c r="P157" i="7"/>
  <c r="Q157" i="7" s="1"/>
  <c r="V156" i="7"/>
  <c r="P156" i="7"/>
  <c r="R156" i="7" s="1"/>
  <c r="V155" i="7"/>
  <c r="P155" i="7"/>
  <c r="V154" i="7"/>
  <c r="P154" i="7"/>
  <c r="Q154" i="7" s="1"/>
  <c r="V153" i="7"/>
  <c r="P153" i="7"/>
  <c r="R153" i="7" s="1"/>
  <c r="V152" i="7"/>
  <c r="P152" i="7"/>
  <c r="R152" i="7" s="1"/>
  <c r="V151" i="7"/>
  <c r="P151" i="7"/>
  <c r="V133" i="7"/>
  <c r="P133" i="7"/>
  <c r="R133" i="7" s="1"/>
  <c r="V132" i="7"/>
  <c r="P132" i="7"/>
  <c r="V131" i="7"/>
  <c r="P131" i="7"/>
  <c r="Q131" i="7" s="1"/>
  <c r="V130" i="7"/>
  <c r="P130" i="7"/>
  <c r="R130" i="7" s="1"/>
  <c r="V129" i="7"/>
  <c r="P129" i="7"/>
  <c r="R129" i="7" s="1"/>
  <c r="V128" i="7"/>
  <c r="P128" i="7"/>
  <c r="V127" i="7"/>
  <c r="P127" i="7"/>
  <c r="Q127" i="7" s="1"/>
  <c r="V126" i="7"/>
  <c r="P126" i="7"/>
  <c r="R126" i="7" s="1"/>
  <c r="V123" i="7"/>
  <c r="P123" i="7"/>
  <c r="R123" i="7" s="1"/>
  <c r="V122" i="7"/>
  <c r="P122" i="7"/>
  <c r="V121" i="7"/>
  <c r="P121" i="7"/>
  <c r="Q121" i="7" s="1"/>
  <c r="V120" i="7"/>
  <c r="P120" i="7"/>
  <c r="R120" i="7" s="1"/>
  <c r="V69" i="7"/>
  <c r="P69" i="7"/>
  <c r="R69" i="7" s="1"/>
  <c r="V43" i="7"/>
  <c r="P43" i="7"/>
  <c r="V42" i="7"/>
  <c r="P42" i="7"/>
  <c r="Q42" i="7" s="1"/>
  <c r="V41" i="7"/>
  <c r="P41" i="7"/>
  <c r="R41" i="7" s="1"/>
  <c r="V40" i="7"/>
  <c r="P40" i="7"/>
  <c r="R40" i="7" s="1"/>
  <c r="V39" i="7"/>
  <c r="P39" i="7"/>
  <c r="V38" i="7"/>
  <c r="P38" i="7"/>
  <c r="Q38" i="7" s="1"/>
  <c r="V37" i="7"/>
  <c r="P37" i="7"/>
  <c r="R37" i="7" s="1"/>
  <c r="V36" i="7"/>
  <c r="P36" i="7"/>
  <c r="R36" i="7" s="1"/>
  <c r="V35" i="7"/>
  <c r="P35" i="7"/>
  <c r="V34" i="7"/>
  <c r="P34" i="7"/>
  <c r="Q34" i="7" s="1"/>
  <c r="V33" i="7"/>
  <c r="P33" i="7"/>
  <c r="R33" i="7" s="1"/>
  <c r="V32" i="7"/>
  <c r="P32" i="7"/>
  <c r="R32" i="7" s="1"/>
  <c r="V31" i="7"/>
  <c r="P31" i="7"/>
  <c r="V30" i="7"/>
  <c r="P30" i="7"/>
  <c r="Q30" i="7" s="1"/>
  <c r="V29" i="7"/>
  <c r="P29" i="7"/>
  <c r="R29" i="7" s="1"/>
  <c r="V28" i="7"/>
  <c r="P28" i="7"/>
  <c r="R28" i="7" s="1"/>
  <c r="V27" i="7"/>
  <c r="P27" i="7"/>
  <c r="V26" i="7"/>
  <c r="P26" i="7"/>
  <c r="Q26" i="7" s="1"/>
  <c r="V25" i="7"/>
  <c r="P25" i="7"/>
  <c r="R25" i="7" s="1"/>
  <c r="V24" i="7"/>
  <c r="P24" i="7"/>
  <c r="R24" i="7" s="1"/>
  <c r="V23" i="7"/>
  <c r="P23" i="7"/>
  <c r="V22" i="7"/>
  <c r="P22" i="7"/>
  <c r="Q22" i="7" s="1"/>
  <c r="V21" i="7"/>
  <c r="P21" i="7"/>
  <c r="R21" i="7" s="1"/>
  <c r="V20" i="7"/>
  <c r="P20" i="7"/>
  <c r="R20" i="7" s="1"/>
  <c r="V19" i="7"/>
  <c r="P19" i="7"/>
  <c r="V18" i="7"/>
  <c r="P18" i="7"/>
  <c r="Q18" i="7" s="1"/>
  <c r="J163" i="6"/>
  <c r="J162" i="6"/>
  <c r="J161" i="6"/>
  <c r="J160" i="6"/>
  <c r="J120" i="6"/>
  <c r="J106" i="6"/>
  <c r="J105" i="6"/>
  <c r="J104" i="6"/>
  <c r="J103" i="6"/>
  <c r="J102" i="6"/>
  <c r="J101" i="6"/>
  <c r="J100" i="6"/>
  <c r="J99" i="6"/>
  <c r="J98" i="6"/>
  <c r="J97" i="6"/>
  <c r="J96" i="6"/>
  <c r="J95" i="6"/>
  <c r="J94" i="6"/>
  <c r="J93" i="6"/>
  <c r="J92" i="6"/>
  <c r="J91" i="6"/>
  <c r="J90" i="6"/>
  <c r="J89" i="6"/>
  <c r="J88" i="6"/>
  <c r="J87" i="6"/>
  <c r="J73" i="6"/>
  <c r="J59" i="6"/>
  <c r="J32" i="6"/>
  <c r="J31" i="6"/>
  <c r="J30" i="6"/>
  <c r="J29" i="6"/>
  <c r="J28" i="6"/>
  <c r="J27" i="6"/>
  <c r="J26" i="6"/>
  <c r="J25" i="6"/>
  <c r="J24" i="6"/>
  <c r="J23" i="6"/>
  <c r="J22" i="6"/>
  <c r="J21" i="6"/>
  <c r="J20" i="6"/>
  <c r="J19" i="6"/>
  <c r="J18" i="6"/>
  <c r="T167" i="5"/>
  <c r="N167" i="5"/>
  <c r="T166" i="5"/>
  <c r="N166" i="5"/>
  <c r="O166" i="5" s="1"/>
  <c r="T165" i="5"/>
  <c r="N165" i="5"/>
  <c r="P165" i="5" s="1"/>
  <c r="T164" i="5"/>
  <c r="N164" i="5"/>
  <c r="P164" i="5" s="1"/>
  <c r="T163" i="5"/>
  <c r="N163" i="5"/>
  <c r="T162" i="5"/>
  <c r="N162" i="5"/>
  <c r="O162" i="5" s="1"/>
  <c r="T161" i="5"/>
  <c r="N161" i="5"/>
  <c r="P161" i="5" s="1"/>
  <c r="T160" i="5"/>
  <c r="N160" i="5"/>
  <c r="P160" i="5" s="1"/>
  <c r="T159" i="5"/>
  <c r="N159" i="5"/>
  <c r="T158" i="5"/>
  <c r="N158" i="5"/>
  <c r="O158" i="5" s="1"/>
  <c r="T157" i="5"/>
  <c r="P157" i="5"/>
  <c r="T91" i="5"/>
  <c r="N91" i="5"/>
  <c r="T90" i="5"/>
  <c r="N90" i="5"/>
  <c r="O90" i="5" s="1"/>
  <c r="T89" i="5"/>
  <c r="N89" i="5"/>
  <c r="P89" i="5" s="1"/>
  <c r="T88" i="5"/>
  <c r="N88" i="5"/>
  <c r="P88" i="5" s="1"/>
  <c r="T87" i="5"/>
  <c r="N87" i="5"/>
  <c r="T86" i="5"/>
  <c r="N86" i="5"/>
  <c r="O86" i="5" s="1"/>
  <c r="T85" i="5"/>
  <c r="N85" i="5"/>
  <c r="P85" i="5" s="1"/>
  <c r="T84" i="5"/>
  <c r="N84" i="5"/>
  <c r="P84" i="5" s="1"/>
  <c r="T83" i="5"/>
  <c r="N83" i="5"/>
  <c r="T82" i="5"/>
  <c r="N82" i="5"/>
  <c r="O82" i="5" s="1"/>
  <c r="T81" i="5"/>
  <c r="N81" i="5"/>
  <c r="P81" i="5" s="1"/>
  <c r="T80" i="5"/>
  <c r="N80" i="5"/>
  <c r="P80" i="5" s="1"/>
  <c r="T79" i="5"/>
  <c r="N79" i="5"/>
  <c r="T78" i="5"/>
  <c r="N78" i="5"/>
  <c r="O78" i="5" s="1"/>
  <c r="T77" i="5"/>
  <c r="N77" i="5"/>
  <c r="P77" i="5" s="1"/>
  <c r="T76" i="5"/>
  <c r="N76" i="5"/>
  <c r="P76" i="5" s="1"/>
  <c r="T75" i="5"/>
  <c r="N75" i="5"/>
  <c r="T74" i="5"/>
  <c r="N74" i="5"/>
  <c r="O74" i="5" s="1"/>
  <c r="T73" i="5"/>
  <c r="N73" i="5"/>
  <c r="P73" i="5" s="1"/>
  <c r="T72" i="5"/>
  <c r="N72" i="5"/>
  <c r="P72" i="5" s="1"/>
  <c r="T71" i="5"/>
  <c r="N71" i="5"/>
  <c r="T70" i="5"/>
  <c r="N70" i="5"/>
  <c r="O70" i="5" s="1"/>
  <c r="T69" i="5"/>
  <c r="N69" i="5"/>
  <c r="P69" i="5" s="1"/>
  <c r="T68" i="5"/>
  <c r="N68" i="5"/>
  <c r="P68" i="5" s="1"/>
  <c r="T67" i="5"/>
  <c r="N67" i="5"/>
  <c r="P67" i="5" s="1"/>
  <c r="T66" i="5"/>
  <c r="N66" i="5"/>
  <c r="O66" i="5" s="1"/>
  <c r="T65" i="5"/>
  <c r="N65" i="5"/>
  <c r="P65" i="5" s="1"/>
  <c r="T64" i="5"/>
  <c r="N64" i="5"/>
  <c r="P64" i="5" s="1"/>
  <c r="T63" i="5"/>
  <c r="N63" i="5"/>
  <c r="P63" i="5" s="1"/>
  <c r="T62" i="5"/>
  <c r="N62" i="5"/>
  <c r="O62" i="5" s="1"/>
  <c r="T61" i="5"/>
  <c r="N61" i="5"/>
  <c r="P61" i="5" s="1"/>
  <c r="T60" i="5"/>
  <c r="N60" i="5"/>
  <c r="P60" i="5" s="1"/>
  <c r="T59" i="5"/>
  <c r="N59" i="5"/>
  <c r="P59" i="5" s="1"/>
  <c r="T58" i="5"/>
  <c r="N58" i="5"/>
  <c r="O58" i="5" s="1"/>
  <c r="T57" i="5"/>
  <c r="N57" i="5"/>
  <c r="P57" i="5" s="1"/>
  <c r="T56" i="5"/>
  <c r="N56" i="5"/>
  <c r="P56" i="5" s="1"/>
  <c r="T46" i="5"/>
  <c r="N46" i="5"/>
  <c r="P46" i="5" s="1"/>
  <c r="T45" i="5"/>
  <c r="N45" i="5"/>
  <c r="O45" i="5" s="1"/>
  <c r="T44" i="5"/>
  <c r="N44" i="5"/>
  <c r="P44" i="5" s="1"/>
  <c r="T43" i="5"/>
  <c r="N43" i="5"/>
  <c r="P43" i="5" s="1"/>
  <c r="T33" i="5"/>
  <c r="N33" i="5"/>
  <c r="P33" i="5" s="1"/>
  <c r="T32" i="5"/>
  <c r="N32" i="5"/>
  <c r="O32" i="5" s="1"/>
  <c r="T31" i="5"/>
  <c r="N31" i="5"/>
  <c r="P31" i="5" s="1"/>
  <c r="T30" i="5"/>
  <c r="N30" i="5"/>
  <c r="P30" i="5" s="1"/>
  <c r="T29" i="5"/>
  <c r="N29" i="5"/>
  <c r="P29" i="5" s="1"/>
  <c r="T28" i="5"/>
  <c r="N28" i="5"/>
  <c r="O28" i="5" s="1"/>
  <c r="T27" i="5"/>
  <c r="N27" i="5"/>
  <c r="P27" i="5" s="1"/>
  <c r="T26" i="5"/>
  <c r="N26" i="5"/>
  <c r="P26" i="5" s="1"/>
  <c r="T25" i="5"/>
  <c r="N25" i="5"/>
  <c r="P25" i="5" s="1"/>
  <c r="T24" i="5"/>
  <c r="N24" i="5"/>
  <c r="O24" i="5" s="1"/>
  <c r="T23" i="5"/>
  <c r="N23" i="5"/>
  <c r="P23" i="5" s="1"/>
  <c r="T22" i="5"/>
  <c r="N22" i="5"/>
  <c r="P22" i="5" s="1"/>
  <c r="T21" i="5"/>
  <c r="N21" i="5"/>
  <c r="P21" i="5" s="1"/>
  <c r="T20" i="5"/>
  <c r="N20" i="5"/>
  <c r="O20" i="5" s="1"/>
  <c r="T19" i="5"/>
  <c r="N19" i="5"/>
  <c r="P19" i="5" s="1"/>
  <c r="T18" i="5"/>
  <c r="N18" i="5"/>
  <c r="P18" i="5" s="1"/>
  <c r="P90" i="5" l="1"/>
  <c r="R164" i="7"/>
  <c r="R127" i="7"/>
  <c r="R131" i="7"/>
  <c r="R154" i="7"/>
  <c r="Q160" i="7"/>
  <c r="R18" i="7"/>
  <c r="R26" i="7"/>
  <c r="R34" i="7"/>
  <c r="R42" i="7"/>
  <c r="R22" i="7"/>
  <c r="R38" i="7"/>
  <c r="R30" i="7"/>
  <c r="R121" i="7"/>
  <c r="Q25" i="7"/>
  <c r="Q33" i="7"/>
  <c r="Q41" i="7"/>
  <c r="Q126" i="7"/>
  <c r="R157" i="7"/>
  <c r="Q21" i="7"/>
  <c r="Q29" i="7"/>
  <c r="Q37" i="7"/>
  <c r="Q120" i="7"/>
  <c r="Q130" i="7"/>
  <c r="Q153" i="7"/>
  <c r="R161" i="7"/>
  <c r="O165" i="5"/>
  <c r="O85" i="5"/>
  <c r="P86" i="5"/>
  <c r="P78" i="5"/>
  <c r="O77" i="5"/>
  <c r="O89" i="5"/>
  <c r="F21" i="20"/>
  <c r="Q20" i="7"/>
  <c r="Q24" i="7"/>
  <c r="Q28" i="7"/>
  <c r="Q32" i="7"/>
  <c r="Q36" i="7"/>
  <c r="Q40" i="7"/>
  <c r="Q69" i="7"/>
  <c r="Q123" i="7"/>
  <c r="Q129" i="7"/>
  <c r="Q133" i="7"/>
  <c r="Q152" i="7"/>
  <c r="Q156" i="7"/>
  <c r="Q159" i="7"/>
  <c r="R23" i="7"/>
  <c r="Q23" i="7"/>
  <c r="R39" i="7"/>
  <c r="Q39" i="7"/>
  <c r="R132" i="7"/>
  <c r="Q132" i="7"/>
  <c r="R19" i="7"/>
  <c r="Q19" i="7"/>
  <c r="R35" i="7"/>
  <c r="Q35" i="7"/>
  <c r="R128" i="7"/>
  <c r="Q128" i="7"/>
  <c r="R151" i="7"/>
  <c r="Q151" i="7"/>
  <c r="R162" i="7"/>
  <c r="Q162" i="7"/>
  <c r="R155" i="7"/>
  <c r="Q155" i="7"/>
  <c r="R31" i="7"/>
  <c r="Q31" i="7"/>
  <c r="R122" i="7"/>
  <c r="Q122" i="7"/>
  <c r="R27" i="7"/>
  <c r="Q27" i="7"/>
  <c r="R43" i="7"/>
  <c r="Q43" i="7"/>
  <c r="R163" i="7"/>
  <c r="Q163" i="7"/>
  <c r="R158" i="7"/>
  <c r="Q158" i="7"/>
  <c r="P82" i="5"/>
  <c r="O88" i="5"/>
  <c r="P166" i="5"/>
  <c r="O81" i="5"/>
  <c r="O19" i="5"/>
  <c r="O23" i="5"/>
  <c r="P24" i="5"/>
  <c r="P28" i="5"/>
  <c r="O31" i="5"/>
  <c r="P32" i="5"/>
  <c r="O44" i="5"/>
  <c r="P45" i="5"/>
  <c r="O57" i="5"/>
  <c r="P58" i="5"/>
  <c r="O61" i="5"/>
  <c r="P62" i="5"/>
  <c r="O65" i="5"/>
  <c r="P66" i="5"/>
  <c r="O69" i="5"/>
  <c r="P70" i="5"/>
  <c r="O73" i="5"/>
  <c r="P74" i="5"/>
  <c r="O80" i="5"/>
  <c r="O157" i="5"/>
  <c r="P158" i="5"/>
  <c r="O161" i="5"/>
  <c r="P162" i="5"/>
  <c r="P20" i="5"/>
  <c r="O27" i="5"/>
  <c r="O18" i="5"/>
  <c r="O22" i="5"/>
  <c r="O26" i="5"/>
  <c r="O30" i="5"/>
  <c r="O43" i="5"/>
  <c r="O56" i="5"/>
  <c r="O60" i="5"/>
  <c r="O64" i="5"/>
  <c r="O68" i="5"/>
  <c r="O72" i="5"/>
  <c r="O160" i="5"/>
  <c r="O46" i="5"/>
  <c r="O59" i="5"/>
  <c r="O63" i="5"/>
  <c r="O67" i="5"/>
  <c r="P75" i="5"/>
  <c r="O75" i="5"/>
  <c r="P83" i="5"/>
  <c r="O83" i="5"/>
  <c r="P91" i="5"/>
  <c r="O91" i="5"/>
  <c r="P163" i="5"/>
  <c r="O163" i="5"/>
  <c r="O21" i="5"/>
  <c r="O25" i="5"/>
  <c r="O29" i="5"/>
  <c r="O33" i="5"/>
  <c r="O76" i="5"/>
  <c r="O84" i="5"/>
  <c r="O164" i="5"/>
  <c r="P71" i="5"/>
  <c r="O71" i="5"/>
  <c r="P79" i="5"/>
  <c r="O79" i="5"/>
  <c r="P87" i="5"/>
  <c r="O87" i="5"/>
  <c r="P159" i="5"/>
  <c r="O159" i="5"/>
  <c r="P167" i="5"/>
  <c r="O167" i="5"/>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J226" i="6"/>
  <c r="D7" i="20" s="1"/>
  <c r="A1" i="5"/>
  <c r="Z8" i="5"/>
  <c r="C9" i="5"/>
  <c r="B8" i="12" s="1"/>
  <c r="Z9" i="5"/>
  <c r="C10" i="5"/>
  <c r="C10" i="14" s="1"/>
  <c r="C11" i="5"/>
  <c r="B10" i="12" s="1"/>
  <c r="C12" i="5"/>
  <c r="C12" i="14" s="1"/>
  <c r="IV16" i="5"/>
  <c r="C232" i="5"/>
  <c r="C229" i="6" s="1"/>
  <c r="K232" i="5"/>
  <c r="O224" i="7" s="1"/>
  <c r="N24" i="8" s="1"/>
  <c r="C233" i="5"/>
  <c r="C225" i="7" s="1"/>
  <c r="C24" i="8" s="1"/>
  <c r="K233" i="5"/>
  <c r="O225" i="7" s="1"/>
  <c r="N25" i="8" s="1"/>
  <c r="K6" i="4"/>
  <c r="Z7" i="5" s="1"/>
  <c r="AA6" i="4"/>
  <c r="B7" i="4"/>
  <c r="B9" i="4"/>
  <c r="A8" i="6" s="1"/>
  <c r="B10" i="4"/>
  <c r="B14" i="4"/>
  <c r="B15" i="4"/>
  <c r="H27" i="4"/>
  <c r="G27" i="4" s="1"/>
  <c r="B2" i="2"/>
  <c r="F2" i="2"/>
  <c r="B3" i="2"/>
  <c r="A1" i="7" s="1"/>
  <c r="P219" i="7" l="1"/>
  <c r="D8" i="20" s="1"/>
  <c r="N227" i="5"/>
  <c r="D6" i="20" s="1"/>
  <c r="A3" i="13"/>
  <c r="A3" i="5"/>
  <c r="H5" i="21"/>
  <c r="H7" i="21" s="1"/>
  <c r="Z10" i="5"/>
  <c r="C11" i="14"/>
  <c r="A7" i="5"/>
  <c r="A7" i="13" s="1"/>
  <c r="B51" i="19"/>
  <c r="B53" i="19"/>
  <c r="B50" i="19"/>
  <c r="E52" i="19"/>
  <c r="F49" i="19"/>
  <c r="I230"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229" i="6"/>
  <c r="A8" i="9"/>
  <c r="A1" i="9"/>
  <c r="A1" i="12"/>
  <c r="AG7" i="19"/>
  <c r="AG8" i="19" s="1"/>
  <c r="C224" i="7"/>
  <c r="C23" i="8" s="1"/>
  <c r="C230" i="6"/>
  <c r="A1" i="8"/>
  <c r="A8" i="5"/>
  <c r="AG9" i="19"/>
  <c r="V219" i="7"/>
  <c r="J7" i="15"/>
  <c r="I25" i="15" s="1"/>
  <c r="T227" i="5"/>
  <c r="J8" i="15" l="1"/>
  <c r="J26" i="15" s="1"/>
  <c r="N229" i="5"/>
  <c r="A7" i="6"/>
  <c r="A7" i="10"/>
  <c r="A7" i="8"/>
  <c r="B7" i="14"/>
  <c r="A7" i="7"/>
  <c r="A7" i="9"/>
  <c r="A7" i="11"/>
  <c r="B40" i="19"/>
  <c r="B8" i="14"/>
  <c r="A7" i="12"/>
  <c r="I16" i="15"/>
  <c r="D17" i="11"/>
  <c r="E17" i="13" s="1"/>
  <c r="R219" i="7"/>
  <c r="D17" i="9" s="1"/>
  <c r="D19" i="20" s="1"/>
  <c r="D19" i="11"/>
  <c r="E19" i="13" s="1"/>
  <c r="P229" i="7"/>
  <c r="P227"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193" i="7" l="1"/>
  <c r="T193" i="7" s="1"/>
  <c r="U193" i="7" s="1"/>
  <c r="S187" i="7"/>
  <c r="T187" i="7" s="1"/>
  <c r="U187" i="7" s="1"/>
  <c r="S194" i="7"/>
  <c r="T194" i="7" s="1"/>
  <c r="U194" i="7" s="1"/>
  <c r="S188" i="7"/>
  <c r="T188" i="7" s="1"/>
  <c r="U188" i="7" s="1"/>
  <c r="S192" i="7"/>
  <c r="T192" i="7" s="1"/>
  <c r="U192" i="7" s="1"/>
  <c r="S189" i="7"/>
  <c r="T189" i="7" s="1"/>
  <c r="U189" i="7" s="1"/>
  <c r="S190" i="7"/>
  <c r="T190" i="7" s="1"/>
  <c r="U190" i="7" s="1"/>
  <c r="S184" i="7"/>
  <c r="T184" i="7" s="1"/>
  <c r="U184" i="7" s="1"/>
  <c r="S186" i="7"/>
  <c r="T186" i="7" s="1"/>
  <c r="U186" i="7" s="1"/>
  <c r="S191" i="7"/>
  <c r="T191" i="7" s="1"/>
  <c r="U191" i="7" s="1"/>
  <c r="S185" i="7"/>
  <c r="T185" i="7" s="1"/>
  <c r="U185" i="7" s="1"/>
  <c r="S182" i="7"/>
  <c r="T182" i="7" s="1"/>
  <c r="U182" i="7" s="1"/>
  <c r="S176" i="7"/>
  <c r="T176" i="7" s="1"/>
  <c r="U176" i="7" s="1"/>
  <c r="S183" i="7"/>
  <c r="T183" i="7" s="1"/>
  <c r="U183" i="7" s="1"/>
  <c r="S177" i="7"/>
  <c r="T177" i="7" s="1"/>
  <c r="U177" i="7" s="1"/>
  <c r="S178" i="7"/>
  <c r="T178" i="7" s="1"/>
  <c r="U178" i="7" s="1"/>
  <c r="S179" i="7"/>
  <c r="T179" i="7" s="1"/>
  <c r="U179" i="7" s="1"/>
  <c r="S173" i="7"/>
  <c r="T173" i="7" s="1"/>
  <c r="U173" i="7" s="1"/>
  <c r="S180" i="7"/>
  <c r="T180" i="7" s="1"/>
  <c r="U180" i="7" s="1"/>
  <c r="S174" i="7"/>
  <c r="T174" i="7" s="1"/>
  <c r="U174" i="7" s="1"/>
  <c r="S181" i="7"/>
  <c r="T181" i="7" s="1"/>
  <c r="U181" i="7" s="1"/>
  <c r="S175" i="7"/>
  <c r="T175" i="7" s="1"/>
  <c r="U175" i="7" s="1"/>
  <c r="S209" i="7"/>
  <c r="T209" i="7" s="1"/>
  <c r="U209" i="7" s="1"/>
  <c r="S203" i="7"/>
  <c r="T203" i="7" s="1"/>
  <c r="U203" i="7" s="1"/>
  <c r="S210" i="7"/>
  <c r="T210" i="7" s="1"/>
  <c r="U210" i="7" s="1"/>
  <c r="S204" i="7"/>
  <c r="T204" i="7" s="1"/>
  <c r="U204" i="7" s="1"/>
  <c r="S198" i="7"/>
  <c r="T198" i="7" s="1"/>
  <c r="U198" i="7" s="1"/>
  <c r="S205" i="7"/>
  <c r="T205" i="7" s="1"/>
  <c r="U205" i="7" s="1"/>
  <c r="S199" i="7"/>
  <c r="T199" i="7" s="1"/>
  <c r="U199" i="7" s="1"/>
  <c r="S206" i="7"/>
  <c r="T206" i="7" s="1"/>
  <c r="U206" i="7" s="1"/>
  <c r="S200" i="7"/>
  <c r="T200" i="7" s="1"/>
  <c r="U200" i="7" s="1"/>
  <c r="S208" i="7"/>
  <c r="T208" i="7" s="1"/>
  <c r="U208" i="7" s="1"/>
  <c r="S207" i="7"/>
  <c r="T207" i="7" s="1"/>
  <c r="U207" i="7" s="1"/>
  <c r="S201" i="7"/>
  <c r="T201" i="7" s="1"/>
  <c r="U201" i="7" s="1"/>
  <c r="S202" i="7"/>
  <c r="T202" i="7" s="1"/>
  <c r="U202" i="7" s="1"/>
  <c r="S211" i="7"/>
  <c r="T211" i="7" s="1"/>
  <c r="U211" i="7" s="1"/>
  <c r="S170" i="7"/>
  <c r="T170" i="7" s="1"/>
  <c r="U170" i="7" s="1"/>
  <c r="S169" i="7"/>
  <c r="T169" i="7" s="1"/>
  <c r="U169" i="7" s="1"/>
  <c r="S212" i="7"/>
  <c r="T212" i="7" s="1"/>
  <c r="U212" i="7" s="1"/>
  <c r="S171" i="7"/>
  <c r="T171" i="7" s="1"/>
  <c r="U171" i="7" s="1"/>
  <c r="S197" i="7"/>
  <c r="T197" i="7" s="1"/>
  <c r="U197" i="7" s="1"/>
  <c r="S172" i="7"/>
  <c r="T172" i="7" s="1"/>
  <c r="U172" i="7" s="1"/>
  <c r="S166" i="7"/>
  <c r="T166" i="7" s="1"/>
  <c r="U166" i="7" s="1"/>
  <c r="S195" i="7"/>
  <c r="T195" i="7" s="1"/>
  <c r="U195" i="7" s="1"/>
  <c r="S167" i="7"/>
  <c r="T167" i="7" s="1"/>
  <c r="U167" i="7" s="1"/>
  <c r="S196" i="7"/>
  <c r="T196" i="7" s="1"/>
  <c r="U196" i="7" s="1"/>
  <c r="S168" i="7"/>
  <c r="T168" i="7" s="1"/>
  <c r="U168" i="7" s="1"/>
  <c r="S215" i="7"/>
  <c r="T215" i="7" s="1"/>
  <c r="U215" i="7" s="1"/>
  <c r="S216" i="7"/>
  <c r="T216" i="7" s="1"/>
  <c r="U216" i="7" s="1"/>
  <c r="S217" i="7"/>
  <c r="T217" i="7" s="1"/>
  <c r="U217" i="7" s="1"/>
  <c r="S165" i="7"/>
  <c r="T165" i="7" s="1"/>
  <c r="U165" i="7" s="1"/>
  <c r="S214" i="7"/>
  <c r="T214" i="7" s="1"/>
  <c r="U214" i="7" s="1"/>
  <c r="S213" i="7"/>
  <c r="T213" i="7" s="1"/>
  <c r="U213" i="7" s="1"/>
  <c r="S144" i="7"/>
  <c r="T144" i="7" s="1"/>
  <c r="U144" i="7" s="1"/>
  <c r="S145" i="7"/>
  <c r="T145" i="7" s="1"/>
  <c r="U145" i="7" s="1"/>
  <c r="S143" i="7"/>
  <c r="T143" i="7" s="1"/>
  <c r="U143" i="7" s="1"/>
  <c r="S146" i="7"/>
  <c r="T146" i="7" s="1"/>
  <c r="U146" i="7" s="1"/>
  <c r="S147" i="7"/>
  <c r="T147" i="7" s="1"/>
  <c r="U147" i="7" s="1"/>
  <c r="S141" i="7"/>
  <c r="T141" i="7" s="1"/>
  <c r="U141" i="7" s="1"/>
  <c r="S135" i="7"/>
  <c r="T135" i="7" s="1"/>
  <c r="U135" i="7" s="1"/>
  <c r="S142" i="7"/>
  <c r="T142" i="7" s="1"/>
  <c r="U142" i="7" s="1"/>
  <c r="S136" i="7"/>
  <c r="T136" i="7" s="1"/>
  <c r="U136" i="7" s="1"/>
  <c r="S140" i="7"/>
  <c r="T140" i="7" s="1"/>
  <c r="U140" i="7" s="1"/>
  <c r="S137" i="7"/>
  <c r="T137" i="7" s="1"/>
  <c r="U137" i="7" s="1"/>
  <c r="S134" i="7"/>
  <c r="T134" i="7" s="1"/>
  <c r="U134" i="7" s="1"/>
  <c r="S138" i="7"/>
  <c r="T138" i="7" s="1"/>
  <c r="U138" i="7" s="1"/>
  <c r="S139" i="7"/>
  <c r="T139" i="7" s="1"/>
  <c r="U139" i="7" s="1"/>
  <c r="S149" i="7"/>
  <c r="T149" i="7" s="1"/>
  <c r="U149" i="7" s="1"/>
  <c r="S148" i="7"/>
  <c r="T148" i="7" s="1"/>
  <c r="U148" i="7" s="1"/>
  <c r="S150" i="7"/>
  <c r="T150" i="7" s="1"/>
  <c r="U150" i="7" s="1"/>
  <c r="S93" i="7"/>
  <c r="T93" i="7" s="1"/>
  <c r="U93" i="7" s="1"/>
  <c r="S87" i="7"/>
  <c r="T87" i="7" s="1"/>
  <c r="U87" i="7" s="1"/>
  <c r="S81" i="7"/>
  <c r="T81" i="7" s="1"/>
  <c r="U81" i="7" s="1"/>
  <c r="S75" i="7"/>
  <c r="T75" i="7" s="1"/>
  <c r="U75" i="7" s="1"/>
  <c r="S92" i="7"/>
  <c r="T92" i="7" s="1"/>
  <c r="U92" i="7" s="1"/>
  <c r="S80" i="7"/>
  <c r="T80" i="7" s="1"/>
  <c r="U80" i="7" s="1"/>
  <c r="S94" i="7"/>
  <c r="T94" i="7" s="1"/>
  <c r="U94" i="7" s="1"/>
  <c r="S88" i="7"/>
  <c r="T88" i="7" s="1"/>
  <c r="U88" i="7" s="1"/>
  <c r="S82" i="7"/>
  <c r="T82" i="7" s="1"/>
  <c r="U82" i="7" s="1"/>
  <c r="S76" i="7"/>
  <c r="T76" i="7" s="1"/>
  <c r="U76" i="7" s="1"/>
  <c r="S70" i="7"/>
  <c r="T70" i="7" s="1"/>
  <c r="U70" i="7" s="1"/>
  <c r="S86" i="7"/>
  <c r="T86" i="7" s="1"/>
  <c r="U86" i="7" s="1"/>
  <c r="S89" i="7"/>
  <c r="T89" i="7" s="1"/>
  <c r="U89" i="7" s="1"/>
  <c r="S83" i="7"/>
  <c r="T83" i="7" s="1"/>
  <c r="U83" i="7" s="1"/>
  <c r="S77" i="7"/>
  <c r="T77" i="7" s="1"/>
  <c r="U77" i="7" s="1"/>
  <c r="S71" i="7"/>
  <c r="T71" i="7" s="1"/>
  <c r="U71" i="7" s="1"/>
  <c r="S90" i="7"/>
  <c r="T90" i="7" s="1"/>
  <c r="U90" i="7" s="1"/>
  <c r="S84" i="7"/>
  <c r="T84" i="7" s="1"/>
  <c r="U84" i="7" s="1"/>
  <c r="S78" i="7"/>
  <c r="T78" i="7" s="1"/>
  <c r="U78" i="7" s="1"/>
  <c r="S72" i="7"/>
  <c r="T72" i="7" s="1"/>
  <c r="U72" i="7" s="1"/>
  <c r="S91" i="7"/>
  <c r="T91" i="7" s="1"/>
  <c r="U91" i="7" s="1"/>
  <c r="S85" i="7"/>
  <c r="T85" i="7" s="1"/>
  <c r="U85" i="7" s="1"/>
  <c r="S79" i="7"/>
  <c r="T79" i="7" s="1"/>
  <c r="U79" i="7" s="1"/>
  <c r="S73" i="7"/>
  <c r="T73" i="7" s="1"/>
  <c r="U73" i="7" s="1"/>
  <c r="S74" i="7"/>
  <c r="T74" i="7" s="1"/>
  <c r="U74" i="7" s="1"/>
  <c r="S67" i="7"/>
  <c r="T67" i="7" s="1"/>
  <c r="U67" i="7" s="1"/>
  <c r="S61" i="7"/>
  <c r="T61" i="7" s="1"/>
  <c r="U61" i="7" s="1"/>
  <c r="S55" i="7"/>
  <c r="T55" i="7" s="1"/>
  <c r="U55" i="7" s="1"/>
  <c r="S49" i="7"/>
  <c r="T49" i="7" s="1"/>
  <c r="U49" i="7" s="1"/>
  <c r="S52" i="7"/>
  <c r="T52" i="7" s="1"/>
  <c r="U52" i="7" s="1"/>
  <c r="S68" i="7"/>
  <c r="T68" i="7" s="1"/>
  <c r="U68" i="7" s="1"/>
  <c r="S62" i="7"/>
  <c r="T62" i="7" s="1"/>
  <c r="U62" i="7" s="1"/>
  <c r="S56" i="7"/>
  <c r="T56" i="7" s="1"/>
  <c r="U56" i="7" s="1"/>
  <c r="S50" i="7"/>
  <c r="T50" i="7" s="1"/>
  <c r="U50" i="7" s="1"/>
  <c r="S44" i="7"/>
  <c r="T44" i="7" s="1"/>
  <c r="U44" i="7" s="1"/>
  <c r="S63" i="7"/>
  <c r="T63" i="7" s="1"/>
  <c r="U63" i="7" s="1"/>
  <c r="S57" i="7"/>
  <c r="T57" i="7" s="1"/>
  <c r="U57" i="7" s="1"/>
  <c r="S51" i="7"/>
  <c r="T51" i="7" s="1"/>
  <c r="U51" i="7" s="1"/>
  <c r="S45" i="7"/>
  <c r="T45" i="7" s="1"/>
  <c r="U45" i="7" s="1"/>
  <c r="S64" i="7"/>
  <c r="T64" i="7" s="1"/>
  <c r="U64" i="7" s="1"/>
  <c r="S46" i="7"/>
  <c r="T46" i="7" s="1"/>
  <c r="U46" i="7" s="1"/>
  <c r="S65" i="7"/>
  <c r="T65" i="7" s="1"/>
  <c r="U65" i="7" s="1"/>
  <c r="S59" i="7"/>
  <c r="T59" i="7" s="1"/>
  <c r="U59" i="7" s="1"/>
  <c r="S53" i="7"/>
  <c r="T53" i="7" s="1"/>
  <c r="U53" i="7" s="1"/>
  <c r="S47" i="7"/>
  <c r="T47" i="7" s="1"/>
  <c r="U47" i="7" s="1"/>
  <c r="S66" i="7"/>
  <c r="T66" i="7" s="1"/>
  <c r="U66" i="7" s="1"/>
  <c r="S60" i="7"/>
  <c r="T60" i="7" s="1"/>
  <c r="U60" i="7" s="1"/>
  <c r="S54" i="7"/>
  <c r="T54" i="7" s="1"/>
  <c r="U54" i="7" s="1"/>
  <c r="S48" i="7"/>
  <c r="T48" i="7" s="1"/>
  <c r="U48" i="7" s="1"/>
  <c r="S58" i="7"/>
  <c r="T58" i="7" s="1"/>
  <c r="U58" i="7" s="1"/>
  <c r="S118" i="7"/>
  <c r="T118" i="7" s="1"/>
  <c r="U118" i="7" s="1"/>
  <c r="S112" i="7"/>
  <c r="T112" i="7" s="1"/>
  <c r="U112" i="7" s="1"/>
  <c r="S106" i="7"/>
  <c r="T106" i="7" s="1"/>
  <c r="U106" i="7" s="1"/>
  <c r="S100" i="7"/>
  <c r="T100" i="7" s="1"/>
  <c r="U100" i="7" s="1"/>
  <c r="S119" i="7"/>
  <c r="T119" i="7" s="1"/>
  <c r="U119" i="7" s="1"/>
  <c r="S113" i="7"/>
  <c r="T113" i="7" s="1"/>
  <c r="U113" i="7" s="1"/>
  <c r="S107" i="7"/>
  <c r="T107" i="7" s="1"/>
  <c r="U107" i="7" s="1"/>
  <c r="S101" i="7"/>
  <c r="T101" i="7" s="1"/>
  <c r="U101" i="7" s="1"/>
  <c r="S95" i="7"/>
  <c r="T95" i="7" s="1"/>
  <c r="U95" i="7" s="1"/>
  <c r="S117" i="7"/>
  <c r="T117" i="7" s="1"/>
  <c r="U117" i="7" s="1"/>
  <c r="S114" i="7"/>
  <c r="T114" i="7" s="1"/>
  <c r="U114" i="7" s="1"/>
  <c r="S108" i="7"/>
  <c r="T108" i="7" s="1"/>
  <c r="U108" i="7" s="1"/>
  <c r="S102" i="7"/>
  <c r="T102" i="7" s="1"/>
  <c r="U102" i="7" s="1"/>
  <c r="S96" i="7"/>
  <c r="T96" i="7" s="1"/>
  <c r="U96" i="7" s="1"/>
  <c r="S111" i="7"/>
  <c r="T111" i="7" s="1"/>
  <c r="U111" i="7" s="1"/>
  <c r="S105" i="7"/>
  <c r="T105" i="7" s="1"/>
  <c r="U105" i="7" s="1"/>
  <c r="S115" i="7"/>
  <c r="T115" i="7" s="1"/>
  <c r="U115" i="7" s="1"/>
  <c r="S109" i="7"/>
  <c r="T109" i="7" s="1"/>
  <c r="U109" i="7" s="1"/>
  <c r="S103" i="7"/>
  <c r="T103" i="7" s="1"/>
  <c r="U103" i="7" s="1"/>
  <c r="S97" i="7"/>
  <c r="T97" i="7" s="1"/>
  <c r="U97" i="7" s="1"/>
  <c r="S99" i="7"/>
  <c r="T99" i="7" s="1"/>
  <c r="U99" i="7" s="1"/>
  <c r="S116" i="7"/>
  <c r="T116" i="7" s="1"/>
  <c r="U116" i="7" s="1"/>
  <c r="S110" i="7"/>
  <c r="T110" i="7" s="1"/>
  <c r="U110" i="7" s="1"/>
  <c r="S104" i="7"/>
  <c r="T104" i="7" s="1"/>
  <c r="U104" i="7" s="1"/>
  <c r="S98" i="7"/>
  <c r="T98" i="7" s="1"/>
  <c r="U98" i="7" s="1"/>
  <c r="S124" i="7"/>
  <c r="T124" i="7" s="1"/>
  <c r="U124" i="7" s="1"/>
  <c r="S125" i="7"/>
  <c r="T125" i="7" s="1"/>
  <c r="U125" i="7" s="1"/>
  <c r="S163" i="7"/>
  <c r="T163" i="7" s="1"/>
  <c r="U163" i="7" s="1"/>
  <c r="S159" i="7"/>
  <c r="T159" i="7" s="1"/>
  <c r="U159" i="7" s="1"/>
  <c r="S164" i="7"/>
  <c r="T164" i="7" s="1"/>
  <c r="U164" i="7" s="1"/>
  <c r="S160" i="7"/>
  <c r="T160" i="7" s="1"/>
  <c r="U160" i="7" s="1"/>
  <c r="S158" i="7"/>
  <c r="T158" i="7" s="1"/>
  <c r="U158" i="7" s="1"/>
  <c r="S155" i="7"/>
  <c r="T155" i="7" s="1"/>
  <c r="U155" i="7" s="1"/>
  <c r="S151" i="7"/>
  <c r="T151" i="7" s="1"/>
  <c r="U151" i="7" s="1"/>
  <c r="S132" i="7"/>
  <c r="T132" i="7" s="1"/>
  <c r="U132" i="7" s="1"/>
  <c r="S128" i="7"/>
  <c r="T128" i="7" s="1"/>
  <c r="U128" i="7" s="1"/>
  <c r="S122" i="7"/>
  <c r="T122" i="7" s="1"/>
  <c r="U122" i="7" s="1"/>
  <c r="S43" i="7"/>
  <c r="T43" i="7" s="1"/>
  <c r="U43" i="7" s="1"/>
  <c r="S39" i="7"/>
  <c r="T39" i="7" s="1"/>
  <c r="U39" i="7" s="1"/>
  <c r="S35" i="7"/>
  <c r="T35" i="7" s="1"/>
  <c r="U35" i="7" s="1"/>
  <c r="S31" i="7"/>
  <c r="T31" i="7" s="1"/>
  <c r="U31" i="7" s="1"/>
  <c r="S27" i="7"/>
  <c r="T27" i="7" s="1"/>
  <c r="U27" i="7" s="1"/>
  <c r="S23" i="7"/>
  <c r="T23" i="7" s="1"/>
  <c r="U23" i="7" s="1"/>
  <c r="S19" i="7"/>
  <c r="T19" i="7" s="1"/>
  <c r="U19" i="7" s="1"/>
  <c r="S161" i="7"/>
  <c r="T161" i="7" s="1"/>
  <c r="U161" i="7" s="1"/>
  <c r="S156" i="7"/>
  <c r="T156" i="7" s="1"/>
  <c r="U156" i="7" s="1"/>
  <c r="S152" i="7"/>
  <c r="T152" i="7" s="1"/>
  <c r="U152" i="7" s="1"/>
  <c r="S133" i="7"/>
  <c r="T133" i="7" s="1"/>
  <c r="U133" i="7" s="1"/>
  <c r="S129" i="7"/>
  <c r="T129" i="7" s="1"/>
  <c r="U129" i="7" s="1"/>
  <c r="S123" i="7"/>
  <c r="T123" i="7" s="1"/>
  <c r="U123" i="7" s="1"/>
  <c r="S69" i="7"/>
  <c r="T69" i="7" s="1"/>
  <c r="U69" i="7" s="1"/>
  <c r="S40" i="7"/>
  <c r="T40" i="7" s="1"/>
  <c r="U40" i="7" s="1"/>
  <c r="S36" i="7"/>
  <c r="T36" i="7" s="1"/>
  <c r="U36" i="7" s="1"/>
  <c r="S32" i="7"/>
  <c r="T32" i="7" s="1"/>
  <c r="U32" i="7" s="1"/>
  <c r="S28" i="7"/>
  <c r="T28" i="7" s="1"/>
  <c r="U28" i="7" s="1"/>
  <c r="S24" i="7"/>
  <c r="T24" i="7" s="1"/>
  <c r="U24" i="7" s="1"/>
  <c r="S20" i="7"/>
  <c r="T20" i="7" s="1"/>
  <c r="U20" i="7" s="1"/>
  <c r="S162" i="7"/>
  <c r="T162" i="7" s="1"/>
  <c r="U162" i="7" s="1"/>
  <c r="S153" i="7"/>
  <c r="T153" i="7" s="1"/>
  <c r="U153" i="7" s="1"/>
  <c r="S130" i="7"/>
  <c r="T130" i="7" s="1"/>
  <c r="U130" i="7" s="1"/>
  <c r="S126" i="7"/>
  <c r="T126" i="7" s="1"/>
  <c r="U126" i="7" s="1"/>
  <c r="S120" i="7"/>
  <c r="T120" i="7" s="1"/>
  <c r="U120" i="7" s="1"/>
  <c r="S41" i="7"/>
  <c r="T41" i="7" s="1"/>
  <c r="U41" i="7" s="1"/>
  <c r="S37" i="7"/>
  <c r="T37" i="7" s="1"/>
  <c r="U37" i="7" s="1"/>
  <c r="S33" i="7"/>
  <c r="T33" i="7" s="1"/>
  <c r="U33" i="7" s="1"/>
  <c r="S29" i="7"/>
  <c r="T29" i="7" s="1"/>
  <c r="U29" i="7" s="1"/>
  <c r="S25" i="7"/>
  <c r="T25" i="7" s="1"/>
  <c r="U25" i="7" s="1"/>
  <c r="S21" i="7"/>
  <c r="T21" i="7" s="1"/>
  <c r="U21" i="7" s="1"/>
  <c r="S127" i="7"/>
  <c r="T127" i="7" s="1"/>
  <c r="U127" i="7" s="1"/>
  <c r="S34" i="7"/>
  <c r="T34" i="7" s="1"/>
  <c r="U34" i="7" s="1"/>
  <c r="S18" i="7"/>
  <c r="T18" i="7" s="1"/>
  <c r="U18" i="7" s="1"/>
  <c r="S154" i="7"/>
  <c r="T154" i="7" s="1"/>
  <c r="U154" i="7" s="1"/>
  <c r="S131" i="7"/>
  <c r="T131" i="7" s="1"/>
  <c r="U131" i="7" s="1"/>
  <c r="S38" i="7"/>
  <c r="T38" i="7" s="1"/>
  <c r="U38" i="7" s="1"/>
  <c r="S22" i="7"/>
  <c r="T22" i="7" s="1"/>
  <c r="U22" i="7" s="1"/>
  <c r="S121" i="7"/>
  <c r="T121" i="7" s="1"/>
  <c r="U121" i="7" s="1"/>
  <c r="S30" i="7"/>
  <c r="T30" i="7" s="1"/>
  <c r="U30" i="7" s="1"/>
  <c r="S157" i="7"/>
  <c r="T157" i="7" s="1"/>
  <c r="U157" i="7" s="1"/>
  <c r="S42" i="7"/>
  <c r="T42" i="7" s="1"/>
  <c r="U42" i="7" s="1"/>
  <c r="S26" i="7"/>
  <c r="T26" i="7" s="1"/>
  <c r="U26" i="7" s="1"/>
  <c r="F19" i="13"/>
  <c r="D19" i="13" s="1"/>
  <c r="I35" i="15"/>
  <c r="I36" i="15" s="1"/>
  <c r="F17" i="13" s="1"/>
  <c r="D17" i="13" s="1"/>
  <c r="I31" i="15"/>
  <c r="I32" i="15" s="1"/>
  <c r="H35" i="15"/>
  <c r="H36" i="15" s="1"/>
  <c r="Q156" i="5" l="1"/>
  <c r="R156" i="5" s="1"/>
  <c r="S156" i="5" s="1"/>
  <c r="Q155" i="5"/>
  <c r="R155" i="5" s="1"/>
  <c r="S155" i="5" s="1"/>
  <c r="Q154" i="5"/>
  <c r="R154" i="5" s="1"/>
  <c r="S154" i="5" s="1"/>
  <c r="Q153" i="5"/>
  <c r="R153" i="5" s="1"/>
  <c r="S153" i="5" s="1"/>
  <c r="Q152" i="5"/>
  <c r="R152" i="5" s="1"/>
  <c r="S152" i="5" s="1"/>
  <c r="Q151" i="5"/>
  <c r="R151" i="5" s="1"/>
  <c r="S151" i="5" s="1"/>
  <c r="Q150" i="5"/>
  <c r="R150" i="5" s="1"/>
  <c r="S150" i="5" s="1"/>
  <c r="Q149" i="5"/>
  <c r="R149" i="5" s="1"/>
  <c r="S149" i="5" s="1"/>
  <c r="Q148" i="5"/>
  <c r="R148" i="5" s="1"/>
  <c r="S148" i="5" s="1"/>
  <c r="Q147" i="5"/>
  <c r="R147" i="5" s="1"/>
  <c r="S147" i="5" s="1"/>
  <c r="Q146" i="5"/>
  <c r="R146" i="5" s="1"/>
  <c r="S146" i="5" s="1"/>
  <c r="Q145" i="5"/>
  <c r="R145" i="5" s="1"/>
  <c r="S145" i="5" s="1"/>
  <c r="Q144" i="5"/>
  <c r="R144" i="5" s="1"/>
  <c r="S144" i="5" s="1"/>
  <c r="Q143" i="5"/>
  <c r="R143" i="5" s="1"/>
  <c r="S143" i="5" s="1"/>
  <c r="Q142" i="5"/>
  <c r="R142" i="5" s="1"/>
  <c r="S142" i="5" s="1"/>
  <c r="Q141" i="5"/>
  <c r="R141" i="5" s="1"/>
  <c r="S141" i="5" s="1"/>
  <c r="Q140" i="5"/>
  <c r="R140" i="5" s="1"/>
  <c r="S140" i="5" s="1"/>
  <c r="Q136" i="5"/>
  <c r="R136" i="5" s="1"/>
  <c r="S136" i="5" s="1"/>
  <c r="Q132" i="5"/>
  <c r="R132" i="5" s="1"/>
  <c r="S132" i="5" s="1"/>
  <c r="Q128" i="5"/>
  <c r="R128" i="5" s="1"/>
  <c r="S128" i="5" s="1"/>
  <c r="Q124" i="5"/>
  <c r="R124" i="5" s="1"/>
  <c r="S124" i="5" s="1"/>
  <c r="Q120" i="5"/>
  <c r="R120" i="5" s="1"/>
  <c r="S120" i="5" s="1"/>
  <c r="Q116" i="5"/>
  <c r="R116" i="5" s="1"/>
  <c r="S116" i="5" s="1"/>
  <c r="Q112" i="5"/>
  <c r="R112" i="5" s="1"/>
  <c r="S112" i="5" s="1"/>
  <c r="Q108" i="5"/>
  <c r="R108" i="5" s="1"/>
  <c r="S108" i="5" s="1"/>
  <c r="Q104" i="5"/>
  <c r="R104" i="5" s="1"/>
  <c r="S104" i="5" s="1"/>
  <c r="Q100" i="5"/>
  <c r="R100" i="5" s="1"/>
  <c r="S100" i="5" s="1"/>
  <c r="Q96" i="5"/>
  <c r="R96" i="5" s="1"/>
  <c r="S96" i="5" s="1"/>
  <c r="Q94" i="5"/>
  <c r="R94" i="5" s="1"/>
  <c r="S94" i="5" s="1"/>
  <c r="Q93" i="5"/>
  <c r="R93" i="5" s="1"/>
  <c r="S93" i="5" s="1"/>
  <c r="Q92" i="5"/>
  <c r="R92" i="5" s="1"/>
  <c r="S92" i="5" s="1"/>
  <c r="Q139" i="5"/>
  <c r="R139" i="5" s="1"/>
  <c r="S139" i="5" s="1"/>
  <c r="Q135" i="5"/>
  <c r="R135" i="5" s="1"/>
  <c r="S135" i="5" s="1"/>
  <c r="Q131" i="5"/>
  <c r="R131" i="5" s="1"/>
  <c r="S131" i="5" s="1"/>
  <c r="Q127" i="5"/>
  <c r="R127" i="5" s="1"/>
  <c r="S127" i="5" s="1"/>
  <c r="Q123" i="5"/>
  <c r="R123" i="5" s="1"/>
  <c r="S123" i="5" s="1"/>
  <c r="Q119" i="5"/>
  <c r="R119" i="5" s="1"/>
  <c r="S119" i="5" s="1"/>
  <c r="Q133" i="5"/>
  <c r="R133" i="5" s="1"/>
  <c r="S133" i="5" s="1"/>
  <c r="Q125" i="5"/>
  <c r="R125" i="5" s="1"/>
  <c r="S125" i="5" s="1"/>
  <c r="Q117" i="5"/>
  <c r="R117" i="5" s="1"/>
  <c r="S117" i="5" s="1"/>
  <c r="Q115" i="5"/>
  <c r="R115" i="5" s="1"/>
  <c r="S115" i="5" s="1"/>
  <c r="Q114" i="5"/>
  <c r="R114" i="5" s="1"/>
  <c r="S114" i="5" s="1"/>
  <c r="Q113" i="5"/>
  <c r="R113" i="5" s="1"/>
  <c r="S113" i="5" s="1"/>
  <c r="Q99" i="5"/>
  <c r="R99" i="5" s="1"/>
  <c r="S99" i="5" s="1"/>
  <c r="Q98" i="5"/>
  <c r="R98" i="5" s="1"/>
  <c r="S98" i="5" s="1"/>
  <c r="Q97" i="5"/>
  <c r="R97" i="5" s="1"/>
  <c r="S97" i="5" s="1"/>
  <c r="Q129" i="5"/>
  <c r="R129" i="5" s="1"/>
  <c r="S129" i="5" s="1"/>
  <c r="Q121" i="5"/>
  <c r="R121" i="5" s="1"/>
  <c r="S121" i="5" s="1"/>
  <c r="Q106" i="5"/>
  <c r="R106" i="5" s="1"/>
  <c r="S106" i="5" s="1"/>
  <c r="Q105" i="5"/>
  <c r="R105" i="5" s="1"/>
  <c r="S105" i="5" s="1"/>
  <c r="Q138" i="5"/>
  <c r="R138" i="5" s="1"/>
  <c r="S138" i="5" s="1"/>
  <c r="Q130" i="5"/>
  <c r="R130" i="5" s="1"/>
  <c r="S130" i="5" s="1"/>
  <c r="Q102" i="5"/>
  <c r="R102" i="5" s="1"/>
  <c r="S102" i="5" s="1"/>
  <c r="Q101" i="5"/>
  <c r="R101" i="5" s="1"/>
  <c r="S101" i="5" s="1"/>
  <c r="Q134" i="5"/>
  <c r="R134" i="5" s="1"/>
  <c r="S134" i="5" s="1"/>
  <c r="Q126" i="5"/>
  <c r="R126" i="5" s="1"/>
  <c r="S126" i="5" s="1"/>
  <c r="Q118" i="5"/>
  <c r="R118" i="5" s="1"/>
  <c r="S118" i="5" s="1"/>
  <c r="Q111" i="5"/>
  <c r="R111" i="5" s="1"/>
  <c r="S111" i="5" s="1"/>
  <c r="Q110" i="5"/>
  <c r="R110" i="5" s="1"/>
  <c r="S110" i="5" s="1"/>
  <c r="Q109" i="5"/>
  <c r="R109" i="5" s="1"/>
  <c r="S109" i="5" s="1"/>
  <c r="Q95" i="5"/>
  <c r="R95" i="5" s="1"/>
  <c r="S95" i="5" s="1"/>
  <c r="Q137" i="5"/>
  <c r="R137" i="5" s="1"/>
  <c r="S137" i="5" s="1"/>
  <c r="Q107" i="5"/>
  <c r="R107" i="5" s="1"/>
  <c r="S107" i="5" s="1"/>
  <c r="Q122" i="5"/>
  <c r="R122" i="5" s="1"/>
  <c r="S122" i="5" s="1"/>
  <c r="Q103" i="5"/>
  <c r="R103" i="5" s="1"/>
  <c r="S103" i="5" s="1"/>
  <c r="Q205" i="5"/>
  <c r="R205" i="5" s="1"/>
  <c r="S205" i="5" s="1"/>
  <c r="Q202" i="5"/>
  <c r="R202" i="5" s="1"/>
  <c r="S202" i="5" s="1"/>
  <c r="Q199" i="5"/>
  <c r="R199" i="5" s="1"/>
  <c r="S199" i="5" s="1"/>
  <c r="Q196" i="5"/>
  <c r="R196" i="5" s="1"/>
  <c r="S196" i="5" s="1"/>
  <c r="Q203" i="5"/>
  <c r="R203" i="5" s="1"/>
  <c r="S203" i="5" s="1"/>
  <c r="Q200" i="5"/>
  <c r="R200" i="5" s="1"/>
  <c r="S200" i="5" s="1"/>
  <c r="Q197" i="5"/>
  <c r="R197" i="5" s="1"/>
  <c r="S197" i="5" s="1"/>
  <c r="Q204" i="5"/>
  <c r="R204" i="5" s="1"/>
  <c r="S204" i="5" s="1"/>
  <c r="Q201" i="5"/>
  <c r="R201" i="5" s="1"/>
  <c r="S201" i="5" s="1"/>
  <c r="Q198" i="5"/>
  <c r="R198" i="5" s="1"/>
  <c r="S198" i="5" s="1"/>
  <c r="Q195" i="5"/>
  <c r="R195" i="5" s="1"/>
  <c r="S195" i="5" s="1"/>
  <c r="Q224" i="5"/>
  <c r="R224" i="5" s="1"/>
  <c r="S224" i="5" s="1"/>
  <c r="Q221" i="5"/>
  <c r="R221" i="5" s="1"/>
  <c r="S221" i="5" s="1"/>
  <c r="Q225" i="5"/>
  <c r="R225" i="5" s="1"/>
  <c r="S225" i="5" s="1"/>
  <c r="Q222" i="5"/>
  <c r="R222" i="5" s="1"/>
  <c r="S222" i="5" s="1"/>
  <c r="Q223" i="5"/>
  <c r="R223" i="5" s="1"/>
  <c r="S223" i="5" s="1"/>
  <c r="Q220" i="5"/>
  <c r="R220" i="5" s="1"/>
  <c r="S220" i="5" s="1"/>
  <c r="Q213" i="5"/>
  <c r="R213" i="5" s="1"/>
  <c r="S213" i="5" s="1"/>
  <c r="Q210" i="5"/>
  <c r="R210" i="5" s="1"/>
  <c r="S210" i="5" s="1"/>
  <c r="Q207" i="5"/>
  <c r="R207" i="5" s="1"/>
  <c r="S207" i="5" s="1"/>
  <c r="Q193" i="5"/>
  <c r="R193" i="5" s="1"/>
  <c r="S193" i="5" s="1"/>
  <c r="Q211" i="5"/>
  <c r="R211" i="5" s="1"/>
  <c r="S211" i="5" s="1"/>
  <c r="Q208" i="5"/>
  <c r="R208" i="5" s="1"/>
  <c r="S208" i="5" s="1"/>
  <c r="Q194" i="5"/>
  <c r="R194" i="5" s="1"/>
  <c r="S194" i="5" s="1"/>
  <c r="Q212" i="5"/>
  <c r="R212" i="5" s="1"/>
  <c r="S212" i="5" s="1"/>
  <c r="Q209" i="5"/>
  <c r="R209" i="5" s="1"/>
  <c r="S209" i="5" s="1"/>
  <c r="Q206" i="5"/>
  <c r="R206" i="5" s="1"/>
  <c r="S206" i="5" s="1"/>
  <c r="Q192" i="5"/>
  <c r="R192" i="5" s="1"/>
  <c r="S192" i="5" s="1"/>
  <c r="Q219" i="5"/>
  <c r="R219" i="5" s="1"/>
  <c r="S219" i="5" s="1"/>
  <c r="Q218" i="5"/>
  <c r="R218" i="5" s="1"/>
  <c r="S218" i="5" s="1"/>
  <c r="Q215" i="5"/>
  <c r="R215" i="5" s="1"/>
  <c r="S215" i="5" s="1"/>
  <c r="Q190" i="5"/>
  <c r="R190" i="5" s="1"/>
  <c r="S190" i="5" s="1"/>
  <c r="Q187" i="5"/>
  <c r="R187" i="5" s="1"/>
  <c r="S187" i="5" s="1"/>
  <c r="Q184" i="5"/>
  <c r="R184" i="5" s="1"/>
  <c r="S184" i="5" s="1"/>
  <c r="Q189" i="5"/>
  <c r="R189" i="5" s="1"/>
  <c r="S189" i="5" s="1"/>
  <c r="Q214" i="5"/>
  <c r="R214" i="5" s="1"/>
  <c r="S214" i="5" s="1"/>
  <c r="Q186" i="5"/>
  <c r="R186" i="5" s="1"/>
  <c r="S186" i="5" s="1"/>
  <c r="Q183" i="5"/>
  <c r="R183" i="5" s="1"/>
  <c r="S183" i="5" s="1"/>
  <c r="Q191" i="5"/>
  <c r="R191" i="5" s="1"/>
  <c r="S191" i="5" s="1"/>
  <c r="Q188" i="5"/>
  <c r="R188" i="5" s="1"/>
  <c r="S188" i="5" s="1"/>
  <c r="Q185" i="5"/>
  <c r="R185" i="5" s="1"/>
  <c r="S185" i="5" s="1"/>
  <c r="Q42" i="5"/>
  <c r="R42" i="5" s="1"/>
  <c r="S42" i="5" s="1"/>
  <c r="Q39" i="5"/>
  <c r="R39" i="5" s="1"/>
  <c r="S39" i="5" s="1"/>
  <c r="Q36" i="5"/>
  <c r="R36" i="5" s="1"/>
  <c r="S36" i="5" s="1"/>
  <c r="Q40" i="5"/>
  <c r="R40" i="5" s="1"/>
  <c r="S40" i="5" s="1"/>
  <c r="Q37" i="5"/>
  <c r="R37" i="5" s="1"/>
  <c r="S37" i="5" s="1"/>
  <c r="Q34" i="5"/>
  <c r="R34" i="5" s="1"/>
  <c r="S34" i="5" s="1"/>
  <c r="Q41" i="5"/>
  <c r="R41" i="5" s="1"/>
  <c r="S41" i="5" s="1"/>
  <c r="Q38" i="5"/>
  <c r="R38" i="5" s="1"/>
  <c r="S38" i="5" s="1"/>
  <c r="Q35" i="5"/>
  <c r="R35" i="5" s="1"/>
  <c r="S35" i="5" s="1"/>
  <c r="Q55" i="5"/>
  <c r="R55" i="5" s="1"/>
  <c r="S55" i="5" s="1"/>
  <c r="Q52" i="5"/>
  <c r="R52" i="5" s="1"/>
  <c r="S52" i="5" s="1"/>
  <c r="Q49" i="5"/>
  <c r="R49" i="5" s="1"/>
  <c r="S49" i="5" s="1"/>
  <c r="Q53" i="5"/>
  <c r="R53" i="5" s="1"/>
  <c r="S53" i="5" s="1"/>
  <c r="Q50" i="5"/>
  <c r="R50" i="5" s="1"/>
  <c r="S50" i="5" s="1"/>
  <c r="Q47" i="5"/>
  <c r="R47" i="5" s="1"/>
  <c r="S47" i="5" s="1"/>
  <c r="Q54" i="5"/>
  <c r="R54" i="5" s="1"/>
  <c r="S54" i="5" s="1"/>
  <c r="Q51" i="5"/>
  <c r="R51" i="5" s="1"/>
  <c r="S51" i="5" s="1"/>
  <c r="Q48" i="5"/>
  <c r="R48" i="5" s="1"/>
  <c r="S48" i="5" s="1"/>
  <c r="Q178" i="5"/>
  <c r="R178" i="5" s="1"/>
  <c r="S178" i="5" s="1"/>
  <c r="Q175" i="5"/>
  <c r="R175" i="5" s="1"/>
  <c r="S175" i="5" s="1"/>
  <c r="Q172" i="5"/>
  <c r="R172" i="5" s="1"/>
  <c r="S172" i="5" s="1"/>
  <c r="Q169" i="5"/>
  <c r="R169" i="5" s="1"/>
  <c r="S169" i="5" s="1"/>
  <c r="Q176" i="5"/>
  <c r="R176" i="5" s="1"/>
  <c r="S176" i="5" s="1"/>
  <c r="Q173" i="5"/>
  <c r="R173" i="5" s="1"/>
  <c r="S173" i="5" s="1"/>
  <c r="Q170" i="5"/>
  <c r="R170" i="5" s="1"/>
  <c r="S170" i="5" s="1"/>
  <c r="Q177" i="5"/>
  <c r="R177" i="5" s="1"/>
  <c r="S177" i="5" s="1"/>
  <c r="Q174" i="5"/>
  <c r="R174" i="5" s="1"/>
  <c r="S174" i="5" s="1"/>
  <c r="Q171" i="5"/>
  <c r="R171" i="5" s="1"/>
  <c r="S171" i="5" s="1"/>
  <c r="Q182" i="5"/>
  <c r="R182" i="5" s="1"/>
  <c r="S182" i="5" s="1"/>
  <c r="Q216" i="5"/>
  <c r="R216" i="5" s="1"/>
  <c r="S216" i="5" s="1"/>
  <c r="Q217" i="5"/>
  <c r="R217" i="5" s="1"/>
  <c r="S217" i="5" s="1"/>
  <c r="Q181" i="5"/>
  <c r="R181" i="5" s="1"/>
  <c r="S181" i="5" s="1"/>
  <c r="Q179" i="5"/>
  <c r="R179" i="5" s="1"/>
  <c r="S179" i="5" s="1"/>
  <c r="Q180" i="5"/>
  <c r="R180" i="5" s="1"/>
  <c r="S180" i="5" s="1"/>
  <c r="Q168" i="5"/>
  <c r="R168" i="5" s="1"/>
  <c r="S168" i="5" s="1"/>
  <c r="Q164" i="5"/>
  <c r="R164" i="5" s="1"/>
  <c r="S164" i="5" s="1"/>
  <c r="Q160" i="5"/>
  <c r="R160" i="5" s="1"/>
  <c r="S160" i="5" s="1"/>
  <c r="Q88" i="5"/>
  <c r="R88" i="5" s="1"/>
  <c r="S88" i="5" s="1"/>
  <c r="Q84" i="5"/>
  <c r="R84" i="5" s="1"/>
  <c r="S84" i="5" s="1"/>
  <c r="Q80" i="5"/>
  <c r="R80" i="5" s="1"/>
  <c r="S80" i="5" s="1"/>
  <c r="Q76" i="5"/>
  <c r="R76" i="5" s="1"/>
  <c r="S76" i="5" s="1"/>
  <c r="Q72" i="5"/>
  <c r="R72" i="5" s="1"/>
  <c r="S72" i="5" s="1"/>
  <c r="Q165" i="5"/>
  <c r="R165" i="5" s="1"/>
  <c r="S165" i="5" s="1"/>
  <c r="Q161" i="5"/>
  <c r="R161" i="5" s="1"/>
  <c r="S161" i="5" s="1"/>
  <c r="Q157" i="5"/>
  <c r="R157" i="5" s="1"/>
  <c r="S157" i="5" s="1"/>
  <c r="Q89" i="5"/>
  <c r="R89" i="5" s="1"/>
  <c r="S89" i="5" s="1"/>
  <c r="Q85" i="5"/>
  <c r="R85" i="5" s="1"/>
  <c r="S85" i="5" s="1"/>
  <c r="Q81" i="5"/>
  <c r="R81" i="5" s="1"/>
  <c r="S81" i="5" s="1"/>
  <c r="Q77" i="5"/>
  <c r="R77" i="5" s="1"/>
  <c r="S77" i="5" s="1"/>
  <c r="Q73" i="5"/>
  <c r="R73" i="5" s="1"/>
  <c r="S73" i="5" s="1"/>
  <c r="Q69" i="5"/>
  <c r="R69" i="5" s="1"/>
  <c r="S69" i="5" s="1"/>
  <c r="Q162" i="5"/>
  <c r="R162" i="5" s="1"/>
  <c r="S162" i="5" s="1"/>
  <c r="Q90" i="5"/>
  <c r="R90" i="5" s="1"/>
  <c r="S90" i="5" s="1"/>
  <c r="Q82" i="5"/>
  <c r="R82" i="5" s="1"/>
  <c r="S82" i="5" s="1"/>
  <c r="Q74" i="5"/>
  <c r="R74" i="5" s="1"/>
  <c r="S74" i="5" s="1"/>
  <c r="Q67" i="5"/>
  <c r="R67" i="5" s="1"/>
  <c r="S67" i="5" s="1"/>
  <c r="Q63" i="5"/>
  <c r="R63" i="5" s="1"/>
  <c r="S63" i="5" s="1"/>
  <c r="Q59" i="5"/>
  <c r="R59" i="5" s="1"/>
  <c r="S59" i="5" s="1"/>
  <c r="Q46" i="5"/>
  <c r="R46" i="5" s="1"/>
  <c r="S46" i="5" s="1"/>
  <c r="Q33" i="5"/>
  <c r="R33" i="5" s="1"/>
  <c r="S33" i="5" s="1"/>
  <c r="Q29" i="5"/>
  <c r="R29" i="5" s="1"/>
  <c r="S29" i="5" s="1"/>
  <c r="Q25" i="5"/>
  <c r="R25" i="5" s="1"/>
  <c r="S25" i="5" s="1"/>
  <c r="Q21" i="5"/>
  <c r="R21" i="5" s="1"/>
  <c r="S21" i="5" s="1"/>
  <c r="Q28" i="5"/>
  <c r="R28" i="5" s="1"/>
  <c r="S28" i="5" s="1"/>
  <c r="Q24" i="5"/>
  <c r="R24" i="5" s="1"/>
  <c r="S24" i="5" s="1"/>
  <c r="Q163" i="5"/>
  <c r="R163" i="5" s="1"/>
  <c r="S163" i="5" s="1"/>
  <c r="Q91" i="5"/>
  <c r="R91" i="5" s="1"/>
  <c r="S91" i="5" s="1"/>
  <c r="Q83" i="5"/>
  <c r="R83" i="5" s="1"/>
  <c r="S83" i="5" s="1"/>
  <c r="Q75" i="5"/>
  <c r="R75" i="5" s="1"/>
  <c r="S75" i="5" s="1"/>
  <c r="Q68" i="5"/>
  <c r="R68" i="5" s="1"/>
  <c r="S68" i="5" s="1"/>
  <c r="Q64" i="5"/>
  <c r="R64" i="5" s="1"/>
  <c r="S64" i="5" s="1"/>
  <c r="Q60" i="5"/>
  <c r="R60" i="5" s="1"/>
  <c r="S60" i="5" s="1"/>
  <c r="Q56" i="5"/>
  <c r="R56" i="5" s="1"/>
  <c r="S56" i="5" s="1"/>
  <c r="Q43" i="5"/>
  <c r="R43" i="5" s="1"/>
  <c r="S43" i="5" s="1"/>
  <c r="Q30" i="5"/>
  <c r="R30" i="5" s="1"/>
  <c r="S30" i="5" s="1"/>
  <c r="Q26" i="5"/>
  <c r="R26" i="5" s="1"/>
  <c r="S26" i="5" s="1"/>
  <c r="Q22" i="5"/>
  <c r="R22" i="5" s="1"/>
  <c r="S22" i="5" s="1"/>
  <c r="Q18" i="5"/>
  <c r="R18" i="5" s="1"/>
  <c r="S18" i="5" s="1"/>
  <c r="Q57" i="5"/>
  <c r="R57" i="5" s="1"/>
  <c r="S57" i="5" s="1"/>
  <c r="Q44" i="5"/>
  <c r="R44" i="5" s="1"/>
  <c r="S44" i="5" s="1"/>
  <c r="Q27" i="5"/>
  <c r="R27" i="5" s="1"/>
  <c r="S27" i="5" s="1"/>
  <c r="Q23" i="5"/>
  <c r="R23" i="5" s="1"/>
  <c r="S23" i="5" s="1"/>
  <c r="Q159" i="5"/>
  <c r="R159" i="5" s="1"/>
  <c r="S159" i="5" s="1"/>
  <c r="Q79" i="5"/>
  <c r="R79" i="5" s="1"/>
  <c r="S79" i="5" s="1"/>
  <c r="Q71" i="5"/>
  <c r="R71" i="5" s="1"/>
  <c r="S71" i="5" s="1"/>
  <c r="Q66" i="5"/>
  <c r="R66" i="5" s="1"/>
  <c r="S66" i="5" s="1"/>
  <c r="Q62" i="5"/>
  <c r="R62" i="5" s="1"/>
  <c r="S62" i="5" s="1"/>
  <c r="Q166" i="5"/>
  <c r="R166" i="5" s="1"/>
  <c r="S166" i="5" s="1"/>
  <c r="Q158" i="5"/>
  <c r="R158" i="5" s="1"/>
  <c r="S158" i="5" s="1"/>
  <c r="Q86" i="5"/>
  <c r="R86" i="5" s="1"/>
  <c r="S86" i="5" s="1"/>
  <c r="Q78" i="5"/>
  <c r="R78" i="5" s="1"/>
  <c r="S78" i="5" s="1"/>
  <c r="Q70" i="5"/>
  <c r="R70" i="5" s="1"/>
  <c r="S70" i="5" s="1"/>
  <c r="Q65" i="5"/>
  <c r="R65" i="5" s="1"/>
  <c r="S65" i="5" s="1"/>
  <c r="Q61" i="5"/>
  <c r="R61" i="5" s="1"/>
  <c r="S61" i="5" s="1"/>
  <c r="Q31" i="5"/>
  <c r="R31" i="5" s="1"/>
  <c r="S31" i="5" s="1"/>
  <c r="Q19" i="5"/>
  <c r="R19" i="5" s="1"/>
  <c r="S19" i="5" s="1"/>
  <c r="Q167" i="5"/>
  <c r="R167" i="5" s="1"/>
  <c r="S167" i="5" s="1"/>
  <c r="Q87" i="5"/>
  <c r="R87" i="5" s="1"/>
  <c r="S87" i="5" s="1"/>
  <c r="Q58" i="5"/>
  <c r="R58" i="5" s="1"/>
  <c r="S58" i="5" s="1"/>
  <c r="Q45" i="5"/>
  <c r="R45" i="5" s="1"/>
  <c r="S45" i="5" s="1"/>
  <c r="Q32" i="5"/>
  <c r="R32" i="5" s="1"/>
  <c r="S32" i="5" s="1"/>
  <c r="Q20" i="5"/>
  <c r="R20" i="5" s="1"/>
  <c r="S20" i="5" s="1"/>
  <c r="F15" i="13"/>
  <c r="D15" i="13" s="1"/>
  <c r="U219" i="7"/>
  <c r="D17" i="10" s="1"/>
  <c r="S227" i="5" l="1"/>
  <c r="D15" i="10" s="1"/>
  <c r="D19" i="10" s="1"/>
  <c r="D23" i="13" s="1"/>
  <c r="D28" i="13" s="1"/>
  <c r="H18" i="19" s="1"/>
  <c r="R227"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<sst xmlns="http://schemas.openxmlformats.org/spreadsheetml/2006/main" count="3103" uniqueCount="825">
  <si>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</si>
  <si>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</si>
  <si>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</si>
  <si>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</si>
  <si>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</si>
  <si>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</si>
  <si>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</si>
  <si>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</si>
  <si>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</si>
  <si>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</si>
  <si>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</si>
  <si>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</si>
  <si>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</si>
  <si>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</si>
  <si>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</si>
  <si>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</si>
  <si>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</si>
  <si>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</si>
  <si>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</si>
  <si>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</si>
  <si>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</si>
  <si>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</si>
  <si>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</si>
  <si>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</si>
  <si>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</si>
  <si>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</si>
  <si>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</si>
  <si>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</si>
  <si>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</si>
  <si>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</si>
  <si>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</si>
  <si>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</si>
  <si>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</si>
  <si>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</si>
  <si>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</si>
  <si>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</si>
  <si>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</si>
  <si>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</si>
  <si>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</si>
  <si>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</si>
  <si>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</si>
  <si>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</si>
  <si>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</si>
  <si>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</si>
  <si>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</si>
  <si>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</si>
  <si>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</si>
  <si>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</si>
  <si>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</si>
  <si>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</si>
  <si>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</si>
  <si>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</si>
  <si>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</si>
  <si>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</si>
  <si>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</si>
  <si>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</si>
  <si>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</si>
  <si>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</si>
  <si>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</si>
  <si>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</si>
  <si>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</si>
  <si>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</si>
  <si>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</si>
  <si>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</si>
  <si>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</si>
  <si>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</si>
  <si>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</si>
  <si>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</si>
  <si>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</si>
  <si>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</si>
  <si>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</si>
  <si>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</si>
  <si>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</si>
  <si>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</si>
  <si>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</si>
  <si>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</si>
  <si>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</si>
  <si>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</si>
  <si>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</si>
  <si>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</si>
  <si>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</si>
  <si>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</si>
  <si>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</si>
  <si>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</si>
  <si>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</si>
  <si>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</si>
  <si>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</si>
  <si>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</si>
  <si>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</si>
  <si>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</si>
  <si>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</si>
  <si>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</si>
  <si>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</si>
  <si>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</si>
  <si>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</si>
  <si>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</si>
  <si>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</si>
  <si>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</si>
  <si>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</si>
  <si>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</si>
  <si>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</si>
  <si>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</si>
  <si>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</si>
  <si>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</si>
  <si>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</si>
  <si>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</si>
  <si>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</si>
  <si>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</si>
  <si>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</si>
  <si>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</si>
  <si>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</si>
  <si>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</si>
  <si>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</si>
  <si>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</si>
  <si>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</si>
  <si>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</si>
  <si>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</si>
  <si>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</si>
  <si>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</si>
  <si>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</si>
  <si>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</si>
  <si>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</si>
  <si>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</si>
  <si>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</si>
  <si>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</si>
  <si>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</si>
  <si>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</si>
  <si>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</si>
  <si>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</si>
  <si>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</si>
  <si>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</si>
  <si>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</si>
  <si>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</si>
  <si>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</si>
  <si>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</si>
  <si>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</si>
  <si>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</si>
  <si>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</si>
  <si>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</si>
  <si>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</si>
  <si>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</si>
  <si>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</si>
  <si>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</si>
  <si>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</si>
  <si>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</si>
  <si>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</si>
  <si>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</si>
  <si>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</si>
  <si>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</si>
  <si>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</si>
  <si>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</si>
  <si>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</si>
  <si>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</si>
  <si>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</si>
  <si>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</si>
  <si>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</si>
  <si>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</si>
  <si>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</si>
  <si>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</si>
  <si>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</si>
  <si>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</si>
  <si>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</si>
  <si>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</si>
  <si>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</si>
  <si>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</si>
  <si>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</si>
  <si>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</si>
  <si>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</si>
  <si>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</si>
  <si>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</si>
  <si>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</si>
  <si>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</si>
  <si>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</si>
  <si>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</si>
  <si>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</si>
  <si>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</si>
  <si>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</si>
  <si>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</si>
  <si>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</si>
  <si>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</si>
  <si>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</si>
  <si>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</si>
  <si>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</si>
  <si>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</si>
  <si>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</si>
  <si>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</si>
  <si>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</si>
  <si>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</si>
  <si>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</si>
  <si>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</si>
  <si>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</si>
  <si>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</si>
  <si>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</si>
  <si>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</si>
  <si>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</si>
  <si>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</si>
  <si>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</si>
  <si>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</si>
  <si>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</si>
  <si>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</si>
  <si>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</si>
  <si>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</si>
  <si>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</si>
  <si>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</si>
  <si>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</si>
  <si>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</si>
  <si>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</si>
  <si>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</si>
  <si>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</si>
  <si>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</si>
  <si>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</si>
  <si>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</si>
  <si>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</si>
  <si>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</si>
  <si>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</si>
  <si>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</si>
  <si>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</si>
  <si>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</si>
  <si>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</si>
  <si>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</si>
  <si>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</si>
  <si>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</si>
  <si>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</si>
  <si>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</si>
  <si>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</si>
  <si>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</si>
  <si>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</si>
  <si>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</si>
  <si>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</si>
  <si>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</si>
  <si>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</si>
  <si>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</si>
  <si>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</si>
  <si>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</si>
  <si>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</si>
  <si>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</si>
  <si>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</si>
  <si>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</si>
  <si>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</si>
  <si>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</si>
  <si>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</si>
  <si>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</si>
  <si>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</si>
  <si>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</si>
  <si>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</si>
  <si>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</si>
  <si>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</si>
  <si>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</si>
  <si>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</si>
  <si>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</si>
  <si>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</si>
  <si>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</si>
  <si>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</si>
  <si>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</si>
  <si>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</si>
  <si>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</si>
  <si>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</si>
  <si>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</si>
  <si>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</si>
  <si>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</si>
  <si>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</si>
  <si>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</si>
  <si>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</si>
  <si>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</si>
  <si>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</si>
  <si>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</si>
  <si>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</si>
  <si>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</si>
  <si>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</si>
  <si>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</si>
  <si>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</si>
  <si>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</si>
  <si>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</si>
  <si>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</si>
  <si>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</si>
  <si>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</si>
  <si>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</si>
  <si>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</si>
  <si>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</si>
  <si>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</si>
  <si>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</si>
  <si>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</si>
  <si>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</si>
  <si>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</si>
  <si>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</si>
  <si>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</si>
  <si>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</si>
  <si>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</si>
  <si>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</si>
  <si>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</si>
  <si>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</si>
  <si>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</si>
  <si>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</si>
  <si>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</si>
  <si>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</si>
  <si>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</si>
  <si>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</si>
  <si>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</si>
  <si>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</si>
  <si>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</si>
  <si>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</si>
  <si>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</si>
  <si>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</si>
  <si>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</si>
  <si>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</si>
  <si>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</si>
  <si>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</si>
  <si>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</si>
  <si>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</si>
  <si>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</si>
  <si>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</si>
  <si>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</si>
  <si>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</si>
  <si>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</si>
  <si>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</si>
  <si>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</si>
  <si>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</si>
  <si>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</si>
  <si>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</si>
  <si>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</si>
  <si>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</si>
  <si>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</si>
  <si>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</si>
  <si>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</si>
  <si>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</si>
  <si>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</si>
  <si>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</si>
  <si>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</si>
  <si>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</si>
  <si>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</si>
  <si>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</si>
  <si>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</si>
  <si>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</si>
  <si>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r>
      <t>Discount on percent basis on total price quoted by us without GST.</t>
    </r>
    <r>
      <rPr>
        <sz val="11"/>
        <rFont val="Book Antiqua"/>
        <family val="1"/>
      </rPr>
      <t xml:space="preserve"> [The discount shall be proportionately applicable on all the items of all the Schdules i.e. Sch-1 (without type test charges), Sch-2 , Sch-3, Sch-4 &amp; Sch-7] </t>
    </r>
    <r>
      <rPr>
        <b/>
        <sz val="11"/>
        <rFont val="Book Antiqua"/>
        <family val="1"/>
      </rPr>
      <t>In Percent (%)</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</si>
  <si>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</si>
  <si>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</si>
  <si>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</si>
  <si>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</si>
  <si>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</si>
  <si>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</si>
  <si>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</si>
  <si>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</si>
  <si>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</si>
  <si>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</si>
  <si>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</si>
  <si>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</si>
  <si>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</si>
  <si>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</si>
  <si>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</si>
  <si>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</si>
  <si>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</si>
  <si>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</si>
  <si>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</si>
  <si>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</si>
  <si>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</si>
  <si>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</si>
  <si>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</si>
  <si>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</si>
  <si>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</si>
  <si>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</si>
  <si>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</si>
  <si>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</si>
  <si>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</si>
  <si>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</si>
  <si>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</si>
  <si>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</si>
  <si>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</si>
  <si>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</si>
  <si>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</si>
  <si>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</si>
  <si>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</si>
  <si>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</si>
  <si>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</si>
  <si>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</si>
  <si>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</si>
  <si>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</si>
  <si>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</si>
  <si>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</si>
  <si>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</si>
  <si>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</si>
  <si>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</si>
  <si>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</si>
  <si>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</si>
  <si>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</si>
  <si>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</si>
  <si>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</si>
  <si>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</si>
  <si>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</si>
  <si>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</si>
  <si>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</si>
  <si>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</si>
  <si>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</si>
  <si>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</si>
  <si>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</si>
  <si>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</si>
  <si>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</si>
  <si>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</si>
  <si>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</si>
  <si>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</si>
  <si>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</si>
  <si>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</si>
  <si>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</si>
  <si>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</si>
  <si>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</si>
  <si>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</si>
  <si>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</si>
  <si>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</si>
  <si>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</si>
  <si>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</si>
  <si>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</si>
  <si>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</si>
  <si>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</si>
  <si>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</si>
  <si>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</si>
  <si>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</si>
  <si>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</si>
  <si>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</si>
  <si>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</si>
  <si>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</si>
  <si>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</si>
  <si>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</si>
  <si>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</si>
  <si>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</si>
  <si>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</si>
  <si>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</si>
  <si>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</si>
  <si>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</si>
  <si>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</si>
  <si>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</si>
  <si>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</si>
  <si>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</si>
  <si>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</si>
  <si>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</si>
  <si>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</si>
  <si>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</si>
  <si>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</si>
  <si>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</si>
  <si>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</si>
  <si>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</si>
  <si>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</si>
  <si>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</si>
  <si>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</si>
  <si>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</si>
  <si>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</si>
  <si>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</si>
  <si>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</si>
  <si>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</si>
  <si>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</si>
  <si>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</si>
  <si>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</si>
  <si>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</si>
  <si>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</si>
  <si>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</si>
  <si>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</si>
  <si>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</si>
  <si>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</si>
  <si>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</si>
  <si>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</si>
  <si>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</si>
  <si>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</si>
  <si>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</si>
  <si>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</si>
  <si>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</si>
  <si>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</si>
  <si>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</si>
  <si>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</si>
  <si>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</si>
  <si>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</si>
  <si>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</si>
  <si>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</si>
  <si>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</si>
  <si>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</si>
  <si>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</si>
  <si>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</si>
  <si>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</si>
  <si>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</si>
  <si>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</si>
  <si>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</si>
  <si>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 xml:space="preserve">KM </t>
  </si>
  <si>
    <t xml:space="preserve">M3 </t>
  </si>
  <si>
    <t xml:space="preserve">M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</si>
  <si>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</si>
  <si>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</si>
  <si>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</si>
  <si>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</si>
  <si>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</si>
  <si>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</si>
  <si>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</si>
  <si>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</si>
  <si>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</si>
  <si>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</si>
  <si>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</si>
  <si>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</si>
  <si>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</si>
  <si>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</si>
  <si>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</si>
  <si>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</si>
  <si>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</si>
  <si>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</si>
  <si>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</si>
  <si>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</si>
  <si>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</si>
  <si>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</si>
  <si>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</si>
  <si>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</si>
  <si>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</si>
  <si>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</si>
  <si>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</si>
  <si>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</si>
  <si>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</si>
  <si>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</si>
  <si>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</si>
  <si>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</si>
  <si>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</si>
  <si>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</si>
  <si>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</si>
  <si>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</si>
  <si>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</si>
  <si>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</si>
  <si>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</si>
  <si>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</si>
  <si>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Erection Hardware for 420  kV I Type S/Y</t>
  </si>
  <si>
    <t xml:space="preserve">420kV Insulator and Hardware            </t>
  </si>
  <si>
    <t xml:space="preserve">CRP for  420kV Bays with SAS            </t>
  </si>
  <si>
    <t xml:space="preserve">SAS-AUG                                 </t>
  </si>
  <si>
    <t xml:space="preserve">VMS                                     </t>
  </si>
  <si>
    <t xml:space="preserve">POWER &amp; CONTROL CABLE                   </t>
  </si>
  <si>
    <t xml:space="preserve">FIRE FIGHTING SYSTEM                    </t>
  </si>
  <si>
    <t xml:space="preserve">ILLUMINATION SYSTEM                     </t>
  </si>
  <si>
    <t xml:space="preserve">400kV Equipment support structures      </t>
  </si>
  <si>
    <t xml:space="preserve">Mandatory Spare LOT                     </t>
  </si>
  <si>
    <t>336kV Surge Arrester (1-phase)</t>
  </si>
  <si>
    <t>420 kV, 1 phase Bus Post Insulator (except for Line Traps)</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</si>
  <si>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</si>
  <si>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4PAIR, 0.5SQMM SCREENED CABLE</t>
  </si>
  <si>
    <t>1.1KV GRADE 27CX1.5 SQMM CONTROL CABLE</t>
  </si>
  <si>
    <t>1.1KV GRADE 19CX1.5 SQMM CONTROL CABLE</t>
  </si>
  <si>
    <t>1.1KV GRADE 10CX2.5 SQMM CONTROL CABLE</t>
  </si>
  <si>
    <t>1.1KV GRADE 5CX2.5 SQMM CONTROL CABLE</t>
  </si>
  <si>
    <t>1.1KV GRADE 3CX2.5 SQMM CONTROL CABLE</t>
  </si>
  <si>
    <t>1.1KV GRADE 2CX6 SQMM (PVC) POWER CABLE</t>
  </si>
  <si>
    <t>1.1KV GRADE 4CX6 SQMM (PVC) POWER CABLE</t>
  </si>
  <si>
    <t>1.1KV GRADE 4CX16 SQMM (PVC) POWER CABLE</t>
  </si>
  <si>
    <t>1.1KV GRADE 3.5CX70 SQMM (PVC) POWER CABLE</t>
  </si>
  <si>
    <t>LIGHTING FIXTURE LED LUMINAIRES TYPE FL2 AS PER TECH. SPECIFICATIONS</t>
  </si>
  <si>
    <t>LED FLOOD LIGHT LUMINARIESTYPE FL-1 (150W) AS PER TECHNICALSPECIFICATION</t>
  </si>
  <si>
    <t>Spares-Substation Automation System</t>
  </si>
  <si>
    <t>Relay &amp; protection Panels (with automation)</t>
  </si>
  <si>
    <t>Spare-420kV CT 1</t>
  </si>
  <si>
    <t>SPARES FOR 336KV SURGE ARRESTER</t>
  </si>
  <si>
    <t>Spares for 420kV Double break Isolator</t>
  </si>
  <si>
    <t>Spares for 420kV Circuit Breaker</t>
  </si>
  <si>
    <t xml:space="preserve">LS </t>
  </si>
  <si>
    <t>Fabrication, galvanising and supply of  Lattice Structures (MS Steel),to be designed during detailed engineering, for towers, beams andequipment support structure  including pack plates / packwashers andgusset plates excluding fasteners and foundation bolts</t>
  </si>
  <si>
    <t xml:space="preserve">MT </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</si>
  <si>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</si>
  <si>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</si>
  <si>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 xml:space="preserve">CRP for 420kV Bays with SAS             </t>
  </si>
  <si>
    <t>420KV, 1-PHASE BUS POST INSULATORS</t>
  </si>
  <si>
    <t>Augmentation of existing 400kV bus bar protection scheme.(No. of bays as per specification)-(with Automation)</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</si>
  <si>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</si>
  <si>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Lighting Fixture LED Luminaires type FL-1 as per tech. specifications</t>
  </si>
  <si>
    <t>Lighting Fixture LED Luminaires type FL2 as per tech. specifications</t>
  </si>
  <si>
    <t>1.1kV grade Power Cables (PVCinsulated)along withlugs,glands,straight joints &amp;accessories,etc.</t>
  </si>
  <si>
    <t>1.1kV grade Control Cables (PVCinsulated) along withlugs,glands,straight joints &amp;accessories,etc.</t>
  </si>
  <si>
    <t>Excavation in all kind of soil including  rock  for all leads and lifts, backfilling, disposal of surplus earth within a lead up to2Km as per technical specification. The surplus earth shall be roughly graded .</t>
  </si>
  <si>
    <t>Providing and laying of Plain Cement Concrete (PCC) (1:4:8)</t>
  </si>
  <si>
    <t>Providing and laying Plain Cement Concrete 1:5:10 (1 cement : 5 sand : 10 brick aggregate)</t>
  </si>
  <si>
    <t>Providing and laying of Reinforced Cement Concrete M25 mix including pre cast, shuttering, Grouting of pockets &amp; underpinning butexcluding steel reinforcement</t>
  </si>
  <si>
    <t>Steel Reinforcement</t>
  </si>
  <si>
    <t>Misc. Structural steel including rails, embedments, edge protection angles, gratings etc. but excluding the reinforcement steel andsteel for lattice and pipe structures.</t>
  </si>
  <si>
    <t>Stone spreading in switchyard excluding PCC</t>
  </si>
  <si>
    <t>Antiweed treatment</t>
  </si>
  <si>
    <t xml:space="preserve">M2 </t>
  </si>
  <si>
    <t>Providing and laying of Plain Cement Concrete (PCC) (1:2:4)</t>
  </si>
  <si>
    <t>RCC culverts and cable trench crossings including supplying and laying hume pipe 250mm dia of grade (NP-3) excluding concrete as perspecification.</t>
  </si>
  <si>
    <t>RCC culverts and cable trench crossings including supplying and laying hume pipe 450mm dia of grade (NP-3) excluding concrete as perspecification.</t>
  </si>
  <si>
    <t>Erection of  Lattice Structures (MS Steel), to be designed during detailed engineering, for towers, beams and equipment supportstructure  including pack plates / packwashers and gusset plates excluding fasteners and foundation bolts</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</si>
  <si>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</si>
  <si>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</si>
  <si>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r>
      <rPr>
        <b/>
        <i/>
        <sz val="11"/>
        <rFont val="Book Antiqua"/>
        <family val="1"/>
      </rPr>
      <t>400kV AIS Substation Extn. Package SS-89 for extension of 400/220kV Palakkad Substation and 400/220kV Kolar Substation under Augmentation of Transformation capacity in Southern Region;
Spec. No.: 5002002159/SUB-STATION(EXCLUDIN/DOM/A04-CC CS -5</t>
    </r>
    <r>
      <rPr>
        <b/>
        <i/>
        <sz val="12"/>
        <rFont val="Book Antiqua"/>
        <family val="1"/>
      </rPr>
      <t xml:space="preserve">
</t>
    </r>
  </si>
  <si>
    <t xml:space="preserve">420kV, 63kA AIS EQUIPMENT               </t>
  </si>
  <si>
    <t xml:space="preserve">CSD                                     </t>
  </si>
  <si>
    <t xml:space="preserve">PLCC Equipment                          </t>
  </si>
  <si>
    <t>420kV, 3150A, 63kA Circuit Breaker (3-Phase) without closing resistorand with Support Structure</t>
  </si>
  <si>
    <t>420 kV, 3000A, 63KA, 1-Phase CurrentTransformer with 120% extended currentrating</t>
  </si>
  <si>
    <t>420 kV, 4400 pF Capacitive Voltage Transformer (1-Phase)</t>
  </si>
  <si>
    <t>420kV, 3150A, 63KA,  Isolator (3-phase)(Double Break) with one E/S</t>
  </si>
  <si>
    <t>420 kV ,1 phase Bus Post Insulators for Line Traps</t>
  </si>
  <si>
    <t>Erection Hardware for 400kV I type layout-Line bay  as per technicalspecification</t>
  </si>
  <si>
    <t>Erection Hardware for 400kV I type layout-Spare bay of half dia as pertechnical specification</t>
  </si>
  <si>
    <t>400KV SUSPENSION INSULATOR STRING  AND ASSOCIATED HARDWARE FITTINGSWITH DROP CLAMP SUITABLE FOR QUAD CONDUCTOR</t>
  </si>
  <si>
    <t>400KV   TENSION INSULATOR STRING  AND ASSOCIATED HARDWARE FITTINGSWITH TURN BUCKLE SUITABLE FOR QUAD CONDUCTOR</t>
  </si>
  <si>
    <t>400KV  TENSION INSULATOR STRING  AND ASSOCIATED HARDWARE FITTINGSWITHOUT TURN BUCKLE SUITABLE FOR QUAD CONDUCTOR</t>
  </si>
  <si>
    <t>Controlled Switching Device for 420 kV, 3-ph Circuit Breaker</t>
  </si>
  <si>
    <t>400kV Circuit Breaker Relay Panel with Auto Reclose (with Automation)</t>
  </si>
  <si>
    <t>Augmentation of existing 400kV bus bar protection scheme.(No. of baysas per specification)-(with Automation)</t>
  </si>
  <si>
    <t>Augmentation of Substation automation System for 400kV Main bay as perTechnical Specification</t>
  </si>
  <si>
    <t>Augmentation of Substation automation System for 400kV Tie bay as perTechnical Specification</t>
  </si>
  <si>
    <t>400kV,3150A,0.5mH ,63kA Line Trap</t>
  </si>
  <si>
    <t>1.1KV GRADE 3.5CX35 SQMM (PVC) POWER CABLE</t>
  </si>
  <si>
    <t>Fire Detection and Alarm System for Switchyard Panel Room of 6 mlength</t>
  </si>
  <si>
    <t>4.5 kg CO2 type Portable Fire extinguisher</t>
  </si>
  <si>
    <t>Lighting Panel type ACP-2 as per technical specification</t>
  </si>
  <si>
    <t>Illumination System for switchyard panel room of 6 m length</t>
  </si>
  <si>
    <t>Spare-420kV BPI</t>
  </si>
  <si>
    <t>SPARES FOR CLAMPS &amp; CONNECTORS</t>
  </si>
  <si>
    <t>LOT</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</si>
  <si>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</si>
  <si>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S16.1 SFP</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</si>
  <si>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</si>
  <si>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</si>
  <si>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</si>
  <si>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</si>
  <si>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VOIP TELEPHONE INSTRUMENT WITH ONE COMMON SWITCH (MIN. 8 PORT)</t>
  </si>
  <si>
    <t>24F (DWSM) APPROACH FIBRE OPTIC CABLE  INCLUDING ALL INSTALLATIONHARDWARE SET</t>
  </si>
  <si>
    <t>OPGW Fibre Optic Distribution Panel (FODP): Indoor Type: 96F</t>
  </si>
  <si>
    <t>SDH EQUIPMENT (STM-16 MADM UPTO 5 MSP PROTECTED DIRECTIONS)-COMMONCARDS, CROSS-CONNECT/CONTROL CARDS, OPTICAL BASE CARD, POWER SUPPLYCARDS, POWER CABLING, OTHER HARDWARE &amp; ACCESSORIES (EACH).</t>
  </si>
  <si>
    <t>PRE CONNECTORIZED OPTICAL FIBER PATCH CORDS(10 MTRS) â€“ PACK OF SIXPATCH CORDS</t>
  </si>
  <si>
    <t>PMU with GPS Clock (clock can be either internal or external)</t>
  </si>
  <si>
    <t>WAMS Hardware - Time System (GPS receiver)</t>
  </si>
  <si>
    <t>WAMS Hardware - Substation Grade Layer-3 LAN Switches with minimum 4 x10/100 Mbps Ethernet ports and 2 x 1 Gbps Ethernet ports</t>
  </si>
  <si>
    <t>WAMS Miscellaneous - Armored Fibre Optic Cable and associatedtermination (e.g. L2 Switch) for connecting PMU panels located indifferent control room of a station</t>
  </si>
  <si>
    <t>Spare-420kV CVT 1</t>
  </si>
  <si>
    <t>L16.1 SFP</t>
  </si>
  <si>
    <t>NMS- CRAFT TERMINAL-HARDWARE</t>
  </si>
  <si>
    <t>Software for Craft Terminal</t>
  </si>
  <si>
    <t xml:space="preserve">AIR CONDITIONING &amp; VENTILATION SYSTEM   </t>
  </si>
  <si>
    <t>Air conditioning system  for Switchyard Panel Room of 6m length</t>
  </si>
  <si>
    <t>420kV, 3150A, 63kA Circuit Breaker(3-Phase) without closing resistor(with support structure)</t>
  </si>
  <si>
    <t>400KV  TENSION INSULATOR STRING  AND ASSOCIATED HARDWARE FITTINGS WITHOUT TURN BUCKLE SUITABLE FOR QUAD CONDUCTOR</t>
  </si>
  <si>
    <t>400KV   TENSION INSULATOR STRING  AND ASSOCIATED HARDWARE FITTINGS WITH TURN BUCKLE SUITABLE FOR QUAD CONDUCTOR</t>
  </si>
  <si>
    <t>400KV SUSPENSION INSULATOR STRING  AND ASSOCIATED HARDWARE FITTINGS WITH DROP CLAMP SUITABLE FOR QUAD CONDUCTOR</t>
  </si>
  <si>
    <t>Fire Detection and Alarm System for Switchyard Panel Room of 6 m length</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</si>
  <si>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</si>
  <si>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</si>
  <si>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RCC culverts and cable trench crossings including supplying and laying hume pipe 300mm dia of grade (NP-3) excluding concrete as perspecification.</t>
  </si>
  <si>
    <t>Switchyard Panel Room - Civil Works. All civil works as per drawing and specifications complete, including - brickwork, finishing(external and internal), windows etc. However, excavation, PCC, RCC and reinforcement shall be paid separately as per BPS.</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</si>
  <si>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</si>
  <si>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</si>
  <si>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Optical Interface Cards/SFP# -L16.1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</si>
  <si>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</si>
  <si>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</si>
  <si>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</si>
  <si>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</si>
  <si>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NMS-Craft Terminal-Hardware</t>
  </si>
  <si>
    <t>NMS-Craft Terminal-Software</t>
  </si>
  <si>
    <t>VOIP telephone instrument with one common switch (min. 8 port)</t>
  </si>
  <si>
    <t>Fibre Optic Approach cabling: Including installation hardware like ties/clips/cleats, conduits, ducts, supports, fittings,accessories etc.: 24 Fibre</t>
  </si>
  <si>
    <t>Fibre Optic Distribution Panel (FODP): Indoor Type: FC Coupling and mounted on ETSI 19" rack or slimline rack: Type 2  (96 Fibre)</t>
  </si>
  <si>
    <t>Erection Hardware for 400kV I type layout-Line bay  as per specification</t>
  </si>
  <si>
    <t>Erection Hardware for 400kV I type layout-Spare bay of half dia as per specification</t>
  </si>
  <si>
    <t>Augmentation of   Substation automation System for 400kV Tie bay as per Technical Specification</t>
  </si>
  <si>
    <t>Augmentation of   Substation automation System for 400kV Main bay as per Technical Specification</t>
  </si>
  <si>
    <t>Service:- Phasor Measurement Unit (PMU)</t>
  </si>
  <si>
    <t>WAMS TIME SYSTEM(GPS RECEIVER)</t>
  </si>
  <si>
    <t>Installation of Substation Grade Layer-3 LAN Switches as per Technical Specification</t>
  </si>
  <si>
    <t>Services:- Armored Fibre Optic Cable and associated termination equipment</t>
  </si>
  <si>
    <t>Integration of PMU with the PDC (Phasor Data Concentrator) of RLDCs and respective SLDCs as required.</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</si>
  <si>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</si>
  <si>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765kV AIS Substation Extension Package (SS-91) under Transmission Network Expansion in Gujarat to increase its ATC from ISTS: Part C.</t>
  </si>
  <si>
    <t>SS-91</t>
  </si>
  <si>
    <t>Extn. works at 765/400kV Banaskantha S/S</t>
  </si>
  <si>
    <t xml:space="preserve">800kV 50kA AIS EQUIPMENT                </t>
  </si>
  <si>
    <t xml:space="preserve">36kV AIS EQUIPMENT                      </t>
  </si>
  <si>
    <t xml:space="preserve">Erection Hardware for 765 kV S/Y        </t>
  </si>
  <si>
    <t xml:space="preserve">765kV Insulator and Hardware            </t>
  </si>
  <si>
    <t xml:space="preserve">CRP for 765kV Bays                      </t>
  </si>
  <si>
    <t xml:space="preserve">PLCC Equipment-Banaskantha              </t>
  </si>
  <si>
    <t xml:space="preserve">400 kV TOWERS                           </t>
  </si>
  <si>
    <t xml:space="preserve">Foundation Bolts Supply                 </t>
  </si>
  <si>
    <t xml:space="preserve">765 kV TOWERS                           </t>
  </si>
  <si>
    <t xml:space="preserve">765kV Equipment support structures      </t>
  </si>
  <si>
    <t xml:space="preserve">PLCC Equipment-Sankheri                 </t>
  </si>
  <si>
    <t xml:space="preserve">Comm Equip BoQ Supply BANASKANTHA       </t>
  </si>
  <si>
    <t xml:space="preserve">Comm Equip BoQ Spares at Banaskantha    </t>
  </si>
  <si>
    <t xml:space="preserve">PMU at Banaskantha                      </t>
  </si>
  <si>
    <t>765kV, 3150A, 50kA Circuit Breaker(3-Phase) without closing resistor(with support structure)</t>
  </si>
  <si>
    <t>765 kV, 3000A, 50KA, 1-Phase CurrentTransformer with 120% extended currentrating</t>
  </si>
  <si>
    <t>765kV, 3150A, 50Ka, Vertical Knee/DoubleBreak Isolator (3-Phase) with one E/S</t>
  </si>
  <si>
    <t>765kV, 2000A, 50 KA, VerticalKnee/Double Break Isolator (1-Phase)with one E/S</t>
  </si>
  <si>
    <t>765kV, 2000A, 50kA, Vertical Knee/DoubleBreak Isolator (1-Phase) without E/S</t>
  </si>
  <si>
    <t>624kV Surge Arrester (1-Phase)</t>
  </si>
  <si>
    <t>765 kV, 1 phase Bus Post Insulator (except for Line Traps)</t>
  </si>
  <si>
    <t>420kV, 3150A, 63KA, Isolator (1 phase)(Double Break) without E/S</t>
  </si>
  <si>
    <t>420kV, 3150A, 63KA, Isolator (1 phase)(Double Break) with one E/S</t>
  </si>
  <si>
    <t>Current transformer (33kV) for transformer Netural along with supportstructure &amp; terminal connector</t>
  </si>
  <si>
    <t>Erection Hardware for 765kV I type layout-Any feeder Extn. on existinghalf dia. as per technical specification</t>
  </si>
  <si>
    <t>Bus post insulators, spacers, equipmentsupport structures, conductors, Altube, clamp, connectors (including765kV, 400kV, tertiary and neuturalbushing terminal connectors etc) forarrangement of netural formation forTransformer(s), DELTA formation for onebank (each bank comprises of 3 singlephase units of Autotransformers) andmaking connection arrangement toconnect spare unit in place of any unitof the bank without physical shifting</t>
  </si>
  <si>
    <t>765KV SUSPENSION INSULATOR STRING  AND ASSOCIATED HARDWARE FITTINGSWITH THROUGH CLAMP SUITABLE FOR QUAD CONDUCTOR</t>
  </si>
  <si>
    <t>765KV TENSION INSULATOR STRING  AND ASSOCIATED HARDWARE FITTINGSWITHOUT TURN BUCKLE SUITABLE FOR QUAD CONDUCTOR</t>
  </si>
  <si>
    <t>765KV TENSION INSULATOR STRING AND ASSOCIATED HARDWARE FITTINGS WITHTURN BUCKLE SUITABLE FOR QUAD CONDUCTOR</t>
  </si>
  <si>
    <t>Erection Hardware for 400kV I type layout-Bus Work (For two diameters)as per technical specification</t>
  </si>
  <si>
    <t>Erection Hardware for 400kV I type layout-Transformer bay as pertechnical specification</t>
  </si>
  <si>
    <t>400KV SUSPENSION INSULATOR STRING  AND ASSOCIATED HARDWARE FITTINGSWITH THROUGH CLAMP SUITABLE FOR QUAD CONDUCTOR</t>
  </si>
  <si>
    <t>Controlled Switching Device for 765 kV, 3-ph Circuit Breaker</t>
  </si>
  <si>
    <t>765 kV Circuit Breaker Relay Panel without Auto Reclose (withAutomation)</t>
  </si>
  <si>
    <t>765kV Transformer Protection Panel (For both HV &amp; MV side)-(withAutomation)</t>
  </si>
  <si>
    <t>400kV Line Protection Panel (with Automation)</t>
  </si>
  <si>
    <t>Augmentation of Substation automation system for 765kV Main bay as perTechnical Specification</t>
  </si>
  <si>
    <t>Coupling device for PLCC</t>
  </si>
  <si>
    <t>Carrier Equipment Analog type (for Speech+Data &amp; Speech+Protection)</t>
  </si>
  <si>
    <t>Analog Protection Coupler for PLCC</t>
  </si>
  <si>
    <t>Digital Protection Coupler</t>
  </si>
  <si>
    <t>HF CABLE 75 OHMS FOR PLCC</t>
  </si>
  <si>
    <t>HVW spray system, Hydrant system and complete U/G &amp; O/G piping andaccessories etc. out side the pump house  for 500 MVA,(765/v3)/(400/v3)/(33) kV, 1 -phase Autotransformer</t>
  </si>
  <si>
    <t>Lighting panel SLP for Street Lighting</t>
  </si>
  <si>
    <t>63A, 415V : Interlocked switch socket outdoor Receptacle (type RP) asper technical specifications</t>
  </si>
  <si>
    <t>Outdoor Power Receptacle for oilfiltration unit (250A)</t>
  </si>
  <si>
    <t>Fabrication, galvanising and supply of Standard 400 kV Gantry G3including nuts, bolts, all type of washers, packplates, step bolts andgusset plates excluding foundation bolts</t>
  </si>
  <si>
    <t>Fabrication, galvanising and supply of Standard 400 kV Gantry G2including nuts, bolts, all type of washers, packplates, step bolts andgusset plates excluding foundation bolts</t>
  </si>
  <si>
    <t>Fabrication, galvanising and supply of Standard 400 kV Gantry G1including nuts, bolts, all type of washers, packplates, step bolts andgusset plates excluding foundation bolts</t>
  </si>
  <si>
    <t>Fabrication, galvanising and supply of Std 400 kV Tower TVVD includingnuts, bolts, all type of washers, packplates, step bolts and gussetplates excluding foundation bolts</t>
  </si>
  <si>
    <t>Fabrication, galvanising and supply of Std 400 kV Tower TVV includingnuts, bolts, all type of washers, packplates, step bolts and gussetplates excluding foundation bolts</t>
  </si>
  <si>
    <t>Fabrication, galvanising and supply of Std 400 kV Tower TTT includingnuts, bolts, all type of washers, packplates, step bolts and gussetplates excluding foundation bolts</t>
  </si>
  <si>
    <t>Fabrication, galvanising and supply of Standard 400 kV Tower TJincluding nuts, bolts, all type of washers, packplates, step bolts andgusset plates excluding foundation bolts</t>
  </si>
  <si>
    <t>Fabrication, galvanising and supply of Standard 400 kV Tower THincluding nuts, bolts, all type of washers, packplates, step bolts andgusset plates excluding foundation bolts</t>
  </si>
  <si>
    <t>Fabrication, galvanising and supply of Standard 400 kV Tower TCincluding nuts, bolts, all type of washers, packplates, step bolts andgusset plates excluding foundation bolts</t>
  </si>
  <si>
    <t>Standard Pipe Structure for 400kV BPI (excluding wave trap)</t>
  </si>
  <si>
    <t>Fabrication, galvanising and supply ofStandard Pipe Structure - 400 kV,1-Phase,  CT including nuts, bolts, alltype of washers, packplates, step boltsand gusset plates excluding foundationbolts</t>
  </si>
  <si>
    <t>Fabrication, galvanising and supply of Standard Pipe Structure - 400kV  CVT including nuts, bolts, all type of washers, packplates, stepbolts and gusset plates excluding foundation bolts</t>
  </si>
  <si>
    <t>Fabrication, galvanising and supply ofStandard Pipe Structure - 400 kV,3-Phase,  ISOLATOR including nuts,bolts, all type of washers, packplates,step bolts and gusset plates excludingfoundation bolts</t>
  </si>
  <si>
    <t>Fabrication, galvanising and supply ofStandard Pipe Structure - 400 kV,1-Phase,   SA including nuts, bolts,all type of washers, packplates, stepbolts and gusset plates excludingfoundation bolts</t>
  </si>
  <si>
    <t>Standard Pipe Structure for 400kV BPI for WT (1- phase)</t>
  </si>
  <si>
    <t>SPARES FOFIRE PROTECTION SYSTEM</t>
  </si>
  <si>
    <t>Spare-PLCC</t>
  </si>
  <si>
    <t>SPARES FOR 624KV SURGE ARRESTER</t>
  </si>
  <si>
    <t>SPARE-765KV CAPACITIVE VOLTAGE TRANSFORMER</t>
  </si>
  <si>
    <t>SPARE-765KV CURRENT TRANSFORMER</t>
  </si>
  <si>
    <t>Spare-765kV VKDB Isolator</t>
  </si>
  <si>
    <t>Spare-765KV Circuit Breaker</t>
  </si>
  <si>
    <t>Fabrication, galvanising and supply of 28mm dia foundation boltsincluding nuts, checknuts, washers and packplates.</t>
  </si>
  <si>
    <t>Fabrication, galvanising and supply of 32mm dia foundation boltsincluding nuts, checknuts, washers and packplates</t>
  </si>
  <si>
    <t>Fabrication, galvanising and supply of 56mm dia foundation boltsincluding nuts, checknuts, washers and packplates</t>
  </si>
  <si>
    <t>Fabrication, galvanising and supply of 63mm dia foundation boltsincluding nuts, checknuts, washers and packplates</t>
  </si>
  <si>
    <t>Fabrication, galvanising and supply of 80mm dia foundation boltsincluding nuts, checknuts, washers and packplates</t>
  </si>
  <si>
    <t>Fabrication, galvanising and supply of Std 765 kV Tower CB includingnuts, bolts, all type of washers, packplates, step bolts and gussetplates excluding foundation bolts</t>
  </si>
  <si>
    <t>Fabrication, galvanising and supply ofStd 765 kV Support Structure for1-Phase CT including nuts, bolts, alltype of washers, packplates, step boltsand gusset plates excluding foundationbolts</t>
  </si>
  <si>
    <t>Fabrication, galvanising and supply ofStd 765 kV Support Structure for1-Phase BPI including nuts, bolts, alltype of washers, packplates, step boltsand gusset plates excluding foundationbolts</t>
  </si>
  <si>
    <t>Fabrication, galvanising and supply ofStd 765 kV Support Structure for3-Phase ISOLATOR including nuts, bolts,all type of washers, packplates, stepbolts and gusset plates excludingfoundation bolts</t>
  </si>
  <si>
    <t>FABRICATION, GALVANISING AND SUPPLY OFSTD 765 KV SUPPORT STRUCTURE FOR1-PHASE ISOLATOR  INCLUDING NUTS,BOLTS, ALL TYPE OF WASHERS, PACKPLATES,STEP BOLTS AND GUSSET PLATES EXCLUDINGFOUNDATION BOLTS</t>
  </si>
  <si>
    <t>Fabrication, galvanising and supply ofStd 765 kV Support Structure for1-Phase LA including nuts, bolts, alltype of washers, packplates, step boltsand gusset plates excluding foundationbolts</t>
  </si>
  <si>
    <t>SFP S4.1</t>
  </si>
  <si>
    <t>Extn. works at 400kV Sankhari(GETCO) S/S</t>
  </si>
  <si>
    <t xml:space="preserve">Steel Structures                        </t>
  </si>
  <si>
    <t xml:space="preserve">420kv Erection hardware                 </t>
  </si>
  <si>
    <t xml:space="preserve">Comm Equip BoQ Supply Shankari          </t>
  </si>
  <si>
    <t xml:space="preserve">PMU at Sankhari (GETCO)                 </t>
  </si>
  <si>
    <t>420kV, 3150A, 50/63KA Isolator (3-phase)(pantograph) without E/S</t>
  </si>
  <si>
    <t>420kV, 3150A, 50/63KA Isolator (3-phase)(pantograph) with one E/S</t>
  </si>
  <si>
    <t>400KV  TENSION INSULATOR STRING  AND ASSOCIATED HARDWARE FITTINGS WITHTURN BUCKLE SUITABLE FOR TWIN CONDUCTOR</t>
  </si>
  <si>
    <t>400KV  TENSION INSULATOR STRING  AND ASSOCIATED HARDWARE FITTINGSWITHOUT TURN BUCKLE SUITABLE FOR TWIN CONDUCTOR</t>
  </si>
  <si>
    <t>Fabrication, galvanising and supply of  Lattice Structures (HT Steel),to be designed during detailed engineering, for towers, beams andequipment support structure  including pack plates / packwashers andgusset plates excluding fasteners and foundation bolts</t>
  </si>
  <si>
    <t>Fabrication, galvanising and supply of  Equipment Support (Pipe)Structures to be designed during detailed engineering</t>
  </si>
  <si>
    <t>Erection Hardware for 400kV DMT type layout-Line bay as per technicalspecification</t>
  </si>
  <si>
    <t>Erection Hardware for 400kV DMT type layout-Bus Work (For two bays)</t>
  </si>
  <si>
    <t xml:space="preserve">Civil Works                             </t>
  </si>
  <si>
    <t xml:space="preserve">Foundation Bolts Erection               </t>
  </si>
  <si>
    <t xml:space="preserve">Install of Comm Equip at Banaskantha    </t>
  </si>
  <si>
    <t>765kV, 3150A, 50kA, Vertical Knee/DoubleBreak Isolator (3-Phase) with one E/S</t>
  </si>
  <si>
    <t>765kV, 2000A, 50kA, Vertical Knee/DoubleBreak Isolator (1-Phase) with two E/S</t>
  </si>
  <si>
    <t>Erection of 765 kV, 1-Phase, Bus Post Insulator (except wave Traps)</t>
  </si>
  <si>
    <t>Current transformer (33kV) for transformer Netural along with support structure &amp; terminal connector</t>
  </si>
  <si>
    <t>Erection Hardware for 765kV I type layout-Any feeder Extn. On existing half dia.</t>
  </si>
  <si>
    <t>Bus post insulators, spacers, equipment support structures, conductors, Al tube, clamp, connectors (including 765kV, 400kV, tertiaryand neutural bushing terminal connectors etc) for arrangement of netural formation for Transformer(s), DELTA formation for one bank(each bank comprises of 3 single phase units of Autotransformers) and making connection arrangement to connect spare unit in placeof any unit of the bank without physical shifting</t>
  </si>
  <si>
    <t>765KV SUSPENSION INSULATOR STRING  AND ASSOCIATED HARDWARE FITTINGS WITH THROUGH CLAMP SUITABLE FOR QUAD CONDUCTOR</t>
  </si>
  <si>
    <t>765KV TENSION INSULATOR STRING  AND ASSOCIATED HARDWARE FITTINGS WITHOUT TURN BUCKLE SUITABLE FOR QUAD CONDUCTOR</t>
  </si>
  <si>
    <t>765KV TENSION INSULATOR STRING AND ASSOCIATED HARDWARE FITTINGS WITH TURN BUCKLE SUITABLE FOR QUAD CONDUCTOR</t>
  </si>
  <si>
    <t>Erection Hardware for 400kV I type layout-Transformer bay as per specification</t>
  </si>
  <si>
    <t>Erection Hardware for 400kV I type layout-Bus Work (For two diameters)/bays as per specification</t>
  </si>
  <si>
    <t>400KV SUSPENSION INSULATOR STRING  AND ASSOCIATED HARDWARE FITTINGS WITH THROUGH CLAMP SUITABLE FOR QUAD CONDUCTOR</t>
  </si>
  <si>
    <t>765 kV Circuit Breaker Relay Panel without Auto Reclose (with Automation)</t>
  </si>
  <si>
    <t>765kV Transformer Protection Panel (For both HV &amp; MV side)-(with Automation)</t>
  </si>
  <si>
    <t>Augmentation of existing 765kV bus bar protection scheme.(No. of bays as per specification)-(with Automation)</t>
  </si>
  <si>
    <t>Augmentation of  Substation automation system for 765kV Main bay  as per Technical Specification</t>
  </si>
  <si>
    <t>HF CABLE FOR PLCC-75 OHM (KM)</t>
  </si>
  <si>
    <t>Protection Coupler (Analog)</t>
  </si>
  <si>
    <t>HVW spray system, Hydrant system and complete U/G &amp; O/G piping and accessories etc. out side the pump house  for 500 MVA,(765/v3)/(400/v3)/(33) kV, 1 -phase Autotransformer</t>
  </si>
  <si>
    <t>63A, 415V : Interlocked switch socket outdoor Receptacle (type RP) as per technical specifications</t>
  </si>
  <si>
    <t>Sub Lighting panel (outdoor) type SLP (Switchyard and Street Lighting)</t>
  </si>
  <si>
    <t>Erection of Std 400 kV Tower TC including nuts, bolts, all type of washers, packplates, step bolts and gusset plates excludingfoundation bolts</t>
  </si>
  <si>
    <t>Erection of Std 400 kV Tower TH including nuts, bolts, all type of washers, packplates, step bolts and gusset plates excludingfoundation bolts</t>
  </si>
  <si>
    <t>Erection of Std 400 kV Tower TJ including nuts, bolts, all type of washers, packplates, step bolts and gusset plates excludingfoundation bolts</t>
  </si>
  <si>
    <t>Erection of Std 400 kV Tower TTT including nuts, bolts, all type of washers, packplates, step bolts and gusset plates excludingfoundation bolts</t>
  </si>
  <si>
    <t>Erection of Std 400 kV Tower TVV including nuts, bolts, all type of washers, packplates, step bolts and gusset plates excludingfoundation bolts</t>
  </si>
  <si>
    <t>Erection of Std 400 kV Tower TVVD including nuts, bolts, all type of washers, packplates, step bolts and gusset plates excludingfoundation bolts</t>
  </si>
  <si>
    <t>Erection of Std 400 kV Gantry G1 including nuts, bolts, all type of washers, packplates, step bolts and gusset plates excludingfoundation bolts</t>
  </si>
  <si>
    <t>Erection of Std 400 kV Gantry G2 including nuts, bolts, all type of washers, packplates, step bolts and gusset plates excludingfoundation bolts</t>
  </si>
  <si>
    <t>Erection of Std 400 kV Gantry G3 including nuts, bolts, all type of washers, packplates, step bolts and gusset plates excludingfoundation bolts</t>
  </si>
  <si>
    <t>Erection of Pipe Structure - 400 kV, 1-Phase,   BPI, (Excluding Wave Trap),  including nuts, bolts, all  type of washers,packplates, step bolts and gusset plates excluding foundation bolts</t>
  </si>
  <si>
    <t>Erection of Pipe Structure - 400 kV  1-Phase CT including nuts, bolts, all type of washers, packplates, step bolts and gusset platesexcluding foundation bolts</t>
  </si>
  <si>
    <t>Erection of Pipe Structure - 400 kV 1-Phase CVT including nuts, bolts, all type of washers, packplates, step bolts and gusset platesexcluding foundation bolts</t>
  </si>
  <si>
    <t>Erection of Pipe Structure - 400 kV 3-Phase ISOLATOR including nuts, bolts, all type of washers, packplates, step bolts and gussetplates excluding foundation bolts</t>
  </si>
  <si>
    <t>Erection of Pipe Structure - 400 kV 1-Phase SA including nuts, bolts, all type of washers, packplates, step bolts and gusset platesexcluding foundation bolts</t>
  </si>
  <si>
    <t>Erection of Pipe Structure - 400 kV 1-Phase WT including nuts, bolts, all type of washers, packplates, step bolts and gusset platesexcluding foundation bolts</t>
  </si>
  <si>
    <t>Stone filling (40 mm size) for transformer/Reactor foundation</t>
  </si>
  <si>
    <t>External finishing / painting of fire wall (water proofing cement paint) (DSR 13.44.1)</t>
  </si>
  <si>
    <t xml:space="preserve"> Construction of rail cum road as per drawing including all item such as excavation,compactions, rolling watering, WBM etc. butexcluding concrete reinforcement and structural steel-Section having four rails for auto transformer.</t>
  </si>
  <si>
    <t>14.4.3  Providing, laying and fixing following dia RCC pipe NP2 class (light duty) in ground complete with RCC collars, jointingwith cement mortar 1:2 (1 cement : 2 fine sand) including trenching (75 cm deep) and refilling etc as required. : 250 mm dia</t>
  </si>
  <si>
    <t xml:space="preserve">Erection of  Equipment Support (Pipe) Structures to be designed during detailed engineering.
</t>
  </si>
  <si>
    <t>Erection of 28mm dia foundation bolts including nuts, checknuts, washers and packplates.</t>
  </si>
  <si>
    <t>Erection of 32mm dia foundation bolts including nuts, checknuts, washers and packplates</t>
  </si>
  <si>
    <t>Erection of 56mm dia foundation bolts including nuts, checknuts, washers and packplates</t>
  </si>
  <si>
    <t xml:space="preserve">Erection of 63mm dia foundation bolts including nuts, checknuts, washers and packplates. </t>
  </si>
  <si>
    <t>Erection of 80mm dia foundation bolts including nuts, checknuts, washers and packplates</t>
  </si>
  <si>
    <t>Erection of Std 765 kV Tower CB including nuts, bolts, all type of washers, packplates, step bolts and gusset plates excludingfoundation bolts</t>
  </si>
  <si>
    <t>Erection of Std 765 kV Support Structure 1-Phase CT including nuts, bolts, all type of washers, packplates, step bolts and gussetplates excluding foundation bolts</t>
  </si>
  <si>
    <t>Erection of Std 765 kV Support Structure 3 Phase ISOLATOR including nuts, bolts, all type of washers, packplates, step bolts andgusset plates excluding foundation bolts</t>
  </si>
  <si>
    <t>Erection of Std 765 kV Support Structure 1-Phase LA including nuts, bolts, all type of washers, packplates, step bolts and gussetplates excluding foundation bolts</t>
  </si>
  <si>
    <t>Erection of Std 765 kV Support Structure 1 Phase ISOLATOR including nuts, bolts, all type of washers, packplates, step bolts andgusset plates excluding foundation bolts</t>
  </si>
  <si>
    <t>Erection of Std 765 kV Support Structure 1-Phase BPI including nuts, bolts, all type of washers, packplates, step bolts and gussetplates excluding foundation bolts</t>
  </si>
  <si>
    <t xml:space="preserve">Install of Comm Equip at Shankari       </t>
  </si>
  <si>
    <t>420kV, 3150A, 50/63KA Isolator (3-phase) (pantograph) without E/S</t>
  </si>
  <si>
    <t>400KV  TENSION INSULATOR STRING  AND ASSOCIATED HARDWARE FITTINGS WITH TURN BUCKLE SUITABLE FOR TWIN CONDUCTOR</t>
  </si>
  <si>
    <t>400KV  TENSION INSULATOR STRING  AND ASSOCIATED HARDWARE FITTINGS WITHOUT TURN BUCKLE SUITABLE FOR TWIN CONDUCTOR</t>
  </si>
  <si>
    <t xml:space="preserve">Erection of  Lattice Structures (HT Steel), to be designed during detailed engineering, for towers, beams and equipment supportstructure  including pack plates / packwashers and gusset plates excluding fasteners and foundation bolts.
</t>
  </si>
  <si>
    <t>3.75m wide Cement Concrete road with PCC shoulder including 100 mm dia RCC Hume Pipe @ 100 metre interval as per drawing and TS.However, reinforcement steel and all type concrete shall be paid separately under relevant items</t>
  </si>
  <si>
    <t>Drain including culverts but excluding concrete &amp; reinforcement steel-Section A-A</t>
  </si>
  <si>
    <t>Drain including culverts but excluding concrete &amp; reinforcement steel-Section B-B</t>
  </si>
  <si>
    <t>Drain including culverts but excluding concrete &amp; reinforcement steel-Section C-C</t>
  </si>
  <si>
    <t>Drain including culverts but excluding concrete &amp; reinforcement steel-Section D-D</t>
  </si>
  <si>
    <t>Soil Investigation: As per technical specification including all laboratory and field tests, report and recommendations.</t>
  </si>
  <si>
    <t>Erection Hardware for 400kV DMT type layout-Line bay as per specification</t>
  </si>
  <si>
    <t>Optical Interface Cards/SFP# -S4.1 SDH Equipment -STM-16</t>
  </si>
  <si>
    <t>Spec. No: 5002002280/SUB-STATION(EXCLUDIN/DOM/A06-CC CS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</si>
</sst>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u/>
      <sz val="11"/>
      <color theme="10"/>
      <name val="Calibri"/>
      <family val="2"/>
      <scheme val="minor"/>
    </font>
    <font>
      <sz val="14"/>
      <name val="Book Antiqua"/>
      <family val="1"/>
    </font>
    <font>
      <b/>
      <sz val="14"/>
      <color theme="1"/>
      <name val="Calibri"/>
      <family val="2"/>
      <scheme val="minor"/>
    </font>
    <font>
      <sz val="14"/>
      <color theme="1"/>
      <name val="Book Antiqua"/>
      <family val="1"/>
    </font>
    <font>
      <u/>
      <sz val="14"/>
      <color theme="10"/>
      <name val="Calibri"/>
      <family val="2"/>
      <scheme val="minor"/>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80" fillId="0" borderId="0" applyNumberFormat="0" applyFill="0" applyBorder="0" applyAlignment="0" applyProtection="0"/>
  </cellStyleXfs>
  <cellXfs count="1130">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3" fillId="0" borderId="0" xfId="0" applyFont="1" applyAlignment="1" applyProtection="1">
      <alignment vertical="center" wrapText="1"/>
    </xf>
    <xf numFmtId="0" fontId="73" fillId="0" borderId="0" xfId="0" applyFont="1" applyAlignment="1" applyProtection="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Fill="1" applyBorder="1" applyAlignment="1">
      <alignment vertical="top" wrapText="1"/>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0" fontId="73" fillId="0" borderId="9" xfId="0" applyFont="1" applyFill="1" applyBorder="1" applyAlignment="1">
      <alignment horizontal="center" vertical="top" wrapText="1"/>
    </xf>
    <xf numFmtId="164"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3"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3"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3" fillId="0" borderId="9" xfId="0" applyFont="1" applyBorder="1" applyAlignment="1">
      <alignment horizontal="center" vertical="top" wrapText="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6"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3"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0" fontId="73" fillId="0" borderId="9" xfId="0" applyFont="1" applyFill="1" applyBorder="1" applyAlignment="1">
      <alignment horizontal="left" vertical="top" wrapText="1"/>
    </xf>
    <xf numFmtId="0" fontId="73" fillId="3" borderId="9" xfId="109" applyFont="1" applyFill="1" applyBorder="1" applyAlignment="1" applyProtection="1">
      <alignment vertical="top" wrapText="1"/>
      <protection locked="0"/>
    </xf>
    <xf numFmtId="164" fontId="73" fillId="3" borderId="9" xfId="8" applyFont="1" applyFill="1" applyBorder="1" applyAlignment="1" applyProtection="1">
      <alignment horizontal="right" vertical="top" wrapText="1"/>
      <protection locked="0"/>
    </xf>
    <xf numFmtId="0" fontId="2" fillId="10" borderId="18" xfId="111" applyNumberFormat="1" applyFont="1" applyFill="1" applyBorder="1" applyAlignment="1" applyProtection="1">
      <alignment horizontal="center" vertical="center" wrapText="1"/>
      <protection locked="0"/>
    </xf>
    <xf numFmtId="0" fontId="73" fillId="10" borderId="18" xfId="0" applyFont="1" applyFill="1" applyBorder="1" applyAlignment="1">
      <alignment vertical="center" wrapText="1"/>
    </xf>
    <xf numFmtId="4" fontId="76" fillId="10" borderId="18" xfId="8" applyNumberFormat="1" applyFont="1" applyFill="1" applyBorder="1" applyAlignment="1" applyProtection="1">
      <alignment horizontal="right" vertical="center" wrapText="1"/>
    </xf>
    <xf numFmtId="0" fontId="5" fillId="0" borderId="9" xfId="0" applyFont="1" applyBorder="1" applyAlignment="1" applyProtection="1">
      <alignment vertical="center" wrapText="1"/>
    </xf>
    <xf numFmtId="0" fontId="2" fillId="0" borderId="9" xfId="0" applyFont="1" applyBorder="1" applyAlignment="1" applyProtection="1">
      <alignment vertical="center" wrapText="1"/>
    </xf>
    <xf numFmtId="0" fontId="73" fillId="0" borderId="9" xfId="0" applyFont="1" applyBorder="1" applyAlignment="1" applyProtection="1">
      <alignment horizontal="center" vertical="center"/>
      <protection locked="0"/>
    </xf>
    <xf numFmtId="43"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9" xfId="0" applyFont="1" applyBorder="1" applyAlignment="1" applyProtection="1">
      <alignment vertical="center"/>
    </xf>
    <xf numFmtId="0" fontId="2" fillId="0" borderId="9" xfId="0" applyFont="1" applyBorder="1" applyAlignment="1" applyProtection="1">
      <alignment vertical="center"/>
    </xf>
    <xf numFmtId="43" fontId="3" fillId="0" borderId="9" xfId="0" applyNumberFormat="1"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9" xfId="0" applyFont="1" applyBorder="1" applyAlignment="1" applyProtection="1">
      <alignment vertical="center"/>
    </xf>
    <xf numFmtId="0" fontId="1" fillId="0" borderId="9" xfId="0" applyFont="1" applyBorder="1" applyAlignment="1" applyProtection="1">
      <alignment vertical="center"/>
    </xf>
    <xf numFmtId="0" fontId="1" fillId="0" borderId="0" xfId="0" applyNumberFormat="1" applyFont="1" applyFill="1" applyBorder="1" applyAlignment="1" applyProtection="1">
      <alignment horizontal="left" vertical="center" wrapText="1"/>
    </xf>
    <xf numFmtId="0" fontId="76" fillId="0" borderId="0" xfId="0" applyFont="1" applyBorder="1" applyAlignment="1" applyProtection="1">
      <alignment horizontal="lef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xf>
    <xf numFmtId="0" fontId="2" fillId="0" borderId="0" xfId="115" applyFont="1" applyBorder="1" applyAlignment="1" applyProtection="1">
      <alignment horizontal="center" vertical="center" wrapText="1"/>
    </xf>
    <xf numFmtId="0" fontId="1" fillId="0" borderId="0" xfId="115" applyFont="1" applyBorder="1" applyAlignment="1" applyProtection="1">
      <alignment horizontal="center" vertical="center"/>
    </xf>
    <xf numFmtId="0" fontId="71" fillId="0" borderId="0" xfId="0" applyFont="1" applyBorder="1" applyAlignment="1" applyProtection="1">
      <alignment horizontal="center" vertical="center"/>
    </xf>
    <xf numFmtId="0" fontId="1" fillId="0" borderId="0" xfId="115" applyFont="1" applyFill="1" applyBorder="1" applyAlignment="1" applyProtection="1">
      <alignment horizontal="left" vertical="center"/>
    </xf>
    <xf numFmtId="0" fontId="1" fillId="0" borderId="0" xfId="115" applyFont="1" applyFill="1" applyBorder="1" applyAlignment="1" applyProtection="1">
      <alignment horizontal="center" vertical="center"/>
    </xf>
    <xf numFmtId="0" fontId="2" fillId="0" borderId="0" xfId="115" applyFont="1" applyFill="1" applyBorder="1" applyAlignment="1" applyProtection="1">
      <alignment horizontal="center" vertical="center" wrapText="1"/>
    </xf>
    <xf numFmtId="0" fontId="76" fillId="0" borderId="0" xfId="0" applyFont="1" applyBorder="1" applyAlignment="1" applyProtection="1">
      <alignment horizontal="center" vertical="center"/>
    </xf>
    <xf numFmtId="0" fontId="78" fillId="0" borderId="0" xfId="0" applyFont="1" applyBorder="1" applyAlignment="1" applyProtection="1">
      <alignment horizontal="center" vertical="center"/>
    </xf>
    <xf numFmtId="0" fontId="73" fillId="0" borderId="0" xfId="0" applyFont="1" applyBorder="1" applyAlignment="1" applyProtection="1">
      <alignment horizontal="right" vertical="center"/>
      <protection locked="0"/>
    </xf>
    <xf numFmtId="2" fontId="73" fillId="0" borderId="0" xfId="0" applyNumberFormat="1" applyFont="1" applyBorder="1" applyAlignment="1" applyProtection="1">
      <alignment horizontal="right" vertical="center"/>
      <protection locked="0"/>
    </xf>
    <xf numFmtId="43" fontId="73" fillId="0" borderId="0" xfId="0" applyNumberFormat="1" applyFont="1" applyBorder="1" applyAlignment="1" applyProtection="1">
      <alignment horizontal="center" vertical="center"/>
    </xf>
    <xf numFmtId="164" fontId="73" fillId="0" borderId="0" xfId="8" applyFont="1" applyBorder="1" applyAlignment="1">
      <alignment horizontal="right" vertical="center"/>
    </xf>
    <xf numFmtId="164" fontId="76" fillId="0" borderId="0" xfId="8" applyFont="1" applyBorder="1" applyAlignment="1">
      <alignment horizontal="right" vertical="center"/>
    </xf>
    <xf numFmtId="164" fontId="73" fillId="0" borderId="0" xfId="8" applyFont="1" applyBorder="1" applyAlignment="1" applyProtection="1">
      <alignment horizontal="right" vertical="center"/>
      <protection locked="0"/>
    </xf>
    <xf numFmtId="4" fontId="76" fillId="0" borderId="0" xfId="8" applyNumberFormat="1" applyFont="1" applyBorder="1" applyAlignment="1" applyProtection="1">
      <alignment horizontal="right" vertical="center"/>
      <protection locked="0"/>
    </xf>
    <xf numFmtId="164" fontId="76" fillId="0" borderId="0" xfId="8" applyFont="1" applyBorder="1" applyAlignment="1" applyProtection="1">
      <alignment horizontal="right" vertical="center"/>
      <protection locked="0"/>
    </xf>
    <xf numFmtId="0" fontId="73" fillId="0" borderId="0" xfId="0" applyFont="1" applyBorder="1" applyAlignment="1">
      <alignment horizontal="center" vertical="center"/>
    </xf>
    <xf numFmtId="0" fontId="73" fillId="0" borderId="0" xfId="0" applyFont="1" applyBorder="1" applyAlignment="1" applyProtection="1">
      <alignment horizontal="center" vertical="center"/>
      <protection locked="0"/>
    </xf>
    <xf numFmtId="2" fontId="73" fillId="0" borderId="0" xfId="0" applyNumberFormat="1" applyFont="1" applyBorder="1" applyAlignment="1" applyProtection="1">
      <alignment horizontal="center" vertical="center"/>
    </xf>
    <xf numFmtId="0" fontId="76" fillId="0" borderId="0" xfId="0" applyFont="1" applyBorder="1" applyAlignment="1" applyProtection="1">
      <alignment horizontal="right" vertical="center"/>
    </xf>
    <xf numFmtId="0" fontId="2" fillId="0" borderId="9" xfId="0" applyNumberFormat="1" applyFont="1" applyFill="1" applyBorder="1" applyAlignment="1" applyProtection="1">
      <alignment horizontal="center" vertical="top"/>
    </xf>
    <xf numFmtId="0" fontId="2" fillId="14" borderId="9" xfId="111" applyNumberFormat="1" applyFont="1" applyFill="1" applyBorder="1" applyAlignment="1" applyProtection="1">
      <alignment horizontal="center" vertical="center" wrapText="1"/>
    </xf>
    <xf numFmtId="0" fontId="73" fillId="14" borderId="9" xfId="0" applyFont="1" applyFill="1" applyBorder="1" applyAlignment="1">
      <alignment vertical="top" wrapText="1"/>
    </xf>
    <xf numFmtId="0" fontId="73" fillId="14" borderId="9" xfId="0" applyFont="1" applyFill="1" applyBorder="1" applyAlignment="1">
      <alignment horizontal="center" vertical="top" wrapText="1"/>
    </xf>
    <xf numFmtId="164" fontId="73" fillId="14" borderId="9" xfId="8" applyFont="1" applyFill="1" applyBorder="1" applyAlignment="1" applyProtection="1">
      <alignment horizontal="right" vertical="top" wrapText="1"/>
      <protection locked="0"/>
    </xf>
    <xf numFmtId="164" fontId="73" fillId="14" borderId="9" xfId="8" applyFont="1" applyFill="1" applyBorder="1" applyAlignment="1" applyProtection="1">
      <alignment horizontal="right" vertical="top" wrapText="1"/>
    </xf>
    <xf numFmtId="0" fontId="5" fillId="14" borderId="9" xfId="0" applyFont="1" applyFill="1" applyBorder="1" applyAlignment="1" applyProtection="1">
      <alignment vertical="center" wrapText="1"/>
    </xf>
    <xf numFmtId="0" fontId="2" fillId="14" borderId="9" xfId="0" applyFont="1" applyFill="1" applyBorder="1" applyAlignment="1" applyProtection="1">
      <alignment vertical="center" wrapText="1"/>
    </xf>
    <xf numFmtId="0" fontId="2" fillId="0" borderId="9" xfId="111" applyNumberFormat="1" applyFont="1" applyFill="1" applyBorder="1" applyAlignment="1" applyProtection="1">
      <alignment horizontal="center" vertical="top" wrapText="1"/>
    </xf>
    <xf numFmtId="1" fontId="2" fillId="14" borderId="9" xfId="111" applyNumberFormat="1" applyFont="1" applyFill="1" applyBorder="1" applyAlignment="1" applyProtection="1">
      <alignment horizontal="center" vertical="top" wrapText="1"/>
    </xf>
    <xf numFmtId="0" fontId="73" fillId="14" borderId="9" xfId="109" applyFont="1" applyFill="1" applyBorder="1" applyAlignment="1" applyProtection="1">
      <alignment horizontal="center" vertical="top" wrapText="1"/>
      <protection locked="0"/>
    </xf>
    <xf numFmtId="10" fontId="2" fillId="14" borderId="9" xfId="111" applyNumberFormat="1" applyFont="1" applyFill="1" applyBorder="1" applyAlignment="1" applyProtection="1">
      <alignment horizontal="center" vertical="top" wrapText="1"/>
      <protection locked="0" hidden="1"/>
    </xf>
    <xf numFmtId="2" fontId="2" fillId="14" borderId="9" xfId="111" applyNumberFormat="1" applyFont="1" applyFill="1" applyBorder="1" applyAlignment="1" applyProtection="1">
      <alignment horizontal="right" vertical="top" wrapText="1"/>
    </xf>
    <xf numFmtId="0" fontId="73" fillId="14" borderId="9" xfId="0" applyFont="1" applyFill="1" applyBorder="1" applyAlignment="1" applyProtection="1">
      <alignment horizontal="center" vertical="center"/>
      <protection locked="0"/>
    </xf>
    <xf numFmtId="0" fontId="2" fillId="14" borderId="9" xfId="0" applyFont="1" applyFill="1" applyBorder="1" applyAlignment="1" applyProtection="1">
      <alignment horizontal="center" vertical="center"/>
      <protection locked="0"/>
    </xf>
    <xf numFmtId="178" fontId="2" fillId="14" borderId="9" xfId="0" applyNumberFormat="1" applyFont="1" applyFill="1" applyBorder="1" applyAlignment="1" applyProtection="1">
      <alignment vertical="center"/>
      <protection locked="0"/>
    </xf>
    <xf numFmtId="0" fontId="2" fillId="14" borderId="9" xfId="0" applyFont="1" applyFill="1" applyBorder="1" applyAlignment="1" applyProtection="1">
      <alignment vertical="center"/>
      <protection locked="0"/>
    </xf>
    <xf numFmtId="43" fontId="5" fillId="14" borderId="9" xfId="0" applyNumberFormat="1" applyFont="1" applyFill="1" applyBorder="1" applyAlignment="1" applyProtection="1">
      <alignment vertical="center"/>
      <protection locked="0"/>
    </xf>
    <xf numFmtId="0" fontId="5" fillId="14" borderId="9" xfId="0" applyFont="1" applyFill="1" applyBorder="1" applyAlignment="1" applyProtection="1">
      <alignment vertical="center"/>
      <protection locked="0"/>
    </xf>
    <xf numFmtId="0" fontId="5" fillId="14" borderId="9" xfId="0" applyFont="1" applyFill="1" applyBorder="1" applyAlignment="1" applyProtection="1">
      <alignment vertical="center"/>
    </xf>
    <xf numFmtId="0" fontId="2" fillId="14" borderId="9" xfId="0" applyFont="1" applyFill="1" applyBorder="1" applyAlignment="1" applyProtection="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Border="1" applyAlignment="1">
      <alignment horizontal="center" vertical="top" wrapText="1"/>
    </xf>
    <xf numFmtId="0" fontId="1" fillId="0" borderId="0" xfId="126" applyFont="1" applyBorder="1" applyAlignment="1">
      <alignment horizontal="center" wrapText="1"/>
    </xf>
    <xf numFmtId="0" fontId="1" fillId="0" borderId="48" xfId="126" applyFont="1" applyBorder="1" applyAlignment="1">
      <alignment horizontal="center" wrapText="1"/>
    </xf>
    <xf numFmtId="1" fontId="2" fillId="0" borderId="0" xfId="126" applyNumberFormat="1" applyFont="1" applyBorder="1" applyAlignment="1">
      <alignment vertical="top" wrapText="1"/>
    </xf>
    <xf numFmtId="1" fontId="1" fillId="4" borderId="3" xfId="126" applyNumberFormat="1" applyFont="1" applyFill="1" applyBorder="1" applyAlignment="1">
      <alignment horizontal="center" vertical="top" wrapText="1"/>
    </xf>
    <xf numFmtId="43"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43"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43" fontId="1" fillId="0" borderId="0" xfId="127" applyFont="1"/>
    <xf numFmtId="43"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43"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58" fillId="4" borderId="9" xfId="126" applyFont="1" applyFill="1" applyBorder="1" applyAlignment="1">
      <alignment horizontal="right" vertical="top" wrapText="1"/>
    </xf>
    <xf numFmtId="1" fontId="58" fillId="0" borderId="9" xfId="126" quotePrefix="1" applyNumberFormat="1" applyFont="1" applyFill="1" applyBorder="1" applyAlignment="1">
      <alignment horizontal="right" vertical="center" wrapText="1"/>
    </xf>
    <xf numFmtId="1" fontId="2" fillId="0" borderId="0" xfId="126" applyNumberFormat="1" applyFont="1" applyAlignment="1">
      <alignment vertical="top"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Border="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164" fontId="73" fillId="0" borderId="0" xfId="0" applyNumberFormat="1" applyFont="1" applyBorder="1" applyAlignment="1" applyProtection="1">
      <alignment horizontal="center" vertical="center"/>
    </xf>
    <xf numFmtId="0" fontId="73" fillId="13" borderId="0" xfId="0" applyFont="1" applyFill="1" applyBorder="1" applyAlignment="1" applyProtection="1">
      <alignment horizontal="left" vertical="center"/>
    </xf>
    <xf numFmtId="0" fontId="73" fillId="13" borderId="0" xfId="0" applyFont="1" applyFill="1" applyBorder="1" applyAlignment="1" applyProtection="1">
      <alignment horizontal="left" vertical="center" wrapText="1"/>
    </xf>
    <xf numFmtId="164" fontId="5" fillId="0" borderId="9" xfId="0" applyNumberFormat="1" applyFont="1" applyBorder="1" applyAlignment="1" applyProtection="1">
      <alignment vertical="center" wrapText="1"/>
    </xf>
    <xf numFmtId="43" fontId="5" fillId="0" borderId="9" xfId="0" applyNumberFormat="1" applyFont="1" applyBorder="1" applyAlignment="1" applyProtection="1">
      <alignment vertical="center" wrapText="1"/>
    </xf>
    <xf numFmtId="43" fontId="3" fillId="0" borderId="0" xfId="0" applyNumberFormat="1" applyFont="1" applyBorder="1" applyAlignment="1" applyProtection="1">
      <alignment vertical="center" wrapText="1"/>
    </xf>
    <xf numFmtId="0" fontId="80" fillId="13" borderId="0" xfId="128" applyFill="1" applyBorder="1" applyAlignment="1" applyProtection="1">
      <alignment horizontal="left" vertical="center"/>
    </xf>
    <xf numFmtId="164" fontId="5" fillId="0" borderId="9" xfId="0" applyNumberFormat="1" applyFont="1" applyBorder="1" applyAlignment="1" applyProtection="1">
      <alignment vertical="center"/>
      <protection locked="0"/>
    </xf>
    <xf numFmtId="43" fontId="3" fillId="0" borderId="0" xfId="0" applyNumberFormat="1" applyFont="1" applyAlignment="1" applyProtection="1">
      <alignment vertical="center"/>
      <protection locked="0"/>
    </xf>
    <xf numFmtId="0" fontId="76" fillId="13" borderId="0" xfId="0" applyFont="1" applyFill="1" applyBorder="1" applyAlignment="1" applyProtection="1">
      <alignment horizontal="left" vertical="center" wrapText="1"/>
    </xf>
    <xf numFmtId="0" fontId="3" fillId="0" borderId="0" xfId="0" applyFont="1" applyAlignment="1" applyProtection="1">
      <alignment vertical="center"/>
      <protection locked="0"/>
    </xf>
    <xf numFmtId="0" fontId="0" fillId="0" borderId="0" xfId="0" applyAlignment="1">
      <alignment vertical="center"/>
    </xf>
    <xf numFmtId="0" fontId="81" fillId="13" borderId="9" xfId="0" applyNumberFormat="1" applyFont="1" applyFill="1" applyBorder="1" applyAlignment="1" applyProtection="1">
      <alignment horizontal="center" vertical="center"/>
    </xf>
    <xf numFmtId="0" fontId="82" fillId="13" borderId="0" xfId="0" applyFont="1" applyFill="1" applyAlignment="1">
      <alignment vertical="top"/>
    </xf>
    <xf numFmtId="0" fontId="81" fillId="13" borderId="9" xfId="0" applyFont="1" applyFill="1" applyBorder="1" applyAlignment="1" applyProtection="1">
      <alignment horizontal="center" vertical="center"/>
    </xf>
    <xf numFmtId="0" fontId="83" fillId="13" borderId="9" xfId="0" applyFont="1" applyFill="1" applyBorder="1" applyAlignment="1">
      <alignment horizontal="center" vertical="top" wrapText="1"/>
    </xf>
    <xf numFmtId="0" fontId="83" fillId="13" borderId="0" xfId="0" applyFont="1" applyFill="1" applyBorder="1" applyAlignment="1" applyProtection="1">
      <alignment horizontal="right" vertical="center"/>
      <protection locked="0"/>
    </xf>
    <xf numFmtId="2" fontId="83" fillId="13" borderId="0" xfId="0" applyNumberFormat="1" applyFont="1" applyFill="1" applyBorder="1" applyAlignment="1" applyProtection="1">
      <alignment horizontal="right" vertical="center"/>
      <protection locked="0"/>
    </xf>
    <xf numFmtId="43" fontId="83" fillId="13" borderId="0" xfId="0" applyNumberFormat="1" applyFont="1" applyFill="1" applyBorder="1" applyAlignment="1" applyProtection="1">
      <alignment horizontal="center" vertical="center"/>
    </xf>
    <xf numFmtId="0" fontId="83" fillId="13" borderId="0" xfId="0" applyFont="1" applyFill="1" applyBorder="1" applyAlignment="1" applyProtection="1">
      <alignment horizontal="center" vertical="center"/>
    </xf>
    <xf numFmtId="0" fontId="83" fillId="13" borderId="0" xfId="0" applyFont="1" applyFill="1" applyBorder="1" applyAlignment="1" applyProtection="1">
      <alignment horizontal="center" vertical="center" wrapText="1"/>
    </xf>
    <xf numFmtId="0" fontId="84" fillId="13" borderId="0" xfId="128" applyFont="1" applyFill="1" applyBorder="1" applyAlignment="1" applyProtection="1">
      <alignment horizontal="center"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0" xfId="0" applyNumberFormat="1" applyFont="1" applyFill="1" applyBorder="1" applyAlignment="1" applyProtection="1">
      <alignment horizontal="right" vertical="center"/>
    </xf>
    <xf numFmtId="0" fontId="2" fillId="0" borderId="0" xfId="115" applyFont="1" applyFill="1" applyBorder="1" applyAlignment="1" applyProtection="1">
      <alignment horizontal="left" vertical="center"/>
    </xf>
    <xf numFmtId="0" fontId="1" fillId="0" borderId="0" xfId="115" applyFont="1" applyFill="1" applyBorder="1" applyAlignment="1" applyProtection="1">
      <alignment horizontal="left" vertical="center"/>
    </xf>
    <xf numFmtId="0" fontId="1" fillId="0" borderId="0" xfId="115" applyFont="1" applyBorder="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3" fillId="0" borderId="0" xfId="0" applyFont="1" applyBorder="1" applyAlignment="1" applyProtection="1">
      <alignment horizontal="left" vertical="center"/>
    </xf>
    <xf numFmtId="0" fontId="76" fillId="12" borderId="9" xfId="0" applyFont="1" applyFill="1" applyBorder="1" applyAlignment="1" applyProtection="1">
      <alignment horizontal="center" vertical="center"/>
    </xf>
    <xf numFmtId="0" fontId="76" fillId="9" borderId="0" xfId="109"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1" fontId="76" fillId="9" borderId="0" xfId="109"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6" fillId="0" borderId="0" xfId="0" applyFont="1" applyBorder="1" applyAlignment="1" applyProtection="1">
      <alignment horizontal="right" vertical="center"/>
    </xf>
    <xf numFmtId="0" fontId="76" fillId="10" borderId="18" xfId="0" applyFont="1" applyFill="1" applyBorder="1" applyAlignment="1">
      <alignment horizontal="left" vertical="center" wrapText="1"/>
    </xf>
    <xf numFmtId="0" fontId="76" fillId="14" borderId="24" xfId="0" applyFont="1" applyFill="1" applyBorder="1" applyAlignment="1">
      <alignment horizontal="left" vertical="top"/>
    </xf>
    <xf numFmtId="0" fontId="76" fillId="14" borderId="3" xfId="0" applyFont="1" applyFill="1" applyBorder="1" applyAlignment="1">
      <alignment horizontal="left" vertical="top"/>
    </xf>
    <xf numFmtId="0" fontId="76" fillId="14" borderId="25" xfId="0" applyFont="1" applyFill="1" applyBorder="1" applyAlignment="1">
      <alignment horizontal="left" vertical="top"/>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Alignment="1" applyProtection="1">
      <alignment horizontal="lef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76" fillId="14" borderId="24" xfId="0" applyFont="1" applyFill="1" applyBorder="1" applyAlignment="1">
      <alignment horizontal="left" vertical="top" wrapText="1"/>
    </xf>
    <xf numFmtId="0" fontId="76" fillId="14" borderId="3" xfId="0" applyFont="1" applyFill="1" applyBorder="1" applyAlignment="1">
      <alignment horizontal="left" vertical="top" wrapText="1"/>
    </xf>
    <xf numFmtId="0" fontId="76" fillId="14" borderId="25" xfId="0" applyFont="1" applyFill="1" applyBorder="1" applyAlignment="1">
      <alignment horizontal="left" vertical="top" wrapText="1"/>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1" fontId="75" fillId="9" borderId="0" xfId="109" applyNumberFormat="1"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0" fontId="3" fillId="6" borderId="0" xfId="0" applyFont="1" applyFill="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1" fontId="73" fillId="0" borderId="24" xfId="109" applyNumberFormat="1" applyFont="1" applyFill="1" applyBorder="1" applyAlignment="1" applyProtection="1">
      <alignment horizontal="left" vertical="center" wrapText="1"/>
      <protection hidden="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9" borderId="0" xfId="109" applyFont="1" applyFill="1" applyBorder="1" applyAlignment="1" applyProtection="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58"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Fill="1" applyBorder="1" applyAlignment="1">
      <alignment horizontal="left" vertical="top" wrapText="1"/>
    </xf>
    <xf numFmtId="0" fontId="2" fillId="0" borderId="48" xfId="126" applyFont="1" applyFill="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Fill="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9">
    <cellStyle name="75" xfId="1"/>
    <cellStyle name="75 2" xfId="2"/>
    <cellStyle name="ÅëÈ­ [0]_±âÅ¸" xfId="3"/>
    <cellStyle name="ÅëÈ­_±âÅ¸" xfId="4"/>
    <cellStyle name="ÄÞ¸¶ [0]_±âÅ¸" xfId="5"/>
    <cellStyle name="ÄÞ¸¶_±âÅ¸" xfId="6"/>
    <cellStyle name="Ç¥ÁØ_¿¬°£´©°è¿¹»ó" xfId="7"/>
    <cellStyle name="Comma" xfId="8" builtinId="3"/>
    <cellStyle name="Comma  - Style1" xfId="9"/>
    <cellStyle name="Comma  - Style1 2" xfId="10"/>
    <cellStyle name="Comma  - Style2" xfId="11"/>
    <cellStyle name="Comma  - Style2 2" xfId="12"/>
    <cellStyle name="Comma  - Style3" xfId="13"/>
    <cellStyle name="Comma  - Style3 2" xfId="14"/>
    <cellStyle name="Comma  - Style4" xfId="15"/>
    <cellStyle name="Comma  - Style4 2" xfId="16"/>
    <cellStyle name="Comma  - Style5" xfId="17"/>
    <cellStyle name="Comma  - Style5 2" xfId="18"/>
    <cellStyle name="Comma  - Style6" xfId="19"/>
    <cellStyle name="Comma  - Style6 2" xfId="20"/>
    <cellStyle name="Comma  - Style7" xfId="21"/>
    <cellStyle name="Comma  - Style7 2" xfId="22"/>
    <cellStyle name="Comma  - Style8" xfId="23"/>
    <cellStyle name="Comma  - Style8 2" xfId="24"/>
    <cellStyle name="Comma 10" xfId="25"/>
    <cellStyle name="Comma 10 2 2" xfId="127"/>
    <cellStyle name="Comma 11" xfId="26"/>
    <cellStyle name="Comma 12" xfId="27"/>
    <cellStyle name="Comma 13" xfId="28"/>
    <cellStyle name="Comma 14" xfId="29"/>
    <cellStyle name="Comma 15" xfId="30"/>
    <cellStyle name="Comma 16" xfId="31"/>
    <cellStyle name="Comma 17" xfId="32"/>
    <cellStyle name="Comma 18" xfId="33"/>
    <cellStyle name="Comma 19" xfId="34"/>
    <cellStyle name="Comma 2" xfId="35"/>
    <cellStyle name="Comma 20" xfId="36"/>
    <cellStyle name="Comma 21" xfId="37"/>
    <cellStyle name="Comma 22" xfId="38"/>
    <cellStyle name="Comma 23" xfId="39"/>
    <cellStyle name="Comma 24" xfId="40"/>
    <cellStyle name="Comma 25" xfId="41"/>
    <cellStyle name="Comma 26" xfId="42"/>
    <cellStyle name="Comma 27" xfId="43"/>
    <cellStyle name="Comma 28" xfId="44"/>
    <cellStyle name="Comma 3" xfId="45"/>
    <cellStyle name="Comma 3 2" xfId="46"/>
    <cellStyle name="Comma 4" xfId="47"/>
    <cellStyle name="Comma 5" xfId="48"/>
    <cellStyle name="Comma 6" xfId="49"/>
    <cellStyle name="Comma 7" xfId="50"/>
    <cellStyle name="Comma 8" xfId="51"/>
    <cellStyle name="Comma 9" xfId="52"/>
    <cellStyle name="Formula" xfId="53"/>
    <cellStyle name="Formula 2" xfId="54"/>
    <cellStyle name="Header1" xfId="55"/>
    <cellStyle name="Header2" xfId="56"/>
    <cellStyle name="Hyperlink" xfId="128" builtinId="8"/>
    <cellStyle name="Hypertextový odkaz" xfId="57"/>
    <cellStyle name="Hypertextový odkaz 2" xfId="58"/>
    <cellStyle name="no dec" xfId="59"/>
    <cellStyle name="no dec 2" xfId="60"/>
    <cellStyle name="Normal" xfId="0" builtinId="0"/>
    <cellStyle name="Normal - Style1" xfId="61"/>
    <cellStyle name="Normal - Style1 2" xfId="62"/>
    <cellStyle name="Normal 10" xfId="63"/>
    <cellStyle name="Normal 11" xfId="64"/>
    <cellStyle name="Normal 12" xfId="65"/>
    <cellStyle name="Normal 13" xfId="66"/>
    <cellStyle name="Normal 14" xfId="67"/>
    <cellStyle name="Normal 15" xfId="68"/>
    <cellStyle name="Normal 16" xfId="69"/>
    <cellStyle name="Normal 17" xfId="70"/>
    <cellStyle name="Normal 18" xfId="71"/>
    <cellStyle name="Normal 19" xfId="72"/>
    <cellStyle name="Normal 2" xfId="73"/>
    <cellStyle name="Normal 2 2" xfId="74"/>
    <cellStyle name="Normal 2 2 2 4" xfId="126"/>
    <cellStyle name="Normal 2 3" xfId="75"/>
    <cellStyle name="Normal 2_20 Price Schedule VOL III Rev-2" xfId="76"/>
    <cellStyle name="Normal 20" xfId="77"/>
    <cellStyle name="Normal 21" xfId="78"/>
    <cellStyle name="Normal 22" xfId="79"/>
    <cellStyle name="Normal 23" xfId="80"/>
    <cellStyle name="Normal 24" xfId="81"/>
    <cellStyle name="Normal 25" xfId="82"/>
    <cellStyle name="Normal 26" xfId="83"/>
    <cellStyle name="Normal 27" xfId="84"/>
    <cellStyle name="Normal 28" xfId="85"/>
    <cellStyle name="Normal 29" xfId="86"/>
    <cellStyle name="Normal 3" xfId="87"/>
    <cellStyle name="Normal 3 2" xfId="88"/>
    <cellStyle name="Normal 3 3" xfId="89"/>
    <cellStyle name="Normal 3_29_First Envelope - R2_Vol-III" xfId="90"/>
    <cellStyle name="Normal 30" xfId="91"/>
    <cellStyle name="Normal 31" xfId="92"/>
    <cellStyle name="Normal 32" xfId="93"/>
    <cellStyle name="Normal 33" xfId="94"/>
    <cellStyle name="Normal 34" xfId="95"/>
    <cellStyle name="Normal 35" xfId="96"/>
    <cellStyle name="Normal 36" xfId="97"/>
    <cellStyle name="Normal 37" xfId="98"/>
    <cellStyle name="Normal 38" xfId="99"/>
    <cellStyle name="Normal 4" xfId="100"/>
    <cellStyle name="Normal 5" xfId="101"/>
    <cellStyle name="Normal 6" xfId="102"/>
    <cellStyle name="Normal 7" xfId="103"/>
    <cellStyle name="Normal 8" xfId="104"/>
    <cellStyle name="Normal 9" xfId="105"/>
    <cellStyle name="Normal_Annexures TW 04" xfId="106"/>
    <cellStyle name="Normal_Annexures TW 04 2" xfId="107"/>
    <cellStyle name="Normal_Attach 3(JV)" xfId="108"/>
    <cellStyle name="Normal_Attacments TW 04" xfId="109"/>
    <cellStyle name="Normal_Entertainment Form" xfId="110"/>
    <cellStyle name="Normal_pgcil-tivim-pricesched" xfId="111"/>
    <cellStyle name="Normal_PRICE SCHEDULE-4 to 6-A4" xfId="112"/>
    <cellStyle name="Normal_PRICE SCHEDULE-4 to 6-A4 2" xfId="113"/>
    <cellStyle name="Normal_Price_Schedules for Insulator Package Rev-01" xfId="114"/>
    <cellStyle name="Normal_PRICE-SCHE Bihar-Rev-2-corrections" xfId="115"/>
    <cellStyle name="Normal_PRICE-SCHE Bihar-Rev-2-corrections_Annexures TW 04" xfId="116"/>
    <cellStyle name="Normal_PRICE-SCHE Bihar-Rev-2-corrections_Price_Schedules for Insulator Package Rev-01" xfId="117"/>
    <cellStyle name="Normal_Sch-1" xfId="118"/>
    <cellStyle name="Normal_Sheet1" xfId="119"/>
    <cellStyle name="Note 2" xfId="120"/>
    <cellStyle name="Note 2 2" xfId="121"/>
    <cellStyle name="Popis" xfId="122"/>
    <cellStyle name="Sledovaný hypertextový odkaz" xfId="123"/>
    <cellStyle name="Sledovaný hypertextový odkaz 2" xfId="124"/>
    <cellStyle name="Standard_BS14" xfId="125"/>
  </cellStyles>
  <dxfs count="48">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usernames" Target="revisions/userNames.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15200" y="104775"/>
          <a:ext cx="434686" cy="839066"/>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91452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335500" y="285750"/>
          <a:ext cx="0" cy="18923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71855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676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327278E-1426-4F37-B035-A4DED3B91324}" protected="1">
  <header guid="{8327278E-1426-4F37-B035-A4DED3B91324}" dateTime="2022-04-29T17:17:06" maxSheetId="24" userName="Venkatesh Karri {वेंकटेश कर्री}"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4" Type="http://schemas.openxmlformats.org/officeDocument/2006/relationships/printerSettings" Target="../printerSettings/printerSettings26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6.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5" Type="http://schemas.openxmlformats.org/officeDocument/2006/relationships/printerSettings" Target="../printerSettings/printerSettings273.bin"/><Relationship Id="rId4" Type="http://schemas.openxmlformats.org/officeDocument/2006/relationships/printerSettings" Target="../printerSettings/printerSettings272.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84.bin"/><Relationship Id="rId3" Type="http://schemas.openxmlformats.org/officeDocument/2006/relationships/printerSettings" Target="../printerSettings/printerSettings279.bin"/><Relationship Id="rId7" Type="http://schemas.openxmlformats.org/officeDocument/2006/relationships/printerSettings" Target="../printerSettings/printerSettings283.bin"/><Relationship Id="rId2" Type="http://schemas.openxmlformats.org/officeDocument/2006/relationships/printerSettings" Target="../printerSettings/printerSettings278.bin"/><Relationship Id="rId1" Type="http://schemas.openxmlformats.org/officeDocument/2006/relationships/printerSettings" Target="../printerSettings/printerSettings277.bin"/><Relationship Id="rId6" Type="http://schemas.openxmlformats.org/officeDocument/2006/relationships/printerSettings" Target="../printerSettings/printerSettings282.bin"/><Relationship Id="rId5" Type="http://schemas.openxmlformats.org/officeDocument/2006/relationships/printerSettings" Target="../printerSettings/printerSettings281.bin"/><Relationship Id="rId4" Type="http://schemas.openxmlformats.org/officeDocument/2006/relationships/printerSettings" Target="../printerSettings/printerSettings280.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2.bin"/><Relationship Id="rId3" Type="http://schemas.openxmlformats.org/officeDocument/2006/relationships/printerSettings" Target="../printerSettings/printerSettings287.bin"/><Relationship Id="rId7" Type="http://schemas.openxmlformats.org/officeDocument/2006/relationships/printerSettings" Target="../printerSettings/printerSettings291.bin"/><Relationship Id="rId2" Type="http://schemas.openxmlformats.org/officeDocument/2006/relationships/printerSettings" Target="../printerSettings/printerSettings286.bin"/><Relationship Id="rId1" Type="http://schemas.openxmlformats.org/officeDocument/2006/relationships/printerSettings" Target="../printerSettings/printerSettings285.bin"/><Relationship Id="rId6" Type="http://schemas.openxmlformats.org/officeDocument/2006/relationships/printerSettings" Target="../printerSettings/printerSettings290.bin"/><Relationship Id="rId11" Type="http://schemas.openxmlformats.org/officeDocument/2006/relationships/printerSettings" Target="../printerSettings/printerSettings295.bin"/><Relationship Id="rId5" Type="http://schemas.openxmlformats.org/officeDocument/2006/relationships/printerSettings" Target="../printerSettings/printerSettings289.bin"/><Relationship Id="rId10" Type="http://schemas.openxmlformats.org/officeDocument/2006/relationships/printerSettings" Target="../printerSettings/printerSettings294.bin"/><Relationship Id="rId4" Type="http://schemas.openxmlformats.org/officeDocument/2006/relationships/printerSettings" Target="../printerSettings/printerSettings288.bin"/><Relationship Id="rId9" Type="http://schemas.openxmlformats.org/officeDocument/2006/relationships/printerSettings" Target="../printerSettings/printerSettings29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hyperlink" Target="mailto:GST@18%25"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7"/>
  <sheetViews>
    <sheetView workbookViewId="0">
      <selection activeCell="C17" sqref="C17"/>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31.5">
      <c r="A1" s="31" t="s">
        <v>41</v>
      </c>
      <c r="B1" s="32" t="s">
        <v>660</v>
      </c>
      <c r="C1" s="33"/>
      <c r="D1" s="33"/>
      <c r="E1" s="33"/>
      <c r="F1" s="33"/>
      <c r="G1" s="33"/>
      <c r="H1" s="33"/>
    </row>
    <row r="2" spans="1:9">
      <c r="B2" s="35"/>
      <c r="I2" s="34" t="s">
        <v>264</v>
      </c>
    </row>
    <row r="3" spans="1:9">
      <c r="A3" s="34" t="s">
        <v>42</v>
      </c>
      <c r="B3" s="405" t="s">
        <v>661</v>
      </c>
      <c r="I3" s="34" t="s">
        <v>265</v>
      </c>
    </row>
    <row r="5" spans="1:9">
      <c r="A5" s="34" t="s">
        <v>43</v>
      </c>
      <c r="B5" s="440" t="s">
        <v>824</v>
      </c>
      <c r="C5" s="33"/>
      <c r="D5" s="33"/>
      <c r="E5" s="33"/>
      <c r="F5" s="33"/>
      <c r="G5" s="33"/>
      <c r="H5" s="33"/>
    </row>
    <row r="7" spans="1:9">
      <c r="B7" s="861"/>
    </row>
  </sheetData>
  <sheetProtection selectLockedCells="1" selectUnlockedCells="1"/>
  <customSheetViews>
    <customSheetView guid="{F38BD2F3-61EE-4B49-A7FC-8FB2B5BA6A2F}" hiddenColumns="1" state="hidden">
      <selection activeCell="C17" sqref="C17"/>
      <pageMargins left="0.75" right="0.75" top="1" bottom="1" header="0.5" footer="0.5"/>
      <pageSetup orientation="portrait" r:id="rId1"/>
      <headerFooter alignWithMargins="0"/>
    </customSheetView>
    <customSheetView guid="{F1B559AA-B9AD-4E4C-B94A-ECBE5878008B}" hiddenColumns="1" state="hidden">
      <selection activeCell="B1" sqref="B1"/>
      <pageMargins left="0.75" right="0.75" top="1" bottom="1" header="0.5" footer="0.5"/>
      <pageSetup orientation="portrait" r:id="rId2"/>
      <headerFooter alignWithMargins="0"/>
    </customSheetView>
    <customSheetView guid="{755190E0-7BE9-48F9-BB5F-DF8E25D6736A}" hiddenColumns="1" state="hidden">
      <selection activeCell="B20" sqref="B20"/>
      <pageMargins left="0.75" right="0.75" top="1" bottom="1" header="0.5" footer="0.5"/>
      <pageSetup orientation="portrait" r:id="rId3"/>
      <headerFooter alignWithMargins="0"/>
    </customSheetView>
    <customSheetView guid="{CCA37BAE-906F-43D5-9FD9-B13563E4B9D7}" hiddenColumns="1" state="hidden">
      <selection activeCell="B14" sqref="B14"/>
      <pageMargins left="0.75" right="0.75" top="1" bottom="1" header="0.5" footer="0.5"/>
      <pageSetup orientation="portrait" r:id="rId4"/>
      <headerFooter alignWithMargins="0"/>
    </customSheetView>
    <customSheetView guid="{B96E710B-6DD7-4DE1-95AB-C9EE060CD030}" hiddenColumns="1" state="hidden">
      <selection activeCell="B9" sqref="B9:B10"/>
      <pageMargins left="0.75" right="0.75" top="1" bottom="1" header="0.5" footer="0.5"/>
      <pageSetup orientation="portrait" r:id="rId5"/>
      <headerFooter alignWithMargins="0"/>
    </customSheetView>
    <customSheetView guid="{357C9841-BEC3-434B-AC63-C04FB4321BA3}" hiddenColumns="1" state="hidden">
      <selection activeCell="B17" sqref="B17"/>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63D51328-7CBC-4A1E-B96D-BAE91416501B}" hiddenColumns="1" state="hidden">
      <selection activeCell="B20" sqref="B20"/>
      <pageMargins left="0.75" right="0.75" top="1" bottom="1" header="0.5" footer="0.5"/>
      <pageSetup orientation="portrait" r:id="rId9"/>
      <headerFooter alignWithMargins="0"/>
    </customSheetView>
    <customSheetView guid="{B056965A-4BE5-44B3-AB31-550AD9F023BC}" hiddenColumns="1" state="hidden">
      <selection activeCell="B9" sqref="B9"/>
      <pageMargins left="0.75" right="0.75" top="1" bottom="1" header="0.5" footer="0.5"/>
      <pageSetup orientation="portrait" r:id="rId10"/>
      <headerFooter alignWithMargins="0"/>
    </customSheetView>
    <customSheetView guid="{3FCD02EB-1C44-4646-B069-2B9945E67B1F}" hiddenColumns="1" state="hidden">
      <selection activeCell="B8" sqref="B8"/>
      <pageMargins left="0.75" right="0.75" top="1" bottom="1" header="0.5" footer="0.5"/>
      <pageSetup orientation="portrait" r:id="rId11"/>
      <headerFooter alignWithMargins="0"/>
    </customSheetView>
    <customSheetView guid="{267FF044-3C5D-4FEC-AC00-A7E30583F8BB}" hiddenColumns="1" state="hidden">
      <selection activeCell="B5" sqref="B5"/>
      <pageMargins left="0.75" right="0.75" top="1" bottom="1" header="0.5" footer="0.5"/>
      <pageSetup orientation="portrait" r:id="rId12"/>
      <headerFooter alignWithMargins="0"/>
    </customSheetView>
    <customSheetView guid="{A29B4069-9BED-4703-B114-D2D164877E8C}" hiddenColumns="1" state="hidden">
      <selection activeCell="B12" sqref="B12"/>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 5002002280/SUB-STATION(EXCLUDIN/DOM/A06-CC CS -7</v>
      </c>
      <c r="B1" s="82"/>
      <c r="C1" s="83"/>
      <c r="D1" s="83"/>
      <c r="E1" s="84" t="s">
        <v>128</v>
      </c>
    </row>
    <row r="2" spans="1:15" ht="8.1" customHeight="1">
      <c r="A2" s="87"/>
      <c r="B2" s="88"/>
      <c r="C2" s="89"/>
      <c r="D2" s="89"/>
      <c r="E2" s="90"/>
      <c r="F2" s="91"/>
    </row>
    <row r="3" spans="1:15" ht="83.25" customHeight="1">
      <c r="A3" s="984" t="str">
        <f>Cover!$B$2</f>
        <v>765kV AIS Substation Extension Package (SS-91) under Transmission Network Expansion in Gujarat to increase its ATC from ISTS: Part C.</v>
      </c>
      <c r="B3" s="984"/>
      <c r="C3" s="984"/>
      <c r="D3" s="984"/>
      <c r="E3" s="984"/>
    </row>
    <row r="4" spans="1:15" ht="21.95" customHeight="1">
      <c r="A4" s="985" t="s">
        <v>129</v>
      </c>
      <c r="B4" s="985"/>
      <c r="C4" s="985"/>
      <c r="D4" s="985"/>
      <c r="E4" s="985"/>
    </row>
    <row r="5" spans="1:15" ht="12" customHeight="1">
      <c r="A5" s="92"/>
      <c r="B5" s="93"/>
      <c r="C5" s="93"/>
      <c r="D5" s="93"/>
      <c r="E5" s="93"/>
    </row>
    <row r="6" spans="1:15" ht="20.25" customHeight="1">
      <c r="A6" s="928" t="s">
        <v>350</v>
      </c>
      <c r="B6" s="928"/>
      <c r="C6" s="4"/>
      <c r="D6" s="93"/>
      <c r="E6" s="93"/>
    </row>
    <row r="7" spans="1:15" ht="18" customHeight="1">
      <c r="A7" s="951">
        <f>'Sch-1'!A7</f>
        <v>0</v>
      </c>
      <c r="B7" s="951"/>
      <c r="C7" s="951"/>
      <c r="D7" s="94" t="s">
        <v>1</v>
      </c>
    </row>
    <row r="8" spans="1:15" ht="18" customHeight="1">
      <c r="A8" s="929" t="str">
        <f>"Bidder’s Name and Address  (" &amp; MID('Names of Bidder'!B9,9, 20) &amp; ") :"</f>
        <v>Bidder’s Name and Address  (Sole Bidder) :</v>
      </c>
      <c r="B8" s="929"/>
      <c r="C8" s="929"/>
      <c r="D8" s="95" t="str">
        <f>'Sch-1'!K8</f>
        <v>Contract Services</v>
      </c>
    </row>
    <row r="9" spans="1:15" ht="18" customHeight="1">
      <c r="A9" s="456" t="s">
        <v>12</v>
      </c>
      <c r="B9" s="456" t="str">
        <f>IF('Names of Bidder'!D9=0, "", 'Names of Bidder'!D9)</f>
        <v/>
      </c>
      <c r="C9" s="112"/>
      <c r="D9" s="95" t="str">
        <f>'Sch-1'!K9</f>
        <v>Power Grid Corporation of India Ltd.,</v>
      </c>
    </row>
    <row r="10" spans="1:15" ht="18" customHeight="1">
      <c r="A10" s="456" t="s">
        <v>11</v>
      </c>
      <c r="B10" s="576" t="str">
        <f>IF('Names of Bidder'!D10=0, "", 'Names of Bidder'!D10)</f>
        <v/>
      </c>
      <c r="C10" s="112"/>
      <c r="D10" s="95" t="str">
        <f>'Sch-1'!K10</f>
        <v>"Saudamini", Plot No.-2</v>
      </c>
    </row>
    <row r="11" spans="1:15" ht="18" customHeight="1">
      <c r="A11" s="407"/>
      <c r="B11" s="576" t="str">
        <f>IF('Names of Bidder'!D11=0, "", 'Names of Bidder'!D11)</f>
        <v/>
      </c>
      <c r="C11" s="112"/>
      <c r="D11" s="95" t="str">
        <f>'Sch-1'!K11</f>
        <v xml:space="preserve">Sector-29, </v>
      </c>
    </row>
    <row r="12" spans="1:15" ht="18" customHeight="1">
      <c r="A12" s="407"/>
      <c r="B12" s="576" t="str">
        <f>IF('Names of Bidder'!D12=0, "", 'Names of Bidder'!D12)</f>
        <v/>
      </c>
      <c r="C12" s="112"/>
      <c r="D12" s="95" t="str">
        <f>'Sch-1'!K12</f>
        <v>Gurgaon (Haryana) - 122001</v>
      </c>
    </row>
    <row r="13" spans="1:15" ht="8.1" customHeight="1" thickBot="1"/>
    <row r="14" spans="1:15" ht="21.95" customHeight="1">
      <c r="A14" s="634" t="s">
        <v>130</v>
      </c>
      <c r="B14" s="986" t="s">
        <v>131</v>
      </c>
      <c r="C14" s="986"/>
      <c r="D14" s="987" t="s">
        <v>132</v>
      </c>
      <c r="E14" s="988"/>
      <c r="I14" s="983"/>
      <c r="J14" s="983"/>
      <c r="K14" s="983"/>
      <c r="M14" s="976"/>
      <c r="N14" s="976"/>
      <c r="O14" s="976"/>
    </row>
    <row r="15" spans="1:15" ht="24.75" customHeight="1">
      <c r="A15" s="635" t="s">
        <v>135</v>
      </c>
      <c r="B15" s="977" t="s">
        <v>325</v>
      </c>
      <c r="C15" s="977"/>
      <c r="D15" s="995">
        <f>'Sch-1'!S227</f>
        <v>0</v>
      </c>
      <c r="E15" s="996"/>
      <c r="I15" s="388"/>
      <c r="K15" s="388"/>
      <c r="M15" s="388"/>
      <c r="O15" s="97"/>
    </row>
    <row r="16" spans="1:15" ht="81" customHeight="1">
      <c r="A16" s="636"/>
      <c r="B16" s="980" t="s">
        <v>326</v>
      </c>
      <c r="C16" s="980"/>
      <c r="D16" s="997"/>
      <c r="E16" s="998"/>
      <c r="G16" s="98"/>
    </row>
    <row r="17" spans="1:15" ht="24.75" customHeight="1">
      <c r="A17" s="635" t="s">
        <v>137</v>
      </c>
      <c r="B17" s="977" t="s">
        <v>327</v>
      </c>
      <c r="C17" s="977"/>
      <c r="D17" s="978">
        <f>'Sch-3'!U219</f>
        <v>0</v>
      </c>
      <c r="E17" s="979"/>
      <c r="I17" s="388"/>
      <c r="K17" s="389"/>
      <c r="M17" s="388"/>
      <c r="O17" s="100"/>
    </row>
    <row r="18" spans="1:15" ht="81.75" customHeight="1">
      <c r="A18" s="636"/>
      <c r="B18" s="980" t="s">
        <v>328</v>
      </c>
      <c r="C18" s="980"/>
      <c r="D18" s="999"/>
      <c r="E18" s="1000"/>
      <c r="G18" s="101"/>
      <c r="I18" s="390"/>
      <c r="M18" s="390"/>
    </row>
    <row r="19" spans="1:15" ht="33" customHeight="1" thickBot="1">
      <c r="A19" s="637"/>
      <c r="B19" s="638" t="s">
        <v>331</v>
      </c>
      <c r="C19" s="639"/>
      <c r="D19" s="991">
        <f>D15+D17</f>
        <v>0</v>
      </c>
      <c r="E19" s="992"/>
    </row>
    <row r="20" spans="1:15" ht="30" customHeight="1">
      <c r="A20" s="102"/>
      <c r="B20" s="102"/>
      <c r="C20" s="103"/>
      <c r="D20" s="102"/>
      <c r="E20" s="102"/>
    </row>
    <row r="21" spans="1:15" ht="30" customHeight="1">
      <c r="A21" s="104" t="s">
        <v>143</v>
      </c>
      <c r="B21" s="642" t="str">
        <f>'Sch-5'!B21</f>
        <v xml:space="preserve">  </v>
      </c>
      <c r="C21" s="103" t="s">
        <v>144</v>
      </c>
      <c r="D21" s="1001" t="str">
        <f>'Sch-5'!D21</f>
        <v/>
      </c>
      <c r="E21" s="1001"/>
      <c r="F21" s="105"/>
    </row>
    <row r="22" spans="1:15" ht="30" customHeight="1">
      <c r="A22" s="104" t="s">
        <v>145</v>
      </c>
      <c r="B22" s="643" t="str">
        <f>'Sch-5'!B22</f>
        <v/>
      </c>
      <c r="C22" s="103" t="s">
        <v>146</v>
      </c>
      <c r="D22" s="1001" t="str">
        <f>'Sch-5'!D22</f>
        <v/>
      </c>
      <c r="E22" s="1001"/>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C7" sheet="1" objects="1" scenarios="1" formatColumns="0" formatRows="0" selectLockedCells="1"/>
  <dataConsolidate/>
  <customSheetViews>
    <customSheetView guid="{F38BD2F3-61EE-4B49-A7FC-8FB2B5BA6A2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29B4069-9BED-4703-B114-D2D164877E8C}"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F35"/>
  <sheetViews>
    <sheetView view="pageBreakPreview" topLeftCell="A10" zoomScaleNormal="100" zoomScaleSheetLayoutView="100" workbookViewId="0">
      <selection activeCell="D28" sqref="D28"/>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5002002280/SUB-STATION(EXCLUDIN/DOM/A06-CC CS -7</v>
      </c>
      <c r="B1" s="114"/>
      <c r="C1" s="115"/>
      <c r="D1" s="116" t="s">
        <v>147</v>
      </c>
    </row>
    <row r="2" spans="1:6" ht="18" customHeight="1">
      <c r="A2" s="117"/>
      <c r="B2" s="118"/>
      <c r="C2" s="119"/>
      <c r="D2" s="119"/>
    </row>
    <row r="3" spans="1:6" ht="126.75" customHeight="1">
      <c r="A3" s="984" t="str">
        <f>Cover!$B$2</f>
        <v>765kV AIS Substation Extension Package (SS-91) under Transmission Network Expansion in Gujarat to increase its ATC from ISTS: Part C.</v>
      </c>
      <c r="B3" s="984"/>
      <c r="C3" s="984"/>
      <c r="D3" s="984"/>
      <c r="E3" s="120"/>
      <c r="F3" s="120"/>
    </row>
    <row r="4" spans="1:6" ht="21.95" customHeight="1">
      <c r="A4" s="985" t="s">
        <v>148</v>
      </c>
      <c r="B4" s="985"/>
      <c r="C4" s="985"/>
      <c r="D4" s="985"/>
    </row>
    <row r="5" spans="1:6" ht="18" customHeight="1">
      <c r="A5" s="121"/>
    </row>
    <row r="6" spans="1:6" ht="18" customHeight="1">
      <c r="A6" s="928" t="s">
        <v>350</v>
      </c>
      <c r="B6" s="928"/>
      <c r="C6" s="4"/>
    </row>
    <row r="7" spans="1:6" ht="18" customHeight="1">
      <c r="A7" s="951">
        <f>'Sch-1'!A7</f>
        <v>0</v>
      </c>
      <c r="B7" s="951"/>
      <c r="C7" s="951"/>
      <c r="D7" s="94" t="s">
        <v>1</v>
      </c>
    </row>
    <row r="8" spans="1:6" ht="21.75" customHeight="1">
      <c r="A8" s="929" t="str">
        <f>"Bidder’s Name and Address  (" &amp; MID('Names of Bidder'!B9,9, 20) &amp; ") :"</f>
        <v>Bidder’s Name and Address  (Sole Bidder) :</v>
      </c>
      <c r="B8" s="929"/>
      <c r="C8" s="929"/>
      <c r="D8" s="95" t="str">
        <f>'Sch-1'!K8</f>
        <v>Contract Services</v>
      </c>
    </row>
    <row r="9" spans="1:6" ht="18" customHeight="1">
      <c r="A9" s="456" t="s">
        <v>12</v>
      </c>
      <c r="B9" s="456" t="str">
        <f>IF('Names of Bidder'!D9=0, "", 'Names of Bidder'!D9)</f>
        <v/>
      </c>
      <c r="C9" s="112"/>
      <c r="D9" s="95" t="str">
        <f>'Sch-1'!K9</f>
        <v>Power Grid Corporation of India Ltd.,</v>
      </c>
    </row>
    <row r="10" spans="1:6" ht="18" customHeight="1">
      <c r="A10" s="456" t="s">
        <v>11</v>
      </c>
      <c r="B10" s="576" t="str">
        <f>IF('Names of Bidder'!D10=0, "", 'Names of Bidder'!D10)</f>
        <v/>
      </c>
      <c r="C10" s="112"/>
      <c r="D10" s="95" t="str">
        <f>'Sch-1'!K10</f>
        <v>"Saudamini", Plot No.-2</v>
      </c>
    </row>
    <row r="11" spans="1:6" ht="18" customHeight="1">
      <c r="A11" s="407"/>
      <c r="B11" s="576" t="str">
        <f>IF('Names of Bidder'!D11=0, "", 'Names of Bidder'!D11)</f>
        <v/>
      </c>
      <c r="C11" s="112"/>
      <c r="D11" s="95" t="str">
        <f>'Sch-1'!K11</f>
        <v xml:space="preserve">Sector-29, </v>
      </c>
    </row>
    <row r="12" spans="1:6" ht="18" customHeight="1">
      <c r="A12" s="407"/>
      <c r="B12" s="576"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1002" t="s">
        <v>15</v>
      </c>
      <c r="C14" s="1003"/>
      <c r="D14" s="624" t="s">
        <v>132</v>
      </c>
    </row>
    <row r="15" spans="1:6" ht="21.95" customHeight="1">
      <c r="A15" s="625" t="s">
        <v>135</v>
      </c>
      <c r="B15" s="1004" t="s">
        <v>149</v>
      </c>
      <c r="C15" s="1004"/>
      <c r="D15" s="626">
        <f>'Sch-1'!N227</f>
        <v>0</v>
      </c>
    </row>
    <row r="16" spans="1:6" ht="35.1" customHeight="1">
      <c r="A16" s="627"/>
      <c r="B16" s="1005" t="s">
        <v>150</v>
      </c>
      <c r="C16" s="1006"/>
      <c r="D16" s="628"/>
    </row>
    <row r="17" spans="1:6" ht="21.95" customHeight="1">
      <c r="A17" s="625" t="s">
        <v>137</v>
      </c>
      <c r="B17" s="1004" t="s">
        <v>151</v>
      </c>
      <c r="C17" s="1004"/>
      <c r="D17" s="626">
        <f>'Sch-2'!J226</f>
        <v>0</v>
      </c>
    </row>
    <row r="18" spans="1:6" ht="35.1" customHeight="1">
      <c r="A18" s="627"/>
      <c r="B18" s="1005" t="s">
        <v>313</v>
      </c>
      <c r="C18" s="1006"/>
      <c r="D18" s="628"/>
    </row>
    <row r="19" spans="1:6" ht="21.95" customHeight="1">
      <c r="A19" s="625" t="s">
        <v>139</v>
      </c>
      <c r="B19" s="1004" t="s">
        <v>153</v>
      </c>
      <c r="C19" s="1004"/>
      <c r="D19" s="626">
        <f>'Sch-3'!P219</f>
        <v>0</v>
      </c>
    </row>
    <row r="20" spans="1:6" ht="30" customHeight="1">
      <c r="A20" s="627"/>
      <c r="B20" s="1005" t="s">
        <v>154</v>
      </c>
      <c r="C20" s="1006"/>
      <c r="D20" s="628"/>
    </row>
    <row r="21" spans="1:6" ht="21.95" customHeight="1">
      <c r="A21" s="625" t="s">
        <v>140</v>
      </c>
      <c r="B21" s="1004" t="s">
        <v>155</v>
      </c>
      <c r="C21" s="1004"/>
      <c r="D21" s="629" t="s">
        <v>339</v>
      </c>
    </row>
    <row r="22" spans="1:6" ht="30" customHeight="1">
      <c r="A22" s="627"/>
      <c r="B22" s="1005" t="s">
        <v>156</v>
      </c>
      <c r="C22" s="1006"/>
      <c r="D22" s="628"/>
    </row>
    <row r="23" spans="1:6" ht="30" customHeight="1">
      <c r="A23" s="625">
        <v>5</v>
      </c>
      <c r="B23" s="1004" t="s">
        <v>157</v>
      </c>
      <c r="C23" s="1004"/>
      <c r="D23" s="626">
        <f>'Sch-5'!D19:E19</f>
        <v>0</v>
      </c>
    </row>
    <row r="24" spans="1:6" ht="23.25" customHeight="1">
      <c r="A24" s="627"/>
      <c r="B24" s="1005" t="s">
        <v>158</v>
      </c>
      <c r="C24" s="1006"/>
      <c r="D24" s="630"/>
    </row>
    <row r="25" spans="1:6" ht="21.95" customHeight="1">
      <c r="A25" s="625" t="s">
        <v>142</v>
      </c>
      <c r="B25" s="1004" t="s">
        <v>159</v>
      </c>
      <c r="C25" s="1004"/>
      <c r="D25" s="629" t="s">
        <v>339</v>
      </c>
    </row>
    <row r="26" spans="1:6" ht="35.1" customHeight="1">
      <c r="A26" s="627"/>
      <c r="B26" s="1005" t="s">
        <v>160</v>
      </c>
      <c r="C26" s="1006"/>
      <c r="D26" s="628"/>
    </row>
    <row r="27" spans="1:6" ht="18.75" customHeight="1">
      <c r="A27" s="1007"/>
      <c r="B27" s="1009" t="s">
        <v>347</v>
      </c>
      <c r="C27" s="1009"/>
      <c r="D27" s="631"/>
    </row>
    <row r="28" spans="1:6" ht="18.75" customHeight="1" thickBot="1">
      <c r="A28" s="1008"/>
      <c r="B28" s="1010"/>
      <c r="C28" s="1010"/>
      <c r="D28" s="632">
        <f>D15+D17+D19+D23</f>
        <v>0</v>
      </c>
    </row>
    <row r="29" spans="1:6" ht="18.75" customHeight="1">
      <c r="A29" s="132"/>
      <c r="B29" s="133"/>
      <c r="C29" s="133"/>
      <c r="D29" s="134"/>
    </row>
    <row r="30" spans="1:6" ht="27.95" customHeight="1">
      <c r="A30" s="132"/>
      <c r="B30" s="135"/>
      <c r="C30" s="135"/>
      <c r="D30" s="134"/>
    </row>
    <row r="31" spans="1:6" ht="27.95" customHeight="1">
      <c r="A31" s="136" t="s">
        <v>162</v>
      </c>
      <c r="B31" s="642" t="str">
        <f>'Sch-5 after discount'!B21</f>
        <v xml:space="preserve">  </v>
      </c>
      <c r="C31" s="135" t="s">
        <v>144</v>
      </c>
      <c r="D31" s="701" t="str">
        <f>'Sch-5 after discount'!D21</f>
        <v/>
      </c>
      <c r="F31" s="137"/>
    </row>
    <row r="32" spans="1:6" ht="27.95" customHeight="1">
      <c r="A32" s="136" t="s">
        <v>163</v>
      </c>
      <c r="B32" s="643" t="str">
        <f>'Sch-5 after discount'!B22</f>
        <v/>
      </c>
      <c r="C32" s="135" t="s">
        <v>146</v>
      </c>
      <c r="D32" s="701"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QTBTU6QCWUlKdWiiNF6iWjhlQignx3kLIRyOqwxXiB9nroNjY4fF83GMTlG/dIpHFmGPiVrz8GyxGt88/gh/bw==" saltValue="stHLqYYB8kDUUw3PEh3rrw==" spinCount="100000" sheet="1" formatColumns="0" formatRows="0" selectLockedCells="1"/>
  <customSheetViews>
    <customSheetView guid="{F38BD2F3-61EE-4B49-A7FC-8FB2B5BA6A2F}" showPageBreaks="1" printArea="1" view="pageBreakPreview" topLeftCell="A10">
      <selection activeCell="D28" sqref="D2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view="pageBreakPreview" topLeftCell="A7">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29B4069-9BED-4703-B114-D2D164877E8C}" showPageBreaks="1" printArea="1" view="pageBreakPreview" topLeftCell="A10">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5002002280/SUB-STATION(EXCLUDIN/DOM/A06-CC CS -7</v>
      </c>
      <c r="B1" s="114"/>
      <c r="C1" s="115"/>
      <c r="D1" s="116" t="s">
        <v>164</v>
      </c>
    </row>
    <row r="2" spans="1:6" ht="18" customHeight="1">
      <c r="A2" s="117"/>
      <c r="B2" s="118"/>
      <c r="C2" s="119"/>
      <c r="D2" s="119"/>
    </row>
    <row r="3" spans="1:6" ht="73.5" customHeight="1">
      <c r="A3" s="1016" t="str">
        <f>Cover!$B$2</f>
        <v>765kV AIS Substation Extension Package (SS-91) under Transmission Network Expansion in Gujarat to increase its ATC from ISTS: Part C.</v>
      </c>
      <c r="B3" s="1016"/>
      <c r="C3" s="1016"/>
      <c r="D3" s="1016"/>
      <c r="E3" s="120"/>
      <c r="F3" s="120"/>
    </row>
    <row r="4" spans="1:6" ht="21.95" customHeight="1">
      <c r="A4" s="985" t="s">
        <v>148</v>
      </c>
      <c r="B4" s="985"/>
      <c r="C4" s="985"/>
      <c r="D4" s="985"/>
    </row>
    <row r="5" spans="1:6" ht="18" customHeight="1">
      <c r="A5" s="121"/>
    </row>
    <row r="6" spans="1:6" ht="18" customHeight="1">
      <c r="A6" s="25" t="e">
        <f>'Sch-1'!#REF!</f>
        <v>#REF!</v>
      </c>
      <c r="D6" s="94" t="s">
        <v>1</v>
      </c>
    </row>
    <row r="7" spans="1:6" ht="36" customHeight="1">
      <c r="A7" s="1017" t="str">
        <f>'Sch-1'!A8</f>
        <v>Bidder’s Name and Address  (Sole Bidder) :</v>
      </c>
      <c r="B7" s="1017"/>
      <c r="C7" s="1017"/>
      <c r="D7" s="95" t="str">
        <f>'Sch-1'!K8</f>
        <v>Contract Services</v>
      </c>
    </row>
    <row r="8" spans="1:6" ht="18" customHeight="1">
      <c r="A8" s="29" t="s">
        <v>31</v>
      </c>
      <c r="B8" s="1015" t="str">
        <f>IF('Sch-1'!C9=0, "", 'Sch-1'!C9)</f>
        <v/>
      </c>
      <c r="C8" s="1015"/>
      <c r="D8" s="95" t="str">
        <f>'Sch-1'!K9</f>
        <v>Power Grid Corporation of India Ltd.,</v>
      </c>
    </row>
    <row r="9" spans="1:6" ht="18" customHeight="1">
      <c r="A9" s="29" t="s">
        <v>32</v>
      </c>
      <c r="B9" s="1015" t="str">
        <f>IF('Sch-1'!C10=0, "", 'Sch-1'!C10)</f>
        <v/>
      </c>
      <c r="C9" s="1015"/>
      <c r="D9" s="95" t="str">
        <f>'Sch-1'!K10</f>
        <v>"Saudamini", Plot No.-2</v>
      </c>
    </row>
    <row r="10" spans="1:6" ht="18" customHeight="1">
      <c r="A10" s="30"/>
      <c r="B10" s="1015" t="str">
        <f>IF('Sch-1'!C11=0, "", 'Sch-1'!C11)</f>
        <v/>
      </c>
      <c r="C10" s="1015"/>
      <c r="D10" s="95" t="str">
        <f>'Sch-1'!K11</f>
        <v xml:space="preserve">Sector-29, </v>
      </c>
    </row>
    <row r="11" spans="1:6" ht="18" customHeight="1">
      <c r="A11" s="30"/>
      <c r="B11" s="1015" t="str">
        <f>IF('Sch-1'!C12=0, "", 'Sch-1'!C12)</f>
        <v/>
      </c>
      <c r="C11" s="1015"/>
      <c r="D11" s="95" t="str">
        <f>'Sch-1'!K12</f>
        <v>Gurgaon (Haryana) - 122001</v>
      </c>
    </row>
    <row r="12" spans="1:6" ht="18" customHeight="1">
      <c r="A12" s="122"/>
      <c r="B12" s="122"/>
      <c r="C12" s="122"/>
      <c r="D12" s="123"/>
    </row>
    <row r="13" spans="1:6" ht="21.95" customHeight="1">
      <c r="A13" s="124" t="s">
        <v>130</v>
      </c>
      <c r="B13" s="1011" t="s">
        <v>15</v>
      </c>
      <c r="C13" s="1012"/>
      <c r="D13" s="125" t="s">
        <v>132</v>
      </c>
    </row>
    <row r="14" spans="1:6" ht="21.95" customHeight="1">
      <c r="A14" s="96" t="s">
        <v>135</v>
      </c>
      <c r="B14" s="1004" t="s">
        <v>149</v>
      </c>
      <c r="C14" s="1004"/>
      <c r="D14" s="126"/>
    </row>
    <row r="15" spans="1:6" ht="35.1" customHeight="1">
      <c r="A15" s="127"/>
      <c r="B15" s="1005" t="s">
        <v>150</v>
      </c>
      <c r="C15" s="1006"/>
      <c r="D15" s="128"/>
    </row>
    <row r="16" spans="1:6" ht="21.95" customHeight="1">
      <c r="A16" s="96" t="s">
        <v>137</v>
      </c>
      <c r="B16" s="1004" t="s">
        <v>151</v>
      </c>
      <c r="C16" s="1004"/>
      <c r="D16" s="126"/>
    </row>
    <row r="17" spans="1:6" ht="35.1" customHeight="1">
      <c r="A17" s="127"/>
      <c r="B17" s="1005" t="s">
        <v>152</v>
      </c>
      <c r="C17" s="1006"/>
      <c r="D17" s="128"/>
    </row>
    <row r="18" spans="1:6" ht="21.95" customHeight="1">
      <c r="A18" s="96" t="s">
        <v>139</v>
      </c>
      <c r="B18" s="1004" t="s">
        <v>153</v>
      </c>
      <c r="C18" s="1004"/>
      <c r="D18" s="126"/>
    </row>
    <row r="19" spans="1:6" ht="30" customHeight="1">
      <c r="A19" s="127"/>
      <c r="B19" s="1005" t="s">
        <v>154</v>
      </c>
      <c r="C19" s="1006"/>
      <c r="D19" s="128"/>
    </row>
    <row r="20" spans="1:6" ht="21.95" customHeight="1">
      <c r="A20" s="96" t="s">
        <v>140</v>
      </c>
      <c r="B20" s="1004" t="s">
        <v>155</v>
      </c>
      <c r="C20" s="1004"/>
      <c r="D20" s="129"/>
    </row>
    <row r="21" spans="1:6" ht="30" customHeight="1">
      <c r="A21" s="127"/>
      <c r="B21" s="1005" t="s">
        <v>156</v>
      </c>
      <c r="C21" s="1006"/>
      <c r="D21" s="128"/>
    </row>
    <row r="22" spans="1:6" ht="30" customHeight="1">
      <c r="A22" s="96">
        <v>5</v>
      </c>
      <c r="B22" s="1004" t="s">
        <v>157</v>
      </c>
      <c r="C22" s="1004"/>
      <c r="D22" s="126"/>
    </row>
    <row r="23" spans="1:6" ht="33" customHeight="1">
      <c r="A23" s="127"/>
      <c r="B23" s="1005" t="s">
        <v>158</v>
      </c>
      <c r="C23" s="1006"/>
      <c r="D23" s="143"/>
    </row>
    <row r="24" spans="1:6" ht="21.95" customHeight="1">
      <c r="A24" s="96" t="s">
        <v>142</v>
      </c>
      <c r="B24" s="1004" t="s">
        <v>159</v>
      </c>
      <c r="C24" s="1004"/>
      <c r="D24" s="129"/>
    </row>
    <row r="25" spans="1:6" ht="35.1" customHeight="1">
      <c r="A25" s="127"/>
      <c r="B25" s="1005" t="s">
        <v>160</v>
      </c>
      <c r="C25" s="1006"/>
      <c r="D25" s="128"/>
    </row>
    <row r="26" spans="1:6" ht="24" customHeight="1">
      <c r="A26" s="1013"/>
      <c r="B26" s="1014" t="s">
        <v>161</v>
      </c>
      <c r="C26" s="1014"/>
      <c r="D26" s="130"/>
    </row>
    <row r="27" spans="1:6" ht="25.5" customHeight="1">
      <c r="A27" s="1013"/>
      <c r="B27" s="1014"/>
      <c r="C27" s="1014"/>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F38BD2F3-61EE-4B49-A7FC-8FB2B5BA6A2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29B4069-9BED-4703-B114-D2D164877E8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F35"/>
  <sheetViews>
    <sheetView view="pageBreakPreview" zoomScaleNormal="100" zoomScaleSheetLayoutView="100" workbookViewId="0">
      <selection activeCell="G14" sqref="G14"/>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 5002002280/SUB-STATION(EXCLUDIN/DOM/A06-CC CS -7</v>
      </c>
      <c r="B1" s="114"/>
      <c r="C1" s="115"/>
      <c r="D1" s="116" t="s">
        <v>147</v>
      </c>
    </row>
    <row r="2" spans="1:6" ht="18" customHeight="1">
      <c r="A2" s="117"/>
      <c r="B2" s="118"/>
      <c r="C2" s="119"/>
      <c r="D2" s="119"/>
    </row>
    <row r="3" spans="1:6" ht="132" customHeight="1">
      <c r="A3" s="984" t="str">
        <f>Cover!$B$2</f>
        <v>765kV AIS Substation Extension Package (SS-91) under Transmission Network Expansion in Gujarat to increase its ATC from ISTS: Part C.</v>
      </c>
      <c r="B3" s="984"/>
      <c r="C3" s="984"/>
      <c r="D3" s="984"/>
      <c r="E3" s="120"/>
      <c r="F3" s="120"/>
    </row>
    <row r="4" spans="1:6" ht="21.95" customHeight="1">
      <c r="A4" s="985" t="s">
        <v>148</v>
      </c>
      <c r="B4" s="985"/>
      <c r="C4" s="985"/>
      <c r="D4" s="985"/>
    </row>
    <row r="5" spans="1:6" ht="18" customHeight="1">
      <c r="A5" s="121"/>
    </row>
    <row r="6" spans="1:6" ht="18" customHeight="1">
      <c r="A6" s="928" t="s">
        <v>350</v>
      </c>
      <c r="B6" s="928"/>
      <c r="C6" s="4"/>
    </row>
    <row r="7" spans="1:6" ht="18" customHeight="1">
      <c r="A7" s="951">
        <f>'Sch-1'!A7</f>
        <v>0</v>
      </c>
      <c r="B7" s="951"/>
      <c r="C7" s="951"/>
      <c r="D7" s="94" t="s">
        <v>1</v>
      </c>
    </row>
    <row r="8" spans="1:6" ht="22.5" customHeight="1">
      <c r="A8" s="929" t="str">
        <f>"Bidder’s Name and Address  (" &amp; MID('Names of Bidder'!B9,9, 20) &amp; ") :"</f>
        <v>Bidder’s Name and Address  (Sole Bidder) :</v>
      </c>
      <c r="B8" s="929"/>
      <c r="C8" s="929"/>
      <c r="D8" s="95" t="str">
        <f>'Sch-1'!K8</f>
        <v>Contract Services</v>
      </c>
    </row>
    <row r="9" spans="1:6" ht="18" customHeight="1">
      <c r="A9" s="456" t="s">
        <v>12</v>
      </c>
      <c r="B9" s="456" t="str">
        <f>IF('Names of Bidder'!D9=0, "", 'Names of Bidder'!D9)</f>
        <v/>
      </c>
      <c r="C9" s="112"/>
      <c r="D9" s="95" t="str">
        <f>'Sch-1'!K9</f>
        <v>Power Grid Corporation of India Ltd.,</v>
      </c>
    </row>
    <row r="10" spans="1:6" ht="18" customHeight="1">
      <c r="A10" s="456" t="s">
        <v>11</v>
      </c>
      <c r="B10" s="576" t="str">
        <f>IF('Names of Bidder'!D10=0, "", 'Names of Bidder'!D10)</f>
        <v/>
      </c>
      <c r="C10" s="112"/>
      <c r="D10" s="95" t="str">
        <f>'Sch-1'!K10</f>
        <v>"Saudamini", Plot No.-2</v>
      </c>
    </row>
    <row r="11" spans="1:6" ht="18" customHeight="1">
      <c r="A11" s="407"/>
      <c r="B11" s="576" t="str">
        <f>IF('Names of Bidder'!D11=0, "", 'Names of Bidder'!D11)</f>
        <v/>
      </c>
      <c r="C11" s="112"/>
      <c r="D11" s="95" t="str">
        <f>'Sch-1'!K11</f>
        <v xml:space="preserve">Sector-29, </v>
      </c>
    </row>
    <row r="12" spans="1:6" ht="18" customHeight="1">
      <c r="A12" s="407"/>
      <c r="B12" s="576"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1002" t="s">
        <v>15</v>
      </c>
      <c r="C14" s="1003"/>
      <c r="D14" s="624" t="s">
        <v>132</v>
      </c>
      <c r="E14" s="601" t="s">
        <v>361</v>
      </c>
      <c r="F14" s="602" t="s">
        <v>360</v>
      </c>
    </row>
    <row r="15" spans="1:6" ht="21.95" customHeight="1">
      <c r="A15" s="625" t="s">
        <v>135</v>
      </c>
      <c r="B15" s="1004" t="s">
        <v>149</v>
      </c>
      <c r="C15" s="1004"/>
      <c r="D15" s="626">
        <f>E15*F15</f>
        <v>0</v>
      </c>
      <c r="E15" s="603">
        <f>'Sch-6'!D15</f>
        <v>0</v>
      </c>
      <c r="F15" s="619">
        <f>IF(Discount!H36&lt;0,0,Discount!H36)</f>
        <v>0</v>
      </c>
    </row>
    <row r="16" spans="1:6" ht="35.1" customHeight="1">
      <c r="A16" s="627"/>
      <c r="B16" s="1005" t="s">
        <v>150</v>
      </c>
      <c r="C16" s="1006"/>
      <c r="D16" s="628"/>
      <c r="E16" s="605"/>
      <c r="F16" s="619"/>
    </row>
    <row r="17" spans="1:6" ht="21.95" customHeight="1">
      <c r="A17" s="625" t="s">
        <v>137</v>
      </c>
      <c r="B17" s="1004" t="s">
        <v>151</v>
      </c>
      <c r="C17" s="1004"/>
      <c r="D17" s="626">
        <f>E17*F17</f>
        <v>0</v>
      </c>
      <c r="E17" s="603">
        <f>'Sch-6'!D17</f>
        <v>0</v>
      </c>
      <c r="F17" s="619">
        <f>IF(Discount!I36&lt;0,0,Discount!I36)</f>
        <v>0</v>
      </c>
    </row>
    <row r="18" spans="1:6" ht="35.1" customHeight="1">
      <c r="A18" s="627"/>
      <c r="B18" s="1005" t="s">
        <v>313</v>
      </c>
      <c r="C18" s="1006"/>
      <c r="D18" s="628"/>
      <c r="E18" s="605"/>
      <c r="F18" s="619"/>
    </row>
    <row r="19" spans="1:6" ht="21.95" customHeight="1">
      <c r="A19" s="625" t="s">
        <v>139</v>
      </c>
      <c r="B19" s="1004" t="s">
        <v>153</v>
      </c>
      <c r="C19" s="1004"/>
      <c r="D19" s="626">
        <f>E19*F19</f>
        <v>0</v>
      </c>
      <c r="E19" s="603">
        <f>'Sch-6'!D19</f>
        <v>0</v>
      </c>
      <c r="F19" s="619">
        <f>IF(Discount!J36&lt;0,0,Discount!J36)</f>
        <v>0</v>
      </c>
    </row>
    <row r="20" spans="1:6" ht="30" customHeight="1">
      <c r="A20" s="627"/>
      <c r="B20" s="1005" t="s">
        <v>154</v>
      </c>
      <c r="C20" s="1006"/>
      <c r="D20" s="628"/>
      <c r="E20" s="605"/>
      <c r="F20" s="604"/>
    </row>
    <row r="21" spans="1:6" ht="21.95" customHeight="1">
      <c r="A21" s="625" t="s">
        <v>140</v>
      </c>
      <c r="B21" s="1004" t="s">
        <v>155</v>
      </c>
      <c r="C21" s="1004"/>
      <c r="D21" s="629" t="s">
        <v>339</v>
      </c>
      <c r="E21" s="605"/>
      <c r="F21" s="604"/>
    </row>
    <row r="22" spans="1:6" ht="30" customHeight="1">
      <c r="A22" s="627"/>
      <c r="B22" s="1005" t="s">
        <v>156</v>
      </c>
      <c r="C22" s="1006"/>
      <c r="D22" s="628"/>
      <c r="E22" s="605"/>
      <c r="F22" s="604"/>
    </row>
    <row r="23" spans="1:6" ht="30" customHeight="1">
      <c r="A23" s="625">
        <v>5</v>
      </c>
      <c r="B23" s="1004" t="s">
        <v>157</v>
      </c>
      <c r="C23" s="1004"/>
      <c r="D23" s="626">
        <f>IF('Sch-5 after discount'!D19&lt;0,0,'Sch-5 after discount'!D19)</f>
        <v>0</v>
      </c>
      <c r="E23" s="605"/>
      <c r="F23" s="604"/>
    </row>
    <row r="24" spans="1:6" ht="25.5" customHeight="1">
      <c r="A24" s="627"/>
      <c r="B24" s="1005" t="s">
        <v>158</v>
      </c>
      <c r="C24" s="1006"/>
      <c r="D24" s="630"/>
      <c r="E24" s="605"/>
      <c r="F24" s="604"/>
    </row>
    <row r="25" spans="1:6" ht="21.95" customHeight="1">
      <c r="A25" s="625" t="s">
        <v>142</v>
      </c>
      <c r="B25" s="1004" t="s">
        <v>159</v>
      </c>
      <c r="C25" s="1004"/>
      <c r="D25" s="629" t="s">
        <v>339</v>
      </c>
      <c r="E25" s="605"/>
      <c r="F25" s="604"/>
    </row>
    <row r="26" spans="1:6" ht="35.1" customHeight="1">
      <c r="A26" s="627"/>
      <c r="B26" s="1005" t="s">
        <v>160</v>
      </c>
      <c r="C26" s="1006"/>
      <c r="D26" s="628"/>
      <c r="E26" s="605"/>
      <c r="F26" s="604"/>
    </row>
    <row r="27" spans="1:6" ht="18.75" customHeight="1">
      <c r="A27" s="1007"/>
      <c r="B27" s="1009" t="s">
        <v>347</v>
      </c>
      <c r="C27" s="1009"/>
      <c r="D27" s="633"/>
      <c r="E27" s="605"/>
      <c r="F27" s="604"/>
    </row>
    <row r="28" spans="1:6" ht="18.75" customHeight="1" thickBot="1">
      <c r="A28" s="1008"/>
      <c r="B28" s="1010"/>
      <c r="C28" s="1010"/>
      <c r="D28" s="632">
        <f>SUM(D15:D26)</f>
        <v>0</v>
      </c>
      <c r="E28" s="606"/>
      <c r="F28" s="607"/>
    </row>
    <row r="29" spans="1:6" ht="18.75" customHeight="1">
      <c r="A29" s="132"/>
      <c r="B29" s="133"/>
      <c r="C29" s="133"/>
      <c r="D29" s="134"/>
    </row>
    <row r="30" spans="1:6" ht="27.95" customHeight="1">
      <c r="A30" s="132"/>
      <c r="B30" s="135"/>
      <c r="C30" s="135"/>
      <c r="D30" s="134"/>
    </row>
    <row r="31" spans="1:6" ht="27.95" customHeight="1">
      <c r="A31" s="136" t="s">
        <v>162</v>
      </c>
      <c r="B31" s="642" t="str">
        <f>'Sch-6'!B31</f>
        <v xml:space="preserve">  </v>
      </c>
      <c r="C31" s="135" t="s">
        <v>144</v>
      </c>
      <c r="D31" s="702" t="str">
        <f>'Sch-6'!D31</f>
        <v/>
      </c>
      <c r="F31" s="137"/>
    </row>
    <row r="32" spans="1:6" ht="27.95" customHeight="1">
      <c r="A32" s="136" t="s">
        <v>163</v>
      </c>
      <c r="B32" s="643" t="str">
        <f>'Sch-6'!B32</f>
        <v/>
      </c>
      <c r="C32" s="135" t="s">
        <v>146</v>
      </c>
      <c r="D32" s="702"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1peJVwyK3ayvYoQmk7GF/29s7bdSyFB7MkK/tAUAJ8CnmA2udol0y5UZTbVy+5EDOTnYovRPsUD5FUixjE+vmg==" saltValue="d+0Jqsmasv1mXv1wRA9udg==" spinCount="100000" sheet="1" formatColumns="0" formatRows="0" selectLockedCells="1"/>
  <customSheetViews>
    <customSheetView guid="{F38BD2F3-61EE-4B49-A7FC-8FB2B5BA6A2F}" showPageBreaks="1" printArea="1" hiddenColumns="1" view="pageBreakPreview">
      <selection activeCell="G14" sqref="G14"/>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267FF044-3C5D-4FEC-AC00-A7E30583F8BB}" showPageBreaks="1" printArea="1" hiddenColumns="1" view="pageBreakPreview">
      <selection activeCell="G14" sqref="G14"/>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29B4069-9BED-4703-B114-D2D164877E8C}" showPageBreaks="1" printArea="1" hiddenColumns="1" view="pageBreakPreview">
      <selection activeCell="G14" sqref="G14"/>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183"/>
  <sheetViews>
    <sheetView view="pageBreakPreview" zoomScaleNormal="100" zoomScaleSheetLayoutView="100" workbookViewId="0">
      <selection activeCell="A18" sqref="A18:I18"/>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Spec. No: 5002002280/SUB-STATION(EXCLUDIN/DOM/A06-CC CS -7</v>
      </c>
      <c r="B1" s="300"/>
      <c r="C1" s="300"/>
      <c r="D1" s="300"/>
      <c r="E1" s="300"/>
      <c r="F1" s="300"/>
      <c r="G1" s="300"/>
      <c r="H1" s="300"/>
      <c r="I1" s="395"/>
      <c r="J1" s="301"/>
      <c r="K1" s="301"/>
      <c r="L1" s="301"/>
      <c r="M1" s="302" t="s">
        <v>30</v>
      </c>
    </row>
    <row r="2" spans="1:100" s="304" customFormat="1" ht="12.75" customHeight="1">
      <c r="A2" s="305"/>
      <c r="B2" s="305"/>
      <c r="C2" s="305"/>
      <c r="D2" s="305"/>
      <c r="E2" s="305"/>
      <c r="F2" s="305"/>
      <c r="G2" s="305"/>
      <c r="H2" s="305"/>
      <c r="I2" s="396"/>
      <c r="J2" s="306"/>
      <c r="K2" s="306"/>
      <c r="L2" s="306"/>
      <c r="M2" s="306"/>
    </row>
    <row r="3" spans="1:100" s="304" customFormat="1" ht="101.25" customHeight="1">
      <c r="A3" s="1034" t="str">
        <f>Cover!$B$2</f>
        <v>765kV AIS Substation Extension Package (SS-91) under Transmission Network Expansion in Gujarat to increase its ATC from ISTS: Part C.</v>
      </c>
      <c r="B3" s="1034"/>
      <c r="C3" s="1034"/>
      <c r="D3" s="1034"/>
      <c r="E3" s="1034"/>
      <c r="F3" s="1034"/>
      <c r="G3" s="1034"/>
      <c r="H3" s="1034"/>
      <c r="I3" s="1034"/>
      <c r="J3" s="1034"/>
      <c r="K3" s="1034"/>
      <c r="L3" s="1034"/>
      <c r="M3" s="1034"/>
      <c r="AA3" s="304" t="s">
        <v>18</v>
      </c>
      <c r="AC3" s="304">
        <f>IF(ISERROR(#REF!/('[9]Sch-6'!D14+'[9]Sch-6'!D16+'[9]Sch-6'!D18)),0,#REF!/( '[9]Sch-6'!D14+'[9]Sch-6'!D16+'[9]Sch-6'!D18))</f>
        <v>0</v>
      </c>
    </row>
    <row r="4" spans="1:100" s="304" customFormat="1" ht="21.95" customHeight="1">
      <c r="A4" s="1035" t="s">
        <v>19</v>
      </c>
      <c r="B4" s="1035"/>
      <c r="C4" s="1035"/>
      <c r="D4" s="1035"/>
      <c r="E4" s="1035"/>
      <c r="F4" s="1035"/>
      <c r="G4" s="1035"/>
      <c r="H4" s="1035"/>
      <c r="I4" s="1035"/>
      <c r="J4" s="1035"/>
      <c r="K4" s="1035"/>
      <c r="L4" s="1035"/>
      <c r="M4" s="1035"/>
      <c r="AA4" s="304" t="s">
        <v>20</v>
      </c>
      <c r="AC4" s="304" t="e">
        <f>#REF!</f>
        <v>#REF!</v>
      </c>
    </row>
    <row r="5" spans="1:100" s="304" customFormat="1" ht="27.95" customHeight="1">
      <c r="A5" s="309"/>
      <c r="B5" s="309"/>
      <c r="C5" s="309"/>
      <c r="D5" s="309"/>
      <c r="E5" s="460"/>
      <c r="F5" s="460"/>
      <c r="G5" s="460"/>
      <c r="H5" s="460"/>
      <c r="I5" s="397"/>
      <c r="K5" s="308"/>
      <c r="L5" s="307"/>
      <c r="M5" s="460"/>
    </row>
    <row r="6" spans="1:100" s="304" customFormat="1" ht="27.95" customHeight="1">
      <c r="A6" s="579"/>
      <c r="B6" s="928" t="s">
        <v>350</v>
      </c>
      <c r="C6" s="928"/>
      <c r="D6" s="4"/>
      <c r="E6" s="460"/>
      <c r="F6" s="460"/>
      <c r="G6" s="460"/>
      <c r="H6" s="460"/>
      <c r="I6" s="397"/>
      <c r="K6" s="308"/>
      <c r="L6" s="307"/>
      <c r="M6" s="460"/>
    </row>
    <row r="7" spans="1:100" s="304" customFormat="1" ht="27.95" customHeight="1">
      <c r="A7" s="575"/>
      <c r="B7" s="951">
        <f>'Sch-1'!A7</f>
        <v>0</v>
      </c>
      <c r="C7" s="951"/>
      <c r="D7" s="951"/>
      <c r="E7" s="951"/>
      <c r="F7" s="951"/>
      <c r="G7" s="951"/>
      <c r="H7" s="951"/>
      <c r="I7" s="397"/>
      <c r="K7" s="308"/>
      <c r="L7" s="307"/>
      <c r="M7" s="460"/>
    </row>
    <row r="8" spans="1:100" s="515" customFormat="1" ht="16.5" customHeight="1">
      <c r="A8" s="578"/>
      <c r="B8" s="929" t="str">
        <f>'Sch-1'!A8</f>
        <v>Bidder’s Name and Address  (Sole Bidder) :</v>
      </c>
      <c r="C8" s="929"/>
      <c r="D8" s="929"/>
      <c r="E8" s="929"/>
      <c r="F8" s="929"/>
      <c r="G8" s="929"/>
      <c r="H8" s="929"/>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15" customFormat="1">
      <c r="A9" s="456"/>
      <c r="B9" s="456" t="s">
        <v>12</v>
      </c>
      <c r="C9" s="953" t="str">
        <f>'Sch-1'!C9</f>
        <v/>
      </c>
      <c r="D9" s="953"/>
      <c r="E9" s="953"/>
      <c r="F9" s="953"/>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15" customFormat="1">
      <c r="A10" s="456"/>
      <c r="B10" s="456" t="s">
        <v>11</v>
      </c>
      <c r="C10" s="952" t="str">
        <f>'Sch-1'!C10</f>
        <v/>
      </c>
      <c r="D10" s="952"/>
      <c r="E10" s="952"/>
      <c r="F10" s="952"/>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15" customFormat="1">
      <c r="A11" s="407"/>
      <c r="B11" s="407"/>
      <c r="C11" s="952" t="str">
        <f>'Sch-1'!C11</f>
        <v/>
      </c>
      <c r="D11" s="952"/>
      <c r="E11" s="952"/>
      <c r="F11" s="952"/>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15" customFormat="1">
      <c r="A12" s="407"/>
      <c r="B12" s="407"/>
      <c r="C12" s="952" t="str">
        <f>'Sch-1'!C12</f>
        <v/>
      </c>
      <c r="D12" s="952"/>
      <c r="E12" s="952"/>
      <c r="F12" s="952"/>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0"/>
      <c r="K13" s="95" t="s">
        <v>6</v>
      </c>
      <c r="L13" s="303"/>
      <c r="M13" s="303"/>
    </row>
    <row r="14" spans="1:100" s="304" customFormat="1" ht="27.95" customHeight="1">
      <c r="A14" s="1025" t="s">
        <v>33</v>
      </c>
      <c r="B14" s="1025"/>
      <c r="C14" s="1025"/>
      <c r="D14" s="1025"/>
      <c r="E14" s="1025"/>
      <c r="F14" s="1025"/>
      <c r="G14" s="1025"/>
      <c r="H14" s="1025"/>
      <c r="I14" s="1025"/>
      <c r="J14" s="1025"/>
      <c r="K14" s="1025"/>
      <c r="L14" s="1025"/>
      <c r="M14" s="1025"/>
    </row>
    <row r="15" spans="1:100" s="304" customFormat="1" ht="115.5" customHeight="1">
      <c r="A15" s="512" t="s">
        <v>34</v>
      </c>
      <c r="B15" s="391" t="s">
        <v>266</v>
      </c>
      <c r="C15" s="391" t="s">
        <v>267</v>
      </c>
      <c r="D15" s="512" t="s">
        <v>40</v>
      </c>
      <c r="E15" s="516" t="s">
        <v>329</v>
      </c>
      <c r="F15" s="517" t="s">
        <v>330</v>
      </c>
      <c r="G15" s="517" t="s">
        <v>309</v>
      </c>
      <c r="H15" s="517" t="s">
        <v>318</v>
      </c>
      <c r="I15" s="513" t="s">
        <v>35</v>
      </c>
      <c r="J15" s="513" t="s">
        <v>9</v>
      </c>
      <c r="K15" s="513" t="s">
        <v>16</v>
      </c>
      <c r="L15" s="513" t="s">
        <v>36</v>
      </c>
      <c r="M15" s="514" t="s">
        <v>37</v>
      </c>
      <c r="AB15" s="304" t="s">
        <v>38</v>
      </c>
      <c r="AD15" s="304" t="s">
        <v>22</v>
      </c>
      <c r="AE15" s="304" t="s">
        <v>39</v>
      </c>
    </row>
    <row r="16" spans="1:100">
      <c r="A16" s="519"/>
      <c r="B16" s="519"/>
      <c r="C16" s="519"/>
      <c r="D16" s="519"/>
      <c r="E16" s="519"/>
      <c r="F16" s="519"/>
      <c r="G16" s="519"/>
      <c r="H16" s="519"/>
      <c r="I16" s="520"/>
      <c r="J16" s="521"/>
      <c r="K16" s="521"/>
      <c r="L16" s="521"/>
      <c r="M16" s="521"/>
    </row>
    <row r="17" spans="1:100" s="414" customFormat="1" ht="23.25" customHeight="1">
      <c r="A17" s="462"/>
      <c r="B17" s="462"/>
      <c r="C17" s="462"/>
      <c r="D17" s="462"/>
      <c r="F17" s="462"/>
      <c r="G17" s="522" t="s">
        <v>338</v>
      </c>
      <c r="H17" s="462"/>
      <c r="I17" s="462"/>
      <c r="J17" s="462"/>
      <c r="K17" s="462"/>
      <c r="L17" s="462"/>
      <c r="M17" s="462"/>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1026"/>
      <c r="B18" s="1026"/>
      <c r="C18" s="1026"/>
      <c r="D18" s="1026"/>
      <c r="E18" s="1026"/>
      <c r="F18" s="1026"/>
      <c r="G18" s="1026"/>
      <c r="H18" s="1026"/>
      <c r="I18" s="1026"/>
      <c r="J18" s="523"/>
      <c r="K18" s="523"/>
      <c r="L18" s="523"/>
      <c r="M18" s="523"/>
    </row>
    <row r="19" spans="1:100" ht="26.25" customHeight="1">
      <c r="B19" s="373"/>
      <c r="C19" s="374"/>
      <c r="D19" s="374"/>
      <c r="E19" s="374"/>
      <c r="F19" s="374"/>
      <c r="G19" s="374"/>
      <c r="H19" s="374"/>
      <c r="I19" s="374"/>
      <c r="J19" s="374"/>
      <c r="K19" s="374"/>
      <c r="L19" s="375"/>
      <c r="M19" s="518"/>
    </row>
    <row r="20" spans="1:100">
      <c r="B20" s="374"/>
      <c r="C20" s="374"/>
      <c r="D20" s="374"/>
      <c r="E20" s="374"/>
      <c r="F20" s="374"/>
      <c r="G20" s="374"/>
      <c r="H20" s="374"/>
      <c r="I20" s="374"/>
      <c r="J20" s="374"/>
      <c r="K20" s="374"/>
      <c r="L20" s="376"/>
      <c r="M20" s="518"/>
    </row>
    <row r="21" spans="1:100" s="469" customFormat="1">
      <c r="B21" s="469" t="s">
        <v>315</v>
      </c>
      <c r="C21" s="1027" t="str">
        <f>'Sch-6 (After Discount)'!B31</f>
        <v xml:space="preserve">  </v>
      </c>
      <c r="D21" s="1028"/>
      <c r="H21" s="1031" t="s">
        <v>317</v>
      </c>
      <c r="I21" s="1031"/>
      <c r="J21" s="1036" t="str">
        <f>'Sch-6 (After Discount)'!D31</f>
        <v/>
      </c>
      <c r="K21" s="1036"/>
      <c r="L21" s="1036"/>
      <c r="M21" s="1036"/>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69" customFormat="1" ht="16.5" customHeight="1">
      <c r="B22" s="469" t="s">
        <v>316</v>
      </c>
      <c r="C22" s="1037" t="str">
        <f>'Sch-6'!B32</f>
        <v/>
      </c>
      <c r="D22" s="1028"/>
      <c r="H22" s="1031" t="s">
        <v>125</v>
      </c>
      <c r="I22" s="1031"/>
      <c r="J22" s="1036" t="str">
        <f>'Sch-6 (After Discount)'!D32</f>
        <v/>
      </c>
      <c r="K22" s="1036"/>
      <c r="L22" s="1036"/>
      <c r="M22" s="1036"/>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1029"/>
      <c r="C23" s="1029"/>
      <c r="D23" s="1029"/>
      <c r="E23" s="1029"/>
      <c r="F23" s="1029"/>
      <c r="G23" s="1029"/>
      <c r="H23" s="1029"/>
      <c r="I23" s="1029"/>
      <c r="J23" s="1029"/>
      <c r="K23" s="1029"/>
      <c r="L23" s="1029"/>
      <c r="M23" s="518"/>
    </row>
    <row r="24" spans="1:100">
      <c r="B24" s="377"/>
      <c r="C24" s="377"/>
      <c r="D24" s="1030"/>
      <c r="E24" s="1030"/>
      <c r="F24" s="1030"/>
      <c r="G24" s="1030"/>
      <c r="H24" s="1030"/>
      <c r="I24" s="1030"/>
      <c r="J24" s="1030"/>
      <c r="K24" s="1030"/>
      <c r="L24" s="1030"/>
      <c r="M24" s="518"/>
    </row>
    <row r="25" spans="1:100">
      <c r="B25" s="378"/>
      <c r="C25" s="379"/>
      <c r="D25" s="1030"/>
      <c r="E25" s="1030"/>
      <c r="F25" s="1030"/>
      <c r="G25" s="1030"/>
      <c r="H25" s="1030"/>
      <c r="I25" s="1030"/>
      <c r="J25" s="1030"/>
      <c r="K25" s="1030"/>
      <c r="L25" s="1030"/>
      <c r="M25" s="518"/>
    </row>
    <row r="26" spans="1:100">
      <c r="B26" s="378"/>
      <c r="C26" s="380"/>
      <c r="D26" s="1030"/>
      <c r="E26" s="1030"/>
      <c r="F26" s="1030"/>
      <c r="G26" s="1030"/>
      <c r="H26" s="1030"/>
      <c r="I26" s="1030"/>
      <c r="J26" s="1030"/>
      <c r="K26" s="1030"/>
      <c r="L26" s="1030"/>
      <c r="M26" s="518"/>
    </row>
    <row r="27" spans="1:100">
      <c r="B27" s="23"/>
      <c r="C27" s="22"/>
      <c r="D27" s="1030"/>
      <c r="E27" s="1030"/>
      <c r="F27" s="1030"/>
      <c r="G27" s="1030"/>
      <c r="H27" s="1030"/>
      <c r="I27" s="1030"/>
      <c r="J27" s="1030"/>
      <c r="K27" s="1030"/>
      <c r="L27" s="1030"/>
      <c r="M27" s="518"/>
    </row>
    <row r="28" spans="1:100">
      <c r="B28" s="23"/>
      <c r="C28" s="22"/>
      <c r="D28" s="381"/>
      <c r="E28" s="381"/>
      <c r="F28" s="381"/>
      <c r="G28" s="381"/>
      <c r="H28" s="381"/>
      <c r="I28" s="381"/>
      <c r="J28" s="381"/>
      <c r="K28" s="381"/>
      <c r="L28" s="381"/>
      <c r="M28" s="518"/>
    </row>
    <row r="29" spans="1:100">
      <c r="B29" s="382"/>
      <c r="C29" s="1032"/>
      <c r="D29" s="1032"/>
      <c r="E29" s="1032"/>
      <c r="F29" s="1032"/>
      <c r="G29" s="1032"/>
      <c r="H29" s="1032"/>
      <c r="I29" s="1032"/>
      <c r="J29" s="1032"/>
      <c r="K29" s="1032"/>
      <c r="L29" s="383"/>
      <c r="M29" s="518"/>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Spec. No: 5002002280/SUB-STATION(EXCLUDIN/DOM/A06-CC CS -7</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1033" t="str">
        <f>A3</f>
        <v>765kV AIS Substation Extension Package (SS-91) under Transmission Network Expansion in Gujarat to increase its ATC from ISTS: Part C.</v>
      </c>
      <c r="B64" s="1033"/>
      <c r="C64" s="1033"/>
      <c r="D64" s="1033"/>
      <c r="E64" s="1033"/>
      <c r="F64" s="1033"/>
      <c r="G64" s="1033"/>
      <c r="H64" s="1033"/>
      <c r="I64" s="1033">
        <f>I3</f>
        <v>0</v>
      </c>
      <c r="J64" s="1033">
        <f>J3</f>
        <v>0</v>
      </c>
      <c r="K64" s="1033"/>
      <c r="L64" s="1033"/>
      <c r="M64" s="1033"/>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1024" t="str">
        <f>A4</f>
        <v>(SCHEDULE OF RATES AND PRICES )</v>
      </c>
      <c r="B65" s="1024"/>
      <c r="C65" s="1024"/>
      <c r="D65" s="1024"/>
      <c r="E65" s="1024"/>
      <c r="F65" s="1024"/>
      <c r="G65" s="1024"/>
      <c r="H65" s="1024"/>
      <c r="I65" s="1024">
        <f>I4</f>
        <v>0</v>
      </c>
      <c r="J65" s="1024">
        <f>J4</f>
        <v>0</v>
      </c>
      <c r="K65" s="1024"/>
      <c r="L65" s="1024"/>
      <c r="M65" s="102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59"/>
      <c r="J66" s="461"/>
      <c r="K66" s="461"/>
      <c r="L66" s="461"/>
      <c r="M66" s="461"/>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1021" t="e">
        <f>#REF!</f>
        <v>#REF!</v>
      </c>
      <c r="B68" s="1021"/>
      <c r="C68" s="1021"/>
      <c r="D68" s="1021"/>
      <c r="E68" s="1021"/>
      <c r="F68" s="1021"/>
      <c r="G68" s="1021"/>
      <c r="H68" s="1021"/>
      <c r="I68" s="1021" t="e">
        <f>#REF!</f>
        <v>#REF!</v>
      </c>
      <c r="J68" s="1021" t="e">
        <f>#REF!</f>
        <v>#REF!</v>
      </c>
      <c r="K68" s="457"/>
      <c r="L68" s="457"/>
      <c r="M68" s="457"/>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1020" t="e">
        <f>#REF!</f>
        <v>#REF!</v>
      </c>
      <c r="J69" s="1020" t="e">
        <f>#REF!</f>
        <v>#REF!</v>
      </c>
      <c r="K69" s="458"/>
      <c r="L69" s="458"/>
      <c r="M69" s="458"/>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1020" t="e">
        <f>#REF!</f>
        <v>#REF!</v>
      </c>
      <c r="J70" s="1020" t="e">
        <f>#REF!</f>
        <v>#REF!</v>
      </c>
      <c r="K70" s="458"/>
      <c r="L70" s="458"/>
      <c r="M70" s="458"/>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1020" t="e">
        <f>#REF!</f>
        <v>#REF!</v>
      </c>
      <c r="J71" s="1020" t="e">
        <f>#REF!</f>
        <v>#REF!</v>
      </c>
      <c r="K71" s="458"/>
      <c r="L71" s="458"/>
      <c r="M71" s="458"/>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1020">
        <f>C5</f>
        <v>0</v>
      </c>
      <c r="J72" s="1020">
        <f>D5</f>
        <v>0</v>
      </c>
      <c r="K72" s="458"/>
      <c r="L72" s="458"/>
      <c r="M72" s="458"/>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1022" t="e">
        <f>#REF!</f>
        <v>#REF!</v>
      </c>
      <c r="K74" s="1022"/>
      <c r="L74" s="1022"/>
      <c r="M74" s="1022"/>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1" t="e">
        <f>#REF!</f>
        <v>#REF!</v>
      </c>
      <c r="B75" s="461"/>
      <c r="C75" s="461"/>
      <c r="D75" s="461"/>
      <c r="E75" s="461"/>
      <c r="F75" s="461"/>
      <c r="G75" s="461"/>
      <c r="H75" s="461"/>
      <c r="I75" s="459" t="e">
        <f>#REF!</f>
        <v>#REF!</v>
      </c>
      <c r="J75" s="1023" t="e">
        <f>#REF!</f>
        <v>#REF!</v>
      </c>
      <c r="K75" s="1023"/>
      <c r="L75" s="1023"/>
      <c r="M75" s="1023"/>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1023"/>
      <c r="K76" s="1023"/>
      <c r="L76" s="1023"/>
      <c r="M76" s="1023"/>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1018" t="e">
        <f>#REF!</f>
        <v>#REF!</v>
      </c>
      <c r="K77" s="1018"/>
      <c r="L77" s="1018"/>
      <c r="M77" s="1018"/>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1018" t="e">
        <f>#REF!</f>
        <v>#REF!</v>
      </c>
      <c r="K78" s="1018"/>
      <c r="L78" s="1018"/>
      <c r="M78" s="1018"/>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1018" t="e">
        <f>#REF!</f>
        <v>#REF!</v>
      </c>
      <c r="K79" s="1018"/>
      <c r="L79" s="1018"/>
      <c r="M79" s="1018"/>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1018"/>
      <c r="K80" s="1018"/>
      <c r="L80" s="1018"/>
      <c r="M80" s="1018"/>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1018"/>
      <c r="K81" s="1018"/>
      <c r="L81" s="1018"/>
      <c r="M81" s="1018"/>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1018"/>
      <c r="K82" s="1018"/>
      <c r="L82" s="1018"/>
      <c r="M82" s="1018"/>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1018" t="e">
        <f>#REF!</f>
        <v>#REF!</v>
      </c>
      <c r="K83" s="1018"/>
      <c r="L83" s="1018"/>
      <c r="M83" s="1018"/>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1018" t="e">
        <f>#REF!</f>
        <v>#REF!</v>
      </c>
      <c r="K84" s="1018"/>
      <c r="L84" s="1018"/>
      <c r="M84" s="1018"/>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1018" t="e">
        <f>#REF!</f>
        <v>#REF!</v>
      </c>
      <c r="K85" s="1018"/>
      <c r="L85" s="1018"/>
      <c r="M85" s="1018"/>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1018" t="e">
        <f>#REF!</f>
        <v>#REF!</v>
      </c>
      <c r="K86" s="1018"/>
      <c r="L86" s="1018"/>
      <c r="M86" s="1018"/>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1018" t="e">
        <f>#REF!</f>
        <v>#REF!</v>
      </c>
      <c r="K87" s="1018"/>
      <c r="L87" s="1018"/>
      <c r="M87" s="1018"/>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1018"/>
      <c r="K88" s="1018"/>
      <c r="L88" s="1018"/>
      <c r="M88" s="1018"/>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1018" t="e">
        <f>#REF!</f>
        <v>#REF!</v>
      </c>
      <c r="K89" s="1018"/>
      <c r="L89" s="1018"/>
      <c r="M89" s="1018"/>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1018" t="e">
        <f>#REF!</f>
        <v>#REF!</v>
      </c>
      <c r="K90" s="1018"/>
      <c r="L90" s="1018"/>
      <c r="M90" s="1018"/>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1018" t="e">
        <f>#REF!</f>
        <v>#REF!</v>
      </c>
      <c r="K91" s="1018"/>
      <c r="L91" s="1018"/>
      <c r="M91" s="1018"/>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1018" t="e">
        <f>#REF!</f>
        <v>#REF!</v>
      </c>
      <c r="K92" s="1018"/>
      <c r="L92" s="1018"/>
      <c r="M92" s="1018"/>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1018" t="e">
        <f>#REF!</f>
        <v>#REF!</v>
      </c>
      <c r="K93" s="1018"/>
      <c r="L93" s="1018"/>
      <c r="M93" s="1018"/>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1018"/>
      <c r="K94" s="1018"/>
      <c r="L94" s="1018"/>
      <c r="M94" s="1018"/>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1018" t="e">
        <f>#REF!</f>
        <v>#REF!</v>
      </c>
      <c r="K95" s="1018"/>
      <c r="L95" s="1018"/>
      <c r="M95" s="1018"/>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1018" t="e">
        <f>#REF!</f>
        <v>#REF!</v>
      </c>
      <c r="K96" s="1018"/>
      <c r="L96" s="1018"/>
      <c r="M96" s="1018"/>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1018" t="e">
        <f>#REF!</f>
        <v>#REF!</v>
      </c>
      <c r="K97" s="1018"/>
      <c r="L97" s="1018"/>
      <c r="M97" s="1018"/>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1018" t="e">
        <f>#REF!</f>
        <v>#REF!</v>
      </c>
      <c r="K98" s="1018"/>
      <c r="L98" s="1018"/>
      <c r="M98" s="1018"/>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1018"/>
      <c r="K99" s="1018"/>
      <c r="L99" s="1018"/>
      <c r="M99" s="1018"/>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1018" t="e">
        <f>#REF!</f>
        <v>#REF!</v>
      </c>
      <c r="K100" s="1018"/>
      <c r="L100" s="1018"/>
      <c r="M100" s="1018"/>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1018" t="e">
        <f>#REF!</f>
        <v>#REF!</v>
      </c>
      <c r="K101" s="1018"/>
      <c r="L101" s="1018"/>
      <c r="M101" s="1018"/>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1018" t="e">
        <f>#REF!</f>
        <v>#REF!</v>
      </c>
      <c r="K102" s="1018"/>
      <c r="L102" s="1018"/>
      <c r="M102" s="1018"/>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1018" t="e">
        <f>#REF!</f>
        <v>#REF!</v>
      </c>
      <c r="K103" s="1018"/>
      <c r="L103" s="1018"/>
      <c r="M103" s="1018"/>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1018"/>
      <c r="K104" s="1018"/>
      <c r="L104" s="1018"/>
      <c r="M104" s="1018"/>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1018" t="e">
        <f>#REF!</f>
        <v>#REF!</v>
      </c>
      <c r="K105" s="1018"/>
      <c r="L105" s="1018"/>
      <c r="M105" s="1018"/>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1018" t="e">
        <f>#REF!</f>
        <v>#REF!</v>
      </c>
      <c r="K106" s="1018"/>
      <c r="L106" s="1018"/>
      <c r="M106" s="1018"/>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1018" t="e">
        <f>#REF!</f>
        <v>#REF!</v>
      </c>
      <c r="K107" s="1018"/>
      <c r="L107" s="1018"/>
      <c r="M107" s="1018"/>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1018" t="e">
        <f>#REF!</f>
        <v>#REF!</v>
      </c>
      <c r="K108" s="1018"/>
      <c r="L108" s="1018"/>
      <c r="M108" s="1018"/>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1018" t="e">
        <f>#REF!</f>
        <v>#REF!</v>
      </c>
      <c r="K109" s="1018"/>
      <c r="L109" s="1018"/>
      <c r="M109" s="1018"/>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1018" t="e">
        <f>#REF!</f>
        <v>#REF!</v>
      </c>
      <c r="K110" s="1018"/>
      <c r="L110" s="1018"/>
      <c r="M110" s="1018"/>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1018"/>
      <c r="K111" s="1018"/>
      <c r="L111" s="1018"/>
      <c r="M111" s="1018"/>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1018"/>
      <c r="K112" s="1018"/>
      <c r="L112" s="1018"/>
      <c r="M112" s="1018"/>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1018"/>
      <c r="K113" s="1018"/>
      <c r="L113" s="1018"/>
      <c r="M113" s="1018"/>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1018" t="e">
        <f>#REF!</f>
        <v>#REF!</v>
      </c>
      <c r="K114" s="1018"/>
      <c r="L114" s="1018"/>
      <c r="M114" s="1018"/>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1018" t="e">
        <f>#REF!</f>
        <v>#REF!</v>
      </c>
      <c r="K115" s="1018"/>
      <c r="L115" s="1018"/>
      <c r="M115" s="1018"/>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1018" t="e">
        <f>#REF!</f>
        <v>#REF!</v>
      </c>
      <c r="K116" s="1018"/>
      <c r="L116" s="1018"/>
      <c r="M116" s="1018"/>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1018" t="e">
        <f>#REF!</f>
        <v>#REF!</v>
      </c>
      <c r="K117" s="1018"/>
      <c r="L117" s="1018"/>
      <c r="M117" s="1018"/>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1018" t="e">
        <f>#REF!</f>
        <v>#REF!</v>
      </c>
      <c r="K118" s="1018"/>
      <c r="L118" s="1018"/>
      <c r="M118" s="1018"/>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1018"/>
      <c r="K119" s="1018"/>
      <c r="L119" s="1018"/>
      <c r="M119" s="1018"/>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1018"/>
      <c r="K120" s="1018"/>
      <c r="L120" s="1018"/>
      <c r="M120" s="1018"/>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1018" t="e">
        <f>#REF!</f>
        <v>#REF!</v>
      </c>
      <c r="K121" s="1018"/>
      <c r="L121" s="1018"/>
      <c r="M121" s="1018"/>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1018" t="e">
        <f>#REF!</f>
        <v>#REF!</v>
      </c>
      <c r="K122" s="1018"/>
      <c r="L122" s="1018"/>
      <c r="M122" s="1018"/>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1018" t="e">
        <f>#REF!</f>
        <v>#REF!</v>
      </c>
      <c r="K123" s="1018"/>
      <c r="L123" s="1018"/>
      <c r="M123" s="1018"/>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1018" t="e">
        <f>#REF!</f>
        <v>#REF!</v>
      </c>
      <c r="K124" s="1018"/>
      <c r="L124" s="1018"/>
      <c r="M124" s="1018"/>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1018" t="e">
        <f>#REF!</f>
        <v>#REF!</v>
      </c>
      <c r="K125" s="1018"/>
      <c r="L125" s="1018"/>
      <c r="M125" s="1018"/>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1018" t="e">
        <f>#REF!</f>
        <v>#REF!</v>
      </c>
      <c r="K126" s="1018"/>
      <c r="L126" s="1018"/>
      <c r="M126" s="1018"/>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1018"/>
      <c r="K127" s="1018"/>
      <c r="L127" s="1018"/>
      <c r="M127" s="1018"/>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1018" t="e">
        <f>#REF!</f>
        <v>#REF!</v>
      </c>
      <c r="K128" s="1018"/>
      <c r="L128" s="1018"/>
      <c r="M128" s="1018"/>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1018" t="e">
        <f>#REF!</f>
        <v>#REF!</v>
      </c>
      <c r="K129" s="1018"/>
      <c r="L129" s="1018"/>
      <c r="M129" s="1018"/>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1018" t="e">
        <f>#REF!</f>
        <v>#REF!</v>
      </c>
      <c r="K130" s="1018"/>
      <c r="L130" s="1018"/>
      <c r="M130" s="1018"/>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1018" t="e">
        <f>#REF!</f>
        <v>#REF!</v>
      </c>
      <c r="K131" s="1018"/>
      <c r="L131" s="1018"/>
      <c r="M131" s="1018"/>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1018" t="e">
        <f>#REF!</f>
        <v>#REF!</v>
      </c>
      <c r="K132" s="1018"/>
      <c r="L132" s="1018"/>
      <c r="M132" s="1018"/>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1018" t="e">
        <f>#REF!</f>
        <v>#REF!</v>
      </c>
      <c r="K133" s="1018"/>
      <c r="L133" s="1018"/>
      <c r="M133" s="1018"/>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1018" t="e">
        <f>#REF!</f>
        <v>#REF!</v>
      </c>
      <c r="K134" s="1018"/>
      <c r="L134" s="1018"/>
      <c r="M134" s="1018"/>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1018"/>
      <c r="K135" s="1018"/>
      <c r="L135" s="1018"/>
      <c r="M135" s="1018"/>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1018" t="e">
        <f>#REF!</f>
        <v>#REF!</v>
      </c>
      <c r="K136" s="1018"/>
      <c r="L136" s="1018"/>
      <c r="M136" s="1018"/>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1018" t="e">
        <f>#REF!</f>
        <v>#REF!</v>
      </c>
      <c r="K137" s="1018"/>
      <c r="L137" s="1018"/>
      <c r="M137" s="1018"/>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1018" t="e">
        <f>#REF!</f>
        <v>#REF!</v>
      </c>
      <c r="K138" s="1018"/>
      <c r="L138" s="1018"/>
      <c r="M138" s="1018"/>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1018" t="e">
        <f>#REF!</f>
        <v>#REF!</v>
      </c>
      <c r="K139" s="1018"/>
      <c r="L139" s="1018"/>
      <c r="M139" s="1018"/>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1018" t="e">
        <f>#REF!</f>
        <v>#REF!</v>
      </c>
      <c r="K140" s="1018"/>
      <c r="L140" s="1018"/>
      <c r="M140" s="1018"/>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1018" t="e">
        <f>#REF!</f>
        <v>#REF!</v>
      </c>
      <c r="K141" s="1018"/>
      <c r="L141" s="1018"/>
      <c r="M141" s="1018"/>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1018" t="e">
        <f>#REF!</f>
        <v>#REF!</v>
      </c>
      <c r="K142" s="1018"/>
      <c r="L142" s="1018"/>
      <c r="M142" s="1018"/>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1018" t="e">
        <f>#REF!</f>
        <v>#REF!</v>
      </c>
      <c r="K143" s="1018"/>
      <c r="L143" s="1018"/>
      <c r="M143" s="1018"/>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1018" t="e">
        <f>#REF!</f>
        <v>#REF!</v>
      </c>
      <c r="K144" s="1018"/>
      <c r="L144" s="1018"/>
      <c r="M144" s="1018"/>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1018" t="e">
        <f>#REF!</f>
        <v>#REF!</v>
      </c>
      <c r="K145" s="1018"/>
      <c r="L145" s="1018"/>
      <c r="M145" s="1018"/>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1018"/>
      <c r="K146" s="1018"/>
      <c r="L146" s="1018"/>
      <c r="M146" s="1018"/>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1018" t="e">
        <f>#REF!</f>
        <v>#REF!</v>
      </c>
      <c r="K147" s="1018"/>
      <c r="L147" s="1018"/>
      <c r="M147" s="1018"/>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1018" t="e">
        <f>#REF!</f>
        <v>#REF!</v>
      </c>
      <c r="K148" s="1018"/>
      <c r="L148" s="1018"/>
      <c r="M148" s="1018"/>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1018" t="e">
        <f>#REF!</f>
        <v>#REF!</v>
      </c>
      <c r="K149" s="1018"/>
      <c r="L149" s="1018"/>
      <c r="M149" s="1018"/>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1018" t="e">
        <f>#REF!</f>
        <v>#REF!</v>
      </c>
      <c r="K150" s="1018"/>
      <c r="L150" s="1018"/>
      <c r="M150" s="1018"/>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1018"/>
      <c r="K151" s="1018"/>
      <c r="L151" s="1018"/>
      <c r="M151" s="1018"/>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1018" t="e">
        <f>#REF!</f>
        <v>#REF!</v>
      </c>
      <c r="K152" s="1018"/>
      <c r="L152" s="1018"/>
      <c r="M152" s="1018"/>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1018" t="e">
        <f>#REF!</f>
        <v>#REF!</v>
      </c>
      <c r="K153" s="1018"/>
      <c r="L153" s="1018"/>
      <c r="M153" s="1018"/>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1018" t="e">
        <f>#REF!</f>
        <v>#REF!</v>
      </c>
      <c r="K154" s="1018"/>
      <c r="L154" s="1018"/>
      <c r="M154" s="1018"/>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1018" t="e">
        <f>#REF!</f>
        <v>#REF!</v>
      </c>
      <c r="K155" s="1018"/>
      <c r="L155" s="1018"/>
      <c r="M155" s="1018"/>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1018"/>
      <c r="K156" s="1018"/>
      <c r="L156" s="1018"/>
      <c r="M156" s="1018"/>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1018" t="e">
        <f>#REF!</f>
        <v>#REF!</v>
      </c>
      <c r="K157" s="1018"/>
      <c r="L157" s="1018"/>
      <c r="M157" s="1018"/>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1018" t="e">
        <f>#REF!</f>
        <v>#REF!</v>
      </c>
      <c r="K158" s="1018"/>
      <c r="L158" s="1018"/>
      <c r="M158" s="1018"/>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1018" t="e">
        <f>#REF!</f>
        <v>#REF!</v>
      </c>
      <c r="K159" s="1018"/>
      <c r="L159" s="1018"/>
      <c r="M159" s="1018"/>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1018"/>
      <c r="K160" s="1018"/>
      <c r="L160" s="1018"/>
      <c r="M160" s="1018"/>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1018" t="e">
        <f>#REF!</f>
        <v>#REF!</v>
      </c>
      <c r="K161" s="1018"/>
      <c r="L161" s="1018"/>
      <c r="M161" s="1018"/>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1018" t="e">
        <f>#REF!</f>
        <v>#REF!</v>
      </c>
      <c r="K162" s="1018"/>
      <c r="L162" s="1018"/>
      <c r="M162" s="1018"/>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1018" t="e">
        <f>#REF!</f>
        <v>#REF!</v>
      </c>
      <c r="K163" s="1018"/>
      <c r="L163" s="1018"/>
      <c r="M163" s="1018"/>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1018" t="e">
        <f>#REF!</f>
        <v>#REF!</v>
      </c>
      <c r="K164" s="1018"/>
      <c r="L164" s="1018"/>
      <c r="M164" s="1018"/>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1018" t="e">
        <f>#REF!</f>
        <v>#REF!</v>
      </c>
      <c r="K165" s="1018"/>
      <c r="L165" s="1018"/>
      <c r="M165" s="1018"/>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1018" t="e">
        <f>#REF!</f>
        <v>#REF!</v>
      </c>
      <c r="K166" s="1018"/>
      <c r="L166" s="1018"/>
      <c r="M166" s="1018"/>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1018" t="e">
        <f>#REF!</f>
        <v>#REF!</v>
      </c>
      <c r="K167" s="1018"/>
      <c r="L167" s="1018"/>
      <c r="M167" s="1018"/>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1018"/>
      <c r="K168" s="1018"/>
      <c r="L168" s="1018"/>
      <c r="M168" s="1018"/>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1018" t="e">
        <f>#REF!</f>
        <v>#REF!</v>
      </c>
      <c r="K169" s="1018"/>
      <c r="L169" s="1018"/>
      <c r="M169" s="1018"/>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1018" t="e">
        <f>#REF!</f>
        <v>#REF!</v>
      </c>
      <c r="K170" s="1018"/>
      <c r="L170" s="1018"/>
      <c r="M170" s="1018"/>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1018" t="e">
        <f>#REF!</f>
        <v>#REF!</v>
      </c>
      <c r="K171" s="1018"/>
      <c r="L171" s="1018"/>
      <c r="M171" s="1018"/>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1018" t="e">
        <f>#REF!</f>
        <v>#REF!</v>
      </c>
      <c r="K172" s="1018"/>
      <c r="L172" s="1018"/>
      <c r="M172" s="1018"/>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1018"/>
      <c r="K173" s="1018"/>
      <c r="L173" s="1018"/>
      <c r="M173" s="1018"/>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1018" t="e">
        <f>#REF!</f>
        <v>#REF!</v>
      </c>
      <c r="K174" s="1018"/>
      <c r="L174" s="1018"/>
      <c r="M174" s="1018"/>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1018" t="e">
        <f>#REF!</f>
        <v>#REF!</v>
      </c>
      <c r="K175" s="1018"/>
      <c r="L175" s="1018"/>
      <c r="M175" s="1018"/>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1018" t="e">
        <f>#REF!</f>
        <v>#REF!</v>
      </c>
      <c r="K176" s="1018"/>
      <c r="L176" s="1018"/>
      <c r="M176" s="1018"/>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1018" t="e">
        <f>#REF!</f>
        <v>#REF!</v>
      </c>
      <c r="K177" s="1018"/>
      <c r="L177" s="1018"/>
      <c r="M177" s="1018"/>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1018" t="e">
        <f>#REF!</f>
        <v>#REF!</v>
      </c>
      <c r="K178" s="1018"/>
      <c r="L178" s="1018"/>
      <c r="M178" s="1018"/>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1018" t="e">
        <f>#REF!</f>
        <v>#REF!</v>
      </c>
      <c r="K179" s="1018"/>
      <c r="L179" s="1018"/>
      <c r="M179" s="1018"/>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1018" t="e">
        <f>#REF!</f>
        <v>#REF!</v>
      </c>
      <c r="K180" s="1018"/>
      <c r="L180" s="1018"/>
      <c r="M180" s="1018"/>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1019"/>
      <c r="K181" s="1019"/>
      <c r="L181" s="1019"/>
      <c r="M181" s="1019"/>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password="CCC7" sheet="1" objects="1" scenarios="1" formatColumns="0" formatRows="0" selectLockedCells="1"/>
  <customSheetViews>
    <customSheetView guid="{F38BD2F3-61EE-4B49-A7FC-8FB2B5BA6A2F}" showPageBreaks="1" printArea="1" hiddenRows="1" hiddenColumns="1" view="pageBreakPreview">
      <selection activeCell="A18" sqref="A18:I18"/>
      <pageMargins left="0.7" right="0.7" top="0.75" bottom="0.75" header="0.3" footer="0.3"/>
      <pageSetup paperSize="9" scale="57" orientation="landscape" r:id="rId1"/>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2"/>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3"/>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4"/>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5"/>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8"/>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9"/>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0"/>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1"/>
    </customSheetView>
    <customSheetView guid="{267FF044-3C5D-4FEC-AC00-A7E30583F8BB}" showPageBreaks="1" printArea="1" hiddenRows="1" hiddenColumns="1" view="pageBreakPreview">
      <selection activeCell="A18" sqref="A18:I18"/>
      <pageMargins left="0.7" right="0.7" top="0.75" bottom="0.75" header="0.3" footer="0.3"/>
      <pageSetup paperSize="9" scale="57" orientation="landscape" r:id="rId12"/>
    </customSheetView>
    <customSheetView guid="{A29B4069-9BED-4703-B114-D2D164877E8C}" showPageBreaks="1" printArea="1" hiddenRows="1" hiddenColumns="1" view="pageBreakPreview">
      <selection activeCell="A18" sqref="A18:I18"/>
      <pageMargins left="0.7" right="0.7" top="0.75" bottom="0.75" header="0.3" footer="0.3"/>
      <pageSetup paperSize="9" scale="57" orientation="landscape" r:id="rId13"/>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formula1>0</formula1>
    </dataValidation>
  </dataValidations>
  <pageMargins left="0.7" right="0.7" top="0.75" bottom="0.75" header="0.3" footer="0.3"/>
  <pageSetup paperSize="9" scale="57"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1"/>
  </sheetPr>
  <dimension ref="A1:Y40"/>
  <sheetViews>
    <sheetView showZeros="0" view="pageBreakPreview" topLeftCell="A13" zoomScaleNormal="70" zoomScaleSheetLayoutView="100" workbookViewId="0">
      <selection activeCell="G24" sqref="G24"/>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1058" t="s">
        <v>165</v>
      </c>
      <c r="B1" s="1058"/>
      <c r="C1" s="1058"/>
      <c r="D1" s="1058"/>
      <c r="E1" s="1058"/>
      <c r="F1" s="1058"/>
      <c r="G1" s="1058"/>
      <c r="H1" s="144"/>
      <c r="I1" s="145"/>
      <c r="J1" s="146"/>
      <c r="K1" s="146"/>
      <c r="L1" s="146"/>
      <c r="M1" s="146"/>
      <c r="N1" s="146"/>
      <c r="O1" s="146"/>
      <c r="P1" s="146"/>
      <c r="Q1" s="146"/>
      <c r="R1" s="146"/>
      <c r="S1" s="146"/>
      <c r="T1" s="146"/>
      <c r="U1" s="147"/>
      <c r="V1" s="147"/>
      <c r="W1" s="147"/>
      <c r="X1" s="148"/>
      <c r="Y1" s="148"/>
    </row>
    <row r="2" spans="1:25" ht="18" customHeight="1">
      <c r="A2" s="113" t="str">
        <f>Cover!B3</f>
        <v>Spec. No: 5002002280/SUB-STATION(EXCLUDIN/DOM/A06-CC CS -7</v>
      </c>
      <c r="B2" s="113"/>
      <c r="C2" s="114"/>
      <c r="D2" s="150"/>
      <c r="E2" s="150"/>
      <c r="F2" s="150"/>
      <c r="G2" s="116" t="s">
        <v>166</v>
      </c>
    </row>
    <row r="3" spans="1:25" ht="12.75" customHeight="1">
      <c r="A3" s="117"/>
      <c r="B3" s="117"/>
      <c r="C3" s="118"/>
      <c r="D3" s="139"/>
      <c r="E3" s="139"/>
      <c r="F3" s="139"/>
      <c r="G3" s="119"/>
    </row>
    <row r="4" spans="1:25" ht="18.95" customHeight="1">
      <c r="A4" s="1059" t="s">
        <v>167</v>
      </c>
      <c r="B4" s="1059"/>
      <c r="C4" s="1059"/>
      <c r="D4" s="1059"/>
      <c r="E4" s="1059"/>
      <c r="F4" s="1059"/>
      <c r="G4" s="1059"/>
    </row>
    <row r="5" spans="1:25" ht="21" customHeight="1">
      <c r="A5" s="158" t="s">
        <v>1</v>
      </c>
      <c r="B5" s="158"/>
      <c r="C5" s="159"/>
      <c r="D5" s="159"/>
      <c r="E5" s="159"/>
      <c r="F5" s="159"/>
      <c r="G5" s="159"/>
    </row>
    <row r="6" spans="1:25" ht="21" customHeight="1">
      <c r="A6" s="27" t="s">
        <v>2</v>
      </c>
      <c r="B6" s="27"/>
      <c r="C6" s="159"/>
      <c r="D6" s="159"/>
      <c r="E6" s="159"/>
      <c r="F6" s="159"/>
      <c r="G6" s="159"/>
      <c r="I6" s="609" t="s">
        <v>234</v>
      </c>
      <c r="J6" s="707">
        <f>'Sch-1'!N227</f>
        <v>0</v>
      </c>
      <c r="K6" s="608"/>
      <c r="L6" s="442"/>
    </row>
    <row r="7" spans="1:25" ht="21" customHeight="1">
      <c r="A7" s="27" t="s">
        <v>3</v>
      </c>
      <c r="B7" s="27"/>
      <c r="C7" s="159"/>
      <c r="D7" s="159"/>
      <c r="E7" s="159"/>
      <c r="F7" s="159"/>
      <c r="G7" s="159"/>
      <c r="I7" s="609" t="s">
        <v>236</v>
      </c>
      <c r="J7" s="707">
        <f>'Sch-2'!J226</f>
        <v>0</v>
      </c>
      <c r="K7" s="608"/>
    </row>
    <row r="8" spans="1:25" ht="21" customHeight="1">
      <c r="A8" s="27" t="s">
        <v>4</v>
      </c>
      <c r="B8" s="27"/>
      <c r="C8" s="159"/>
      <c r="D8" s="159"/>
      <c r="E8" s="159"/>
      <c r="F8" s="159"/>
      <c r="G8" s="159"/>
      <c r="I8" s="609" t="s">
        <v>237</v>
      </c>
      <c r="J8" s="707">
        <f>'Sch-3'!P219</f>
        <v>0</v>
      </c>
      <c r="K8" s="608"/>
    </row>
    <row r="9" spans="1:25" ht="21" customHeight="1">
      <c r="A9" s="27" t="s">
        <v>168</v>
      </c>
      <c r="B9" s="27"/>
      <c r="C9" s="159"/>
      <c r="D9" s="159"/>
      <c r="E9" s="159"/>
      <c r="F9" s="159"/>
      <c r="G9" s="159"/>
      <c r="I9" s="610" t="s">
        <v>197</v>
      </c>
      <c r="J9" s="708">
        <f>J6+J7+J8</f>
        <v>0</v>
      </c>
      <c r="K9" s="608"/>
    </row>
    <row r="10" spans="1:25" ht="21" customHeight="1">
      <c r="A10" s="27" t="s">
        <v>6</v>
      </c>
      <c r="B10" s="27"/>
      <c r="C10" s="159"/>
      <c r="D10" s="159"/>
      <c r="E10" s="159"/>
      <c r="F10" s="159"/>
      <c r="G10" s="159"/>
      <c r="J10" s="441"/>
    </row>
    <row r="11" spans="1:25" ht="14.25" customHeight="1">
      <c r="A11" s="159"/>
      <c r="B11" s="159"/>
      <c r="C11" s="159"/>
      <c r="D11" s="159"/>
      <c r="E11" s="159"/>
      <c r="F11" s="159"/>
      <c r="G11" s="159"/>
    </row>
    <row r="12" spans="1:25" ht="129" customHeight="1">
      <c r="A12" s="160" t="s">
        <v>169</v>
      </c>
      <c r="B12" s="524"/>
      <c r="C12" s="1060" t="str">
        <f>Cover!$B$2</f>
        <v>765kV AIS Substation Extension Package (SS-91) under Transmission Network Expansion in Gujarat to increase its ATC from ISTS: Part C.</v>
      </c>
      <c r="D12" s="1060"/>
      <c r="E12" s="1060"/>
      <c r="F12" s="1060"/>
      <c r="G12" s="1060"/>
      <c r="J12" s="442"/>
    </row>
    <row r="13" spans="1:25" ht="21" customHeight="1" thickBot="1">
      <c r="A13" s="161" t="s">
        <v>170</v>
      </c>
      <c r="B13" s="161"/>
      <c r="C13" s="162"/>
      <c r="D13" s="161"/>
      <c r="E13" s="161"/>
      <c r="F13" s="161"/>
      <c r="G13" s="161"/>
      <c r="H13" s="438"/>
      <c r="K13" s="170"/>
      <c r="L13" s="170"/>
      <c r="M13" s="170"/>
    </row>
    <row r="14" spans="1:25" ht="41.25" customHeight="1" thickBot="1">
      <c r="A14" s="1061" t="s">
        <v>171</v>
      </c>
      <c r="B14" s="1061"/>
      <c r="C14" s="1061"/>
      <c r="D14" s="1061"/>
      <c r="E14" s="1061"/>
      <c r="F14" s="1061"/>
      <c r="G14" s="1061"/>
      <c r="H14" s="617" t="s">
        <v>340</v>
      </c>
      <c r="I14" s="617" t="s">
        <v>341</v>
      </c>
      <c r="J14" s="618" t="s">
        <v>342</v>
      </c>
      <c r="K14" s="170"/>
      <c r="L14" s="170"/>
      <c r="M14" s="170"/>
      <c r="N14" s="163"/>
    </row>
    <row r="15" spans="1:25" ht="56.25" customHeight="1">
      <c r="B15" s="165">
        <v>1</v>
      </c>
      <c r="C15" s="1065" t="s">
        <v>332</v>
      </c>
      <c r="D15" s="1063"/>
      <c r="E15" s="1063"/>
      <c r="F15" s="1064"/>
      <c r="G15" s="166"/>
      <c r="H15" s="680">
        <f>IF(J6=0,0,(G15/J9)*J6)</f>
        <v>0</v>
      </c>
      <c r="I15" s="681">
        <f>IF(J7=0,0,(G15/J9)*J7)</f>
        <v>0</v>
      </c>
      <c r="J15" s="680">
        <f>IF(J8,(G15/J9)*J8,0)</f>
        <v>0</v>
      </c>
      <c r="K15" s="170"/>
      <c r="L15" s="170"/>
      <c r="M15" s="170"/>
    </row>
    <row r="16" spans="1:25" ht="55.5" customHeight="1">
      <c r="B16" s="165">
        <v>2</v>
      </c>
      <c r="C16" s="1062" t="s">
        <v>333</v>
      </c>
      <c r="D16" s="1063"/>
      <c r="E16" s="1063"/>
      <c r="F16" s="1064"/>
      <c r="G16" s="167"/>
      <c r="H16" s="682">
        <f>G16*J6</f>
        <v>0</v>
      </c>
      <c r="I16" s="683">
        <f>G16*J7</f>
        <v>0</v>
      </c>
      <c r="J16" s="682">
        <f>G16*J8</f>
        <v>0</v>
      </c>
      <c r="K16" s="170"/>
      <c r="L16" s="170"/>
      <c r="M16" s="170"/>
    </row>
    <row r="17" spans="1:25" s="168" customFormat="1" ht="39.75" customHeight="1" thickBot="1">
      <c r="B17" s="169">
        <v>3</v>
      </c>
      <c r="C17" s="1055" t="s">
        <v>172</v>
      </c>
      <c r="D17" s="1056"/>
      <c r="E17" s="1056"/>
      <c r="F17" s="1057"/>
      <c r="G17" s="435"/>
      <c r="H17" s="682"/>
      <c r="I17" s="682"/>
      <c r="J17" s="682"/>
      <c r="K17" s="170"/>
      <c r="L17" s="170"/>
      <c r="M17" s="170"/>
      <c r="N17" s="170"/>
      <c r="O17" s="170"/>
      <c r="P17" s="170"/>
      <c r="Q17" s="170"/>
      <c r="R17" s="171"/>
      <c r="S17" s="171"/>
      <c r="T17" s="171"/>
      <c r="U17" s="172"/>
      <c r="V17" s="172"/>
      <c r="W17" s="172"/>
      <c r="X17" s="173"/>
      <c r="Y17" s="173"/>
    </row>
    <row r="18" spans="1:25" s="168" customFormat="1" ht="21" customHeight="1" thickBot="1">
      <c r="B18" s="174"/>
      <c r="C18" s="1051" t="s">
        <v>334</v>
      </c>
      <c r="D18" s="1052"/>
      <c r="E18" s="1052"/>
      <c r="F18" s="175" t="s">
        <v>173</v>
      </c>
      <c r="G18" s="436"/>
      <c r="H18" s="684">
        <f>G18</f>
        <v>0</v>
      </c>
      <c r="I18" s="685"/>
      <c r="J18" s="682"/>
      <c r="K18" s="170"/>
      <c r="L18" s="170"/>
      <c r="M18" s="170"/>
      <c r="N18" s="177"/>
      <c r="O18" s="176"/>
      <c r="P18" s="170"/>
      <c r="Q18" s="170"/>
      <c r="R18" s="171"/>
      <c r="S18" s="171"/>
      <c r="T18" s="171"/>
      <c r="U18" s="172"/>
      <c r="V18" s="172"/>
      <c r="W18" s="172"/>
      <c r="X18" s="173"/>
      <c r="Y18" s="173"/>
    </row>
    <row r="19" spans="1:25" s="168" customFormat="1" ht="33" customHeight="1" thickBot="1">
      <c r="B19" s="174"/>
      <c r="C19" s="1044" t="s">
        <v>359</v>
      </c>
      <c r="D19" s="1045"/>
      <c r="E19" s="1045"/>
      <c r="F19" s="175" t="s">
        <v>173</v>
      </c>
      <c r="G19" s="436"/>
      <c r="H19" s="686"/>
      <c r="I19" s="684">
        <f>G19</f>
        <v>0</v>
      </c>
      <c r="J19" s="687"/>
      <c r="K19" s="170"/>
      <c r="L19" s="170"/>
      <c r="M19" s="170"/>
      <c r="N19" s="177"/>
      <c r="O19" s="176"/>
      <c r="P19" s="170"/>
      <c r="Q19" s="170"/>
      <c r="R19" s="171"/>
      <c r="S19" s="171"/>
      <c r="T19" s="171"/>
      <c r="U19" s="172"/>
      <c r="V19" s="172"/>
      <c r="W19" s="172"/>
      <c r="X19" s="173"/>
      <c r="Y19" s="173"/>
    </row>
    <row r="20" spans="1:25" s="168" customFormat="1" ht="21" customHeight="1" thickBot="1">
      <c r="B20" s="174"/>
      <c r="C20" s="1051" t="s">
        <v>335</v>
      </c>
      <c r="D20" s="1052"/>
      <c r="E20" s="1052"/>
      <c r="F20" s="175" t="s">
        <v>173</v>
      </c>
      <c r="G20" s="436"/>
      <c r="H20" s="682"/>
      <c r="I20" s="681"/>
      <c r="J20" s="684">
        <f>G20</f>
        <v>0</v>
      </c>
      <c r="K20" s="170"/>
      <c r="L20" s="170"/>
      <c r="M20" s="170"/>
      <c r="N20" s="177"/>
      <c r="O20" s="176"/>
      <c r="P20" s="170"/>
      <c r="Q20" s="170"/>
      <c r="R20" s="171"/>
      <c r="S20" s="171"/>
      <c r="T20" s="171"/>
      <c r="U20" s="172"/>
      <c r="V20" s="172"/>
      <c r="W20" s="172"/>
      <c r="X20" s="173"/>
      <c r="Y20" s="173"/>
    </row>
    <row r="21" spans="1:25" s="168" customFormat="1" ht="21" customHeight="1">
      <c r="B21" s="174"/>
      <c r="C21" s="1051" t="s">
        <v>336</v>
      </c>
      <c r="D21" s="1052"/>
      <c r="E21" s="1052"/>
      <c r="F21" s="175" t="s">
        <v>173</v>
      </c>
      <c r="G21" s="443"/>
      <c r="H21" s="682"/>
      <c r="I21" s="683"/>
      <c r="J21" s="680"/>
      <c r="K21" s="170"/>
      <c r="L21" s="170"/>
      <c r="M21" s="170"/>
      <c r="N21" s="177"/>
      <c r="O21" s="176"/>
      <c r="P21" s="170"/>
      <c r="Q21" s="170"/>
      <c r="R21" s="171"/>
      <c r="S21" s="171"/>
      <c r="T21" s="171"/>
      <c r="U21" s="172"/>
      <c r="V21" s="172"/>
      <c r="W21" s="172"/>
      <c r="X21" s="173"/>
      <c r="Y21" s="173"/>
    </row>
    <row r="22" spans="1:25" s="168" customFormat="1" ht="21" customHeight="1">
      <c r="B22" s="178"/>
      <c r="C22" s="1051" t="s">
        <v>174</v>
      </c>
      <c r="D22" s="1052"/>
      <c r="E22" s="1052"/>
      <c r="F22" s="179" t="s">
        <v>173</v>
      </c>
      <c r="G22" s="443"/>
      <c r="H22" s="682"/>
      <c r="I22" s="683"/>
      <c r="J22" s="682"/>
      <c r="K22" s="170"/>
      <c r="L22" s="170"/>
      <c r="M22" s="170"/>
      <c r="N22" s="177"/>
      <c r="O22" s="176"/>
      <c r="P22" s="170"/>
      <c r="Q22" s="170"/>
      <c r="R22" s="171"/>
      <c r="S22" s="171"/>
      <c r="T22" s="171"/>
      <c r="U22" s="172"/>
      <c r="V22" s="172"/>
      <c r="W22" s="172"/>
      <c r="X22" s="173"/>
      <c r="Y22" s="173"/>
    </row>
    <row r="23" spans="1:25" s="168" customFormat="1" ht="54.95" customHeight="1" thickBot="1">
      <c r="B23" s="169">
        <v>4</v>
      </c>
      <c r="C23" s="1040" t="s">
        <v>175</v>
      </c>
      <c r="D23" s="1041"/>
      <c r="E23" s="1041"/>
      <c r="F23" s="1042"/>
      <c r="G23" s="435"/>
      <c r="H23" s="688"/>
      <c r="I23" s="683"/>
      <c r="J23" s="682"/>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1051" t="s">
        <v>334</v>
      </c>
      <c r="D24" s="1052"/>
      <c r="E24" s="1052"/>
      <c r="F24" s="175" t="s">
        <v>176</v>
      </c>
      <c r="G24" s="437"/>
      <c r="H24" s="689">
        <f>G24*J6</f>
        <v>0</v>
      </c>
      <c r="I24" s="685"/>
      <c r="J24" s="682"/>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1046" t="s">
        <v>359</v>
      </c>
      <c r="D25" s="1047"/>
      <c r="E25" s="1047"/>
      <c r="F25" s="175" t="s">
        <v>176</v>
      </c>
      <c r="G25" s="437"/>
      <c r="H25" s="690"/>
      <c r="I25" s="684">
        <f>G25*J7</f>
        <v>0</v>
      </c>
      <c r="J25" s="687"/>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1051" t="s">
        <v>335</v>
      </c>
      <c r="D26" s="1052"/>
      <c r="E26" s="1052"/>
      <c r="F26" s="175" t="s">
        <v>176</v>
      </c>
      <c r="G26" s="437"/>
      <c r="H26" s="688"/>
      <c r="I26" s="681"/>
      <c r="J26" s="684">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1051" t="s">
        <v>336</v>
      </c>
      <c r="D27" s="1052"/>
      <c r="E27" s="1052"/>
      <c r="F27" s="175" t="s">
        <v>176</v>
      </c>
      <c r="G27" s="444"/>
      <c r="H27" s="688"/>
      <c r="I27" s="683"/>
      <c r="J27" s="680"/>
      <c r="K27" s="170"/>
      <c r="L27" s="170"/>
      <c r="M27" s="170"/>
      <c r="N27" s="170"/>
      <c r="O27" s="170"/>
      <c r="P27" s="170"/>
      <c r="Q27" s="170"/>
      <c r="R27" s="171"/>
      <c r="S27" s="171"/>
      <c r="T27" s="171"/>
      <c r="U27" s="172"/>
      <c r="V27" s="172"/>
      <c r="W27" s="172"/>
      <c r="X27" s="173"/>
      <c r="Y27" s="173"/>
    </row>
    <row r="28" spans="1:25" s="168" customFormat="1" ht="21" customHeight="1">
      <c r="A28" s="180"/>
      <c r="B28" s="178"/>
      <c r="C28" s="1053" t="s">
        <v>174</v>
      </c>
      <c r="D28" s="1054"/>
      <c r="E28" s="1054"/>
      <c r="F28" s="179" t="s">
        <v>176</v>
      </c>
      <c r="G28" s="444"/>
      <c r="H28" s="688"/>
      <c r="I28" s="683"/>
      <c r="J28" s="682"/>
      <c r="K28" s="170"/>
      <c r="L28" s="170"/>
      <c r="M28" s="170"/>
      <c r="N28" s="170"/>
      <c r="O28" s="170"/>
      <c r="P28" s="170"/>
      <c r="Q28" s="170"/>
      <c r="R28" s="171"/>
      <c r="S28" s="171"/>
      <c r="T28" s="171"/>
      <c r="U28" s="172"/>
      <c r="V28" s="172"/>
      <c r="W28" s="172"/>
      <c r="X28" s="173"/>
      <c r="Y28" s="173"/>
    </row>
    <row r="29" spans="1:25" s="168" customFormat="1" hidden="1">
      <c r="A29" s="180"/>
      <c r="B29" s="181"/>
      <c r="C29" s="1038" t="s">
        <v>177</v>
      </c>
      <c r="D29" s="1039"/>
      <c r="E29" s="1039"/>
      <c r="F29" s="1039"/>
      <c r="G29" s="1039"/>
      <c r="H29" s="691"/>
      <c r="I29" s="691"/>
      <c r="J29" s="691"/>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1048" t="s">
        <v>178</v>
      </c>
      <c r="D30" s="1048"/>
      <c r="E30" s="1048"/>
      <c r="F30" s="1048"/>
      <c r="G30" s="1048"/>
      <c r="H30" s="692"/>
      <c r="I30" s="692"/>
      <c r="J30" s="692"/>
      <c r="K30" s="170"/>
      <c r="L30" s="170"/>
      <c r="M30" s="170"/>
      <c r="N30" s="170"/>
      <c r="O30" s="170"/>
      <c r="P30" s="170"/>
      <c r="Q30" s="170"/>
      <c r="R30" s="171"/>
      <c r="S30" s="171"/>
      <c r="T30" s="171"/>
      <c r="U30" s="172"/>
      <c r="V30" s="172"/>
      <c r="W30" s="172"/>
      <c r="X30" s="173"/>
      <c r="Y30" s="173"/>
    </row>
    <row r="31" spans="1:25" s="168" customFormat="1" ht="48.75" hidden="1" customHeight="1">
      <c r="A31" s="180"/>
      <c r="B31" s="1049"/>
      <c r="C31" s="1049"/>
      <c r="D31" s="1049"/>
      <c r="E31" s="1049"/>
      <c r="F31" s="1049"/>
      <c r="G31" s="1049"/>
      <c r="H31" s="693">
        <f>SUM(H15:H28)</f>
        <v>0</v>
      </c>
      <c r="I31" s="693">
        <f>SUM(I15:I28)</f>
        <v>0</v>
      </c>
      <c r="J31" s="693">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1048" t="s">
        <v>179</v>
      </c>
      <c r="D32" s="1050"/>
      <c r="E32" s="1050"/>
      <c r="F32" s="1050"/>
      <c r="G32" s="1050"/>
      <c r="H32" s="694" t="e">
        <f>(1-(H31/I2))</f>
        <v>#DIV/0!</v>
      </c>
      <c r="I32" s="694" t="e">
        <f>(1-(I31/I3))</f>
        <v>#DIV/0!</v>
      </c>
      <c r="J32" s="695"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1043" t="s">
        <v>337</v>
      </c>
      <c r="B33" s="1043"/>
      <c r="C33" s="1043"/>
      <c r="D33" s="1043"/>
      <c r="E33" s="1043"/>
      <c r="F33" s="1043"/>
      <c r="G33" s="1043"/>
      <c r="H33" s="696"/>
      <c r="I33" s="696"/>
      <c r="J33" s="696"/>
      <c r="K33" s="170"/>
      <c r="L33" s="170"/>
      <c r="M33" s="170"/>
      <c r="N33" s="170"/>
      <c r="O33" s="170"/>
      <c r="P33" s="170"/>
      <c r="Q33" s="170"/>
      <c r="R33" s="171"/>
      <c r="S33" s="171"/>
      <c r="T33" s="171"/>
      <c r="U33" s="172"/>
      <c r="V33" s="172"/>
      <c r="W33" s="172"/>
      <c r="X33" s="173"/>
      <c r="Y33" s="173"/>
    </row>
    <row r="34" spans="1:25" s="168" customFormat="1" ht="18.75" customHeight="1" thickBot="1">
      <c r="A34" s="161" t="s">
        <v>180</v>
      </c>
      <c r="B34" s="183"/>
      <c r="C34" s="184"/>
      <c r="E34" s="185"/>
      <c r="F34" s="185"/>
      <c r="G34" s="186"/>
      <c r="H34" s="696"/>
      <c r="I34" s="696"/>
      <c r="J34" s="696"/>
      <c r="K34" s="170"/>
      <c r="L34" s="170"/>
      <c r="M34" s="170"/>
      <c r="N34" s="170"/>
      <c r="O34" s="170"/>
      <c r="P34" s="170"/>
      <c r="Q34" s="170"/>
      <c r="R34" s="171"/>
      <c r="S34" s="171"/>
      <c r="T34" s="171"/>
      <c r="U34" s="172"/>
      <c r="V34" s="172"/>
      <c r="W34" s="172"/>
      <c r="X34" s="173"/>
      <c r="Y34" s="173"/>
    </row>
    <row r="35" spans="1:25" s="168" customFormat="1" ht="21" customHeight="1" thickBot="1">
      <c r="A35" s="187" t="s">
        <v>181</v>
      </c>
      <c r="B35" s="183"/>
      <c r="C35" s="184"/>
      <c r="E35" s="185"/>
      <c r="F35" s="185"/>
      <c r="G35" s="186"/>
      <c r="H35" s="697">
        <f>SUM(H15:H26)</f>
        <v>0</v>
      </c>
      <c r="I35" s="698">
        <f>SUM(I15:I26)</f>
        <v>0</v>
      </c>
      <c r="J35" s="699">
        <f>SUM(J15:J26)</f>
        <v>0</v>
      </c>
      <c r="K35" s="449"/>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182</v>
      </c>
      <c r="H36" s="620">
        <f>IF(J6=0,0,1-(H35/J6))</f>
        <v>0</v>
      </c>
      <c r="I36" s="620">
        <f>IF(J7=0,0,1-(I35/J7))</f>
        <v>0</v>
      </c>
      <c r="J36" s="621">
        <f>IF(J8=0,0,1-(J35/J8))</f>
        <v>0</v>
      </c>
      <c r="K36" s="600" t="s">
        <v>360</v>
      </c>
    </row>
    <row r="37" spans="1:25" ht="19.5" customHeight="1">
      <c r="A37" s="190"/>
      <c r="B37" s="190"/>
      <c r="C37" s="191"/>
      <c r="D37" s="189"/>
      <c r="E37" s="187"/>
      <c r="F37" s="187"/>
      <c r="G37" s="594"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183</v>
      </c>
      <c r="B39" s="197"/>
      <c r="C39" s="640" t="str">
        <f>'Sch-7'!C21:D21</f>
        <v xml:space="preserve">  </v>
      </c>
      <c r="D39" s="194"/>
      <c r="E39" s="195" t="s">
        <v>184</v>
      </c>
      <c r="F39" s="703">
        <f>'Names of Bidder'!D24</f>
        <v>0</v>
      </c>
      <c r="G39" s="704"/>
      <c r="H39" s="442"/>
    </row>
    <row r="40" spans="1:25" ht="23.25" customHeight="1">
      <c r="A40" s="197" t="s">
        <v>185</v>
      </c>
      <c r="B40" s="197"/>
      <c r="C40" s="641" t="str">
        <f>'Sch-7'!C22:D22</f>
        <v/>
      </c>
      <c r="D40" s="198"/>
      <c r="E40" s="195" t="s">
        <v>186</v>
      </c>
      <c r="F40" s="703">
        <f>'Names of Bidder'!D25</f>
        <v>0</v>
      </c>
      <c r="G40" s="704"/>
      <c r="H40" s="153"/>
    </row>
  </sheetData>
  <sheetProtection password="CCC7" sheet="1" objects="1" scenarios="1" formatColumns="0" formatRows="0" selectLockedCells="1"/>
  <customSheetViews>
    <customSheetView guid="{F38BD2F3-61EE-4B49-A7FC-8FB2B5BA6A2F}" showPageBreaks="1" zeroValues="0" printArea="1" hiddenRows="1" hiddenColumns="1" view="pageBreakPreview" topLeftCell="A13">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9"/>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A29B4069-9BED-4703-B114-D2D164877E8C}" showPageBreaks="1" zeroValues="0" printArea="1" hiddenRows="1" hiddenColumns="1" view="pageBreakPreview" topLeftCell="A13">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formula1>0</formula1>
      <formula2>100</formula2>
    </dataValidation>
    <dataValidation type="decimal" operator="greaterThan" allowBlank="1" showInputMessage="1" showErrorMessage="1" error="Enter numeric figures only." sqref="G18:G22">
      <formula1>0</formula1>
    </dataValidation>
    <dataValidation operator="greaterThanOrEqual" allowBlank="1" showInputMessage="1" showErrorMessage="1" error="Enter numeric figure without decimal only" sqref="G15"/>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1066" t="s">
        <v>187</v>
      </c>
      <c r="B2" s="1066"/>
      <c r="C2" s="1066"/>
      <c r="D2" s="1066"/>
      <c r="E2" s="188"/>
    </row>
    <row r="3" spans="1:6">
      <c r="A3" s="199"/>
      <c r="B3" s="200"/>
      <c r="C3" s="200"/>
      <c r="D3" s="200"/>
      <c r="E3" s="200"/>
    </row>
    <row r="4" spans="1:6" ht="30">
      <c r="A4" s="201" t="s">
        <v>188</v>
      </c>
      <c r="B4" s="202" t="s">
        <v>189</v>
      </c>
      <c r="C4" s="201" t="s">
        <v>141</v>
      </c>
      <c r="D4" s="201" t="s">
        <v>190</v>
      </c>
      <c r="E4" s="201" t="s">
        <v>191</v>
      </c>
    </row>
    <row r="5" spans="1:6" ht="18" customHeight="1">
      <c r="A5" s="203" t="s">
        <v>192</v>
      </c>
      <c r="B5" s="203" t="s">
        <v>193</v>
      </c>
      <c r="C5" s="203" t="s">
        <v>194</v>
      </c>
      <c r="D5" s="203" t="s">
        <v>195</v>
      </c>
      <c r="E5" s="203" t="s">
        <v>196</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197</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F38BD2F3-61EE-4B49-A7FC-8FB2B5BA6A2F}" state="hidden" topLeftCell="A4">
      <selection activeCell="D6" sqref="D6"/>
      <pageMargins left="0.75" right="0.75" top="0.65" bottom="1" header="0.5" footer="0.5"/>
      <pageSetup orientation="portrait" r:id="rId1"/>
      <headerFooter alignWithMargins="0"/>
    </customSheetView>
    <customSheetView guid="{F1B559AA-B9AD-4E4C-B94A-ECBE5878008B}" state="hidden" topLeftCell="A4">
      <selection activeCell="D6" sqref="D6"/>
      <pageMargins left="0.75" right="0.75" top="0.65" bottom="1" header="0.5" footer="0.5"/>
      <pageSetup orientation="portrait" r:id="rId2"/>
      <headerFooter alignWithMargins="0"/>
    </customSheetView>
    <customSheetView guid="{755190E0-7BE9-48F9-BB5F-DF8E25D6736A}" state="hidden" topLeftCell="A4">
      <selection activeCell="D6" sqref="D6"/>
      <pageMargins left="0.75" right="0.75" top="0.65" bottom="1" header="0.5" footer="0.5"/>
      <pageSetup orientation="portrait" r:id="rId3"/>
      <headerFooter alignWithMargins="0"/>
    </customSheetView>
    <customSheetView guid="{CCA37BAE-906F-43D5-9FD9-B13563E4B9D7}" state="hidden" topLeftCell="A4">
      <selection activeCell="D6" sqref="D6"/>
      <pageMargins left="0.75" right="0.75" top="0.65" bottom="1" header="0.5" footer="0.5"/>
      <pageSetup orientation="portrait" r:id="rId4"/>
      <headerFooter alignWithMargins="0"/>
    </customSheetView>
    <customSheetView guid="{B96E710B-6DD7-4DE1-95AB-C9EE060CD030}" state="hidden" topLeftCell="A4">
      <selection activeCell="D6" sqref="D6"/>
      <pageMargins left="0.75" right="0.75" top="0.65" bottom="1" header="0.5" footer="0.5"/>
      <pageSetup orientation="portrait" r:id="rId5"/>
      <headerFooter alignWithMargins="0"/>
    </customSheetView>
    <customSheetView guid="{357C9841-BEC3-434B-AC63-C04FB4321BA3}"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B056965A-4BE5-44B3-AB31-550AD9F023BC}" state="hidden" topLeftCell="A4">
      <selection activeCell="D6" sqref="D6"/>
      <pageMargins left="0.75" right="0.75" top="0.65" bottom="1" header="0.5" footer="0.5"/>
      <pageSetup orientation="portrait" r:id="rId10"/>
      <headerFooter alignWithMargins="0"/>
    </customSheetView>
    <customSheetView guid="{3FCD02EB-1C44-4646-B069-2B9945E67B1F}" state="hidden" topLeftCell="A4">
      <selection activeCell="D6" sqref="D6"/>
      <pageMargins left="0.75" right="0.75" top="0.65" bottom="1" header="0.5" footer="0.5"/>
      <pageSetup orientation="portrait" r:id="rId11"/>
      <headerFooter alignWithMargins="0"/>
    </customSheetView>
    <customSheetView guid="{267FF044-3C5D-4FEC-AC00-A7E30583F8BB}" state="hidden" topLeftCell="A4">
      <selection activeCell="D6" sqref="D6"/>
      <pageMargins left="0.75" right="0.75" top="0.65" bottom="1" header="0.5" footer="0.5"/>
      <pageSetup orientation="portrait" r:id="rId12"/>
      <headerFooter alignWithMargins="0"/>
    </customSheetView>
    <customSheetView guid="{A29B4069-9BED-4703-B114-D2D164877E8C}"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1066" t="s">
        <v>198</v>
      </c>
      <c r="B2" s="1066"/>
      <c r="C2" s="1066"/>
      <c r="D2" s="1067"/>
      <c r="E2" s="34"/>
    </row>
    <row r="3" spans="1:6">
      <c r="A3" s="199"/>
      <c r="B3" s="200"/>
      <c r="C3" s="200"/>
      <c r="D3" s="200"/>
      <c r="E3" s="200"/>
    </row>
    <row r="4" spans="1:6" ht="30">
      <c r="A4" s="201" t="s">
        <v>188</v>
      </c>
      <c r="B4" s="202" t="s">
        <v>189</v>
      </c>
      <c r="C4" s="201" t="s">
        <v>199</v>
      </c>
      <c r="D4" s="201" t="s">
        <v>200</v>
      </c>
      <c r="E4" s="201" t="s">
        <v>201</v>
      </c>
    </row>
    <row r="5" spans="1:6" ht="18" customHeight="1">
      <c r="A5" s="203" t="s">
        <v>192</v>
      </c>
      <c r="B5" s="203" t="s">
        <v>193</v>
      </c>
      <c r="C5" s="203" t="s">
        <v>194</v>
      </c>
      <c r="D5" s="203" t="s">
        <v>195</v>
      </c>
      <c r="E5" s="203" t="s">
        <v>196</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197</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F38BD2F3-61EE-4B49-A7FC-8FB2B5BA6A2F}" state="hidden" topLeftCell="A13">
      <selection activeCell="D6" sqref="D6"/>
      <pageMargins left="0.75" right="0.75" top="0.65" bottom="1" header="0.5" footer="0.5"/>
      <pageSetup orientation="portrait" r:id="rId1"/>
      <headerFooter alignWithMargins="0"/>
    </customSheetView>
    <customSheetView guid="{F1B559AA-B9AD-4E4C-B94A-ECBE5878008B}" state="hidden" topLeftCell="A13">
      <selection activeCell="D6" sqref="D6"/>
      <pageMargins left="0.75" right="0.75" top="0.65" bottom="1" header="0.5" footer="0.5"/>
      <pageSetup orientation="portrait" r:id="rId2"/>
      <headerFooter alignWithMargins="0"/>
    </customSheetView>
    <customSheetView guid="{755190E0-7BE9-48F9-BB5F-DF8E25D6736A}" state="hidden" topLeftCell="A13">
      <selection activeCell="D6" sqref="D6"/>
      <pageMargins left="0.75" right="0.75" top="0.65" bottom="1" header="0.5" footer="0.5"/>
      <pageSetup orientation="portrait" r:id="rId3"/>
      <headerFooter alignWithMargins="0"/>
    </customSheetView>
    <customSheetView guid="{CCA37BAE-906F-43D5-9FD9-B13563E4B9D7}" state="hidden" topLeftCell="A13">
      <selection activeCell="D6" sqref="D6"/>
      <pageMargins left="0.75" right="0.75" top="0.65" bottom="1" header="0.5" footer="0.5"/>
      <pageSetup orientation="portrait" r:id="rId4"/>
      <headerFooter alignWithMargins="0"/>
    </customSheetView>
    <customSheetView guid="{B96E710B-6DD7-4DE1-95AB-C9EE060CD030}" state="hidden" topLeftCell="A13">
      <selection activeCell="D6" sqref="D6"/>
      <pageMargins left="0.75" right="0.75" top="0.65" bottom="1" header="0.5" footer="0.5"/>
      <pageSetup orientation="portrait" r:id="rId5"/>
      <headerFooter alignWithMargins="0"/>
    </customSheetView>
    <customSheetView guid="{357C9841-BEC3-434B-AC63-C04FB4321BA3}"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B056965A-4BE5-44B3-AB31-550AD9F023BC}" state="hidden" topLeftCell="A13">
      <selection activeCell="D6" sqref="D6"/>
      <pageMargins left="0.75" right="0.75" top="0.65" bottom="1" header="0.5" footer="0.5"/>
      <pageSetup orientation="portrait" r:id="rId10"/>
      <headerFooter alignWithMargins="0"/>
    </customSheetView>
    <customSheetView guid="{3FCD02EB-1C44-4646-B069-2B9945E67B1F}" state="hidden" topLeftCell="A13">
      <selection activeCell="D6" sqref="D6"/>
      <pageMargins left="0.75" right="0.75" top="0.65" bottom="1" header="0.5" footer="0.5"/>
      <pageSetup orientation="portrait" r:id="rId11"/>
      <headerFooter alignWithMargins="0"/>
    </customSheetView>
    <customSheetView guid="{267FF044-3C5D-4FEC-AC00-A7E30583F8BB}" state="hidden" topLeftCell="A13">
      <selection activeCell="D6" sqref="D6"/>
      <pageMargins left="0.75" right="0.75" top="0.65" bottom="1" header="0.5" footer="0.5"/>
      <pageSetup orientation="portrait" r:id="rId12"/>
      <headerFooter alignWithMargins="0"/>
    </customSheetView>
    <customSheetView guid="{A29B4069-9BED-4703-B114-D2D164877E8C}"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1066" t="s">
        <v>202</v>
      </c>
      <c r="B2" s="1066"/>
      <c r="C2" s="1066"/>
      <c r="D2" s="1066"/>
      <c r="E2" s="1067"/>
      <c r="F2" s="188"/>
    </row>
    <row r="3" spans="1:7">
      <c r="A3" s="199"/>
      <c r="B3" s="200"/>
      <c r="C3" s="200"/>
      <c r="D3" s="200"/>
      <c r="E3" s="200"/>
      <c r="F3" s="200"/>
    </row>
    <row r="4" spans="1:7" ht="45">
      <c r="A4" s="201" t="s">
        <v>188</v>
      </c>
      <c r="B4" s="202" t="s">
        <v>189</v>
      </c>
      <c r="C4" s="201" t="s">
        <v>203</v>
      </c>
      <c r="D4" s="201" t="s">
        <v>204</v>
      </c>
      <c r="E4" s="201" t="s">
        <v>205</v>
      </c>
      <c r="F4" s="201" t="s">
        <v>206</v>
      </c>
    </row>
    <row r="5" spans="1:7" ht="18" customHeight="1">
      <c r="A5" s="203" t="s">
        <v>192</v>
      </c>
      <c r="B5" s="203" t="s">
        <v>193</v>
      </c>
      <c r="C5" s="203" t="s">
        <v>194</v>
      </c>
      <c r="D5" s="203" t="s">
        <v>195</v>
      </c>
      <c r="E5" s="214" t="s">
        <v>207</v>
      </c>
      <c r="F5" s="203" t="s">
        <v>208</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197</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F38BD2F3-61EE-4B49-A7FC-8FB2B5BA6A2F}" state="hidden" topLeftCell="A5">
      <selection activeCell="D11" sqref="D11"/>
      <pageMargins left="0.75" right="0.62" top="0.65" bottom="1" header="0.5" footer="0.5"/>
      <pageSetup orientation="portrait" r:id="rId1"/>
      <headerFooter alignWithMargins="0"/>
    </customSheetView>
    <customSheetView guid="{F1B559AA-B9AD-4E4C-B94A-ECBE5878008B}" state="hidden" topLeftCell="A5">
      <selection activeCell="D11" sqref="D11"/>
      <pageMargins left="0.75" right="0.62" top="0.65" bottom="1" header="0.5" footer="0.5"/>
      <pageSetup orientation="portrait" r:id="rId2"/>
      <headerFooter alignWithMargins="0"/>
    </customSheetView>
    <customSheetView guid="{755190E0-7BE9-48F9-BB5F-DF8E25D6736A}" state="hidden" topLeftCell="A5">
      <selection activeCell="D11" sqref="D11"/>
      <pageMargins left="0.75" right="0.62" top="0.65" bottom="1" header="0.5" footer="0.5"/>
      <pageSetup orientation="portrait" r:id="rId3"/>
      <headerFooter alignWithMargins="0"/>
    </customSheetView>
    <customSheetView guid="{CCA37BAE-906F-43D5-9FD9-B13563E4B9D7}" state="hidden" topLeftCell="A5">
      <selection activeCell="D11" sqref="D11"/>
      <pageMargins left="0.75" right="0.62" top="0.65" bottom="1" header="0.5" footer="0.5"/>
      <pageSetup orientation="portrait" r:id="rId4"/>
      <headerFooter alignWithMargins="0"/>
    </customSheetView>
    <customSheetView guid="{B96E710B-6DD7-4DE1-95AB-C9EE060CD030}" state="hidden" topLeftCell="A5">
      <selection activeCell="D11" sqref="D11"/>
      <pageMargins left="0.75" right="0.62" top="0.65" bottom="1" header="0.5" footer="0.5"/>
      <pageSetup orientation="portrait" r:id="rId5"/>
      <headerFooter alignWithMargins="0"/>
    </customSheetView>
    <customSheetView guid="{357C9841-BEC3-434B-AC63-C04FB4321BA3}"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B056965A-4BE5-44B3-AB31-550AD9F023BC}" state="hidden" topLeftCell="A5">
      <selection activeCell="D11" sqref="D11"/>
      <pageMargins left="0.75" right="0.62" top="0.65" bottom="1" header="0.5" footer="0.5"/>
      <pageSetup orientation="portrait" r:id="rId10"/>
      <headerFooter alignWithMargins="0"/>
    </customSheetView>
    <customSheetView guid="{3FCD02EB-1C44-4646-B069-2B9945E67B1F}" state="hidden" topLeftCell="A5">
      <selection activeCell="D11" sqref="D11"/>
      <pageMargins left="0.75" right="0.62" top="0.65" bottom="1" header="0.5" footer="0.5"/>
      <pageSetup orientation="portrait" r:id="rId11"/>
      <headerFooter alignWithMargins="0"/>
    </customSheetView>
    <customSheetView guid="{267FF044-3C5D-4FEC-AC00-A7E30583F8BB}" state="hidden" topLeftCell="A5">
      <selection activeCell="D11" sqref="D11"/>
      <pageMargins left="0.75" right="0.62" top="0.65" bottom="1" header="0.5" footer="0.5"/>
      <pageSetup orientation="portrait" r:id="rId12"/>
      <headerFooter alignWithMargins="0"/>
    </customSheetView>
    <customSheetView guid="{A29B4069-9BED-4703-B114-D2D164877E8C}"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O79"/>
  <sheetViews>
    <sheetView showGridLines="0" showZeros="0" view="pageBreakPreview" topLeftCell="A13" zoomScale="110" zoomScaleNormal="100" zoomScaleSheetLayoutView="110" workbookViewId="0">
      <selection activeCell="C5" sqref="C5:F5"/>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1.28515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Basic!B5</f>
        <v>Spec. No: 5002002280/SUB-STATION(EXCLUDIN/DOM/A06-CC CS -7</v>
      </c>
      <c r="B1" s="215"/>
      <c r="C1" s="216"/>
      <c r="D1" s="216"/>
      <c r="E1" s="216"/>
      <c r="F1" s="217" t="s">
        <v>209</v>
      </c>
      <c r="Z1" s="220" t="str">
        <f>'[9]Names of Bidder'!D6</f>
        <v>Sole Bidder</v>
      </c>
      <c r="AE1" s="222">
        <v>1</v>
      </c>
      <c r="AF1" s="222" t="s">
        <v>210</v>
      </c>
      <c r="AI1" s="222">
        <v>1</v>
      </c>
      <c r="AJ1" s="221" t="s">
        <v>211</v>
      </c>
    </row>
    <row r="2" spans="1:36">
      <c r="A2" s="215">
        <f>Basic!B6</f>
        <v>0</v>
      </c>
      <c r="B2" s="218"/>
      <c r="Z2" s="220">
        <f>'[9]Names of Bidder'!AA6</f>
        <v>0</v>
      </c>
      <c r="AE2" s="222">
        <v>2</v>
      </c>
      <c r="AF2" s="222" t="s">
        <v>212</v>
      </c>
      <c r="AI2" s="222">
        <v>2</v>
      </c>
      <c r="AJ2" s="221" t="s">
        <v>213</v>
      </c>
    </row>
    <row r="3" spans="1:36" ht="17.25">
      <c r="A3" s="1086" t="s">
        <v>214</v>
      </c>
      <c r="B3" s="1086"/>
      <c r="C3" s="1086"/>
      <c r="D3" s="1086"/>
      <c r="E3" s="1086"/>
      <c r="F3" s="1086"/>
      <c r="AE3" s="222">
        <v>3</v>
      </c>
      <c r="AF3" s="222" t="s">
        <v>215</v>
      </c>
      <c r="AI3" s="222">
        <v>3</v>
      </c>
      <c r="AJ3" s="221" t="s">
        <v>216</v>
      </c>
    </row>
    <row r="4" spans="1:36">
      <c r="A4" s="223"/>
      <c r="B4" s="223"/>
      <c r="C4" s="223"/>
      <c r="D4" s="223"/>
      <c r="E4" s="223"/>
      <c r="F4" s="223"/>
      <c r="AE4" s="222">
        <v>4</v>
      </c>
      <c r="AF4" s="222" t="s">
        <v>217</v>
      </c>
      <c r="AI4" s="222">
        <v>4</v>
      </c>
      <c r="AJ4" s="221" t="s">
        <v>218</v>
      </c>
    </row>
    <row r="5" spans="1:36">
      <c r="A5" s="224" t="s">
        <v>219</v>
      </c>
      <c r="C5" s="1087"/>
      <c r="D5" s="1087"/>
      <c r="E5" s="1087"/>
      <c r="F5" s="1087"/>
      <c r="AE5" s="222">
        <v>5</v>
      </c>
      <c r="AF5" s="222" t="s">
        <v>217</v>
      </c>
      <c r="AI5" s="222">
        <v>5</v>
      </c>
      <c r="AJ5" s="221" t="s">
        <v>220</v>
      </c>
    </row>
    <row r="6" spans="1:36">
      <c r="A6" s="224" t="s">
        <v>221</v>
      </c>
      <c r="B6" s="1077" t="str">
        <f>'Names of Bidder'!D27&amp;'Names of Bidder'!E27&amp;'Names of Bidder'!F27</f>
        <v/>
      </c>
      <c r="C6" s="1077"/>
      <c r="AE6" s="222">
        <v>6</v>
      </c>
      <c r="AF6" s="222" t="s">
        <v>217</v>
      </c>
      <c r="AG6" s="225" t="e">
        <f>DAY(B6)</f>
        <v>#VALUE!</v>
      </c>
      <c r="AI6" s="222">
        <v>6</v>
      </c>
      <c r="AJ6" s="221" t="s">
        <v>222</v>
      </c>
    </row>
    <row r="7" spans="1:36">
      <c r="A7" s="224"/>
      <c r="B7" s="226"/>
      <c r="C7" s="226"/>
      <c r="AE7" s="222">
        <v>7</v>
      </c>
      <c r="AF7" s="222" t="s">
        <v>217</v>
      </c>
      <c r="AG7" s="225" t="e">
        <f>MONTH(B6)</f>
        <v>#VALUE!</v>
      </c>
      <c r="AI7" s="222">
        <v>7</v>
      </c>
      <c r="AJ7" s="221" t="s">
        <v>223</v>
      </c>
    </row>
    <row r="8" spans="1:36">
      <c r="A8" s="227" t="s">
        <v>1</v>
      </c>
      <c r="B8" s="228"/>
      <c r="F8" s="229"/>
      <c r="AE8" s="222">
        <v>8</v>
      </c>
      <c r="AF8" s="222" t="s">
        <v>217</v>
      </c>
      <c r="AG8" s="225" t="e">
        <f>LOOKUP(AG7,AI1:AI12,AJ1:AJ12)</f>
        <v>#VALUE!</v>
      </c>
      <c r="AI8" s="222">
        <v>8</v>
      </c>
      <c r="AJ8" s="221" t="s">
        <v>224</v>
      </c>
    </row>
    <row r="9" spans="1:36">
      <c r="A9" s="230">
        <f>'Sch-1'!L8</f>
        <v>0</v>
      </c>
      <c r="B9" s="230"/>
      <c r="F9" s="229"/>
      <c r="AE9" s="222">
        <v>9</v>
      </c>
      <c r="AF9" s="222" t="s">
        <v>217</v>
      </c>
      <c r="AG9" s="225" t="e">
        <f>YEAR(B6)</f>
        <v>#VALUE!</v>
      </c>
      <c r="AI9" s="222">
        <v>9</v>
      </c>
      <c r="AJ9" s="221" t="s">
        <v>225</v>
      </c>
    </row>
    <row r="10" spans="1:36">
      <c r="A10" s="230" t="str">
        <f>'Sch-1'!K9</f>
        <v>Power Grid Corporation of India Ltd.,</v>
      </c>
      <c r="B10" s="230"/>
      <c r="F10" s="229"/>
      <c r="AE10" s="222">
        <v>10</v>
      </c>
      <c r="AF10" s="222" t="s">
        <v>217</v>
      </c>
      <c r="AI10" s="222">
        <v>10</v>
      </c>
      <c r="AJ10" s="221" t="s">
        <v>226</v>
      </c>
    </row>
    <row r="11" spans="1:36">
      <c r="A11" s="230" t="str">
        <f>'Sch-1'!K10</f>
        <v>"Saudamini", Plot No.-2</v>
      </c>
      <c r="B11" s="230"/>
      <c r="F11" s="229"/>
      <c r="AE11" s="222">
        <v>11</v>
      </c>
      <c r="AF11" s="222" t="s">
        <v>217</v>
      </c>
      <c r="AI11" s="222">
        <v>11</v>
      </c>
      <c r="AJ11" s="221" t="s">
        <v>227</v>
      </c>
    </row>
    <row r="12" spans="1:36">
      <c r="A12" s="230" t="str">
        <f>'Sch-1'!K11</f>
        <v xml:space="preserve">Sector-29, </v>
      </c>
      <c r="B12" s="230"/>
      <c r="F12" s="229"/>
      <c r="AE12" s="222">
        <v>12</v>
      </c>
      <c r="AF12" s="222" t="s">
        <v>217</v>
      </c>
      <c r="AI12" s="222">
        <v>12</v>
      </c>
      <c r="AJ12" s="221" t="s">
        <v>228</v>
      </c>
    </row>
    <row r="13" spans="1:36">
      <c r="A13" s="230" t="str">
        <f>'Sch-1'!K12</f>
        <v>Gurgaon (Haryana) - 122001</v>
      </c>
      <c r="B13" s="230"/>
      <c r="F13" s="229"/>
      <c r="AE13" s="222">
        <v>13</v>
      </c>
      <c r="AF13" s="222" t="s">
        <v>217</v>
      </c>
    </row>
    <row r="14" spans="1:36" ht="22.5" customHeight="1">
      <c r="A14" s="224"/>
      <c r="F14" s="229"/>
      <c r="AE14" s="222">
        <v>14</v>
      </c>
      <c r="AF14" s="222" t="s">
        <v>217</v>
      </c>
    </row>
    <row r="15" spans="1:36" ht="133.5" customHeight="1">
      <c r="A15" s="580" t="s">
        <v>229</v>
      </c>
      <c r="B15" s="581"/>
      <c r="C15" s="1088" t="str">
        <f>Cover!B2</f>
        <v>765kV AIS Substation Extension Package (SS-91) under Transmission Network Expansion in Gujarat to increase its ATC from ISTS: Part C.</v>
      </c>
      <c r="D15" s="1088"/>
      <c r="E15" s="1088"/>
      <c r="F15" s="1088"/>
      <c r="AE15" s="222">
        <v>15</v>
      </c>
      <c r="AF15" s="222" t="s">
        <v>217</v>
      </c>
    </row>
    <row r="16" spans="1:36" ht="27.75" customHeight="1">
      <c r="A16" s="218" t="s">
        <v>230</v>
      </c>
      <c r="B16" s="218"/>
      <c r="C16" s="229"/>
      <c r="D16" s="229"/>
      <c r="E16" s="229"/>
      <c r="F16" s="229"/>
      <c r="AE16" s="222">
        <v>16</v>
      </c>
      <c r="AF16" s="222" t="s">
        <v>217</v>
      </c>
    </row>
    <row r="17" spans="1:41" ht="99.75" customHeight="1">
      <c r="A17" s="232">
        <v>1</v>
      </c>
      <c r="B17" s="1084"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84"/>
      <c r="D17" s="1084"/>
      <c r="E17" s="1084"/>
      <c r="F17" s="1084"/>
      <c r="H17" s="677" t="s">
        <v>302</v>
      </c>
      <c r="Z17" s="233"/>
      <c r="AA17" s="234"/>
      <c r="AB17" s="235"/>
      <c r="AC17" s="236"/>
      <c r="AE17" s="222">
        <v>17</v>
      </c>
      <c r="AF17" s="222" t="s">
        <v>217</v>
      </c>
    </row>
    <row r="18" spans="1:41" ht="24.75" customHeight="1">
      <c r="A18" s="232"/>
      <c r="B18" s="1084"/>
      <c r="C18" s="1084"/>
      <c r="D18" s="1084"/>
      <c r="E18" s="1084"/>
      <c r="F18" s="1084"/>
      <c r="H18" s="678">
        <f>ROUND('Sch-6 (After Discount)'!D28,2)</f>
        <v>0</v>
      </c>
      <c r="I18" s="219" t="s">
        <v>472</v>
      </c>
      <c r="Z18" s="233"/>
      <c r="AA18" s="234"/>
      <c r="AB18" s="235"/>
      <c r="AC18" s="236"/>
    </row>
    <row r="19" spans="1:41">
      <c r="A19" s="232"/>
      <c r="B19" s="1084"/>
      <c r="C19" s="1084"/>
      <c r="D19" s="1084"/>
      <c r="E19" s="1084"/>
      <c r="F19" s="1084"/>
      <c r="H19" s="679" t="str">
        <f>'N-W (Cr.)'!P4</f>
        <v/>
      </c>
      <c r="N19" s="219" t="s">
        <v>471</v>
      </c>
      <c r="Z19" s="233"/>
      <c r="AA19" s="234"/>
      <c r="AB19" s="235"/>
      <c r="AC19" s="236"/>
    </row>
    <row r="20" spans="1:41" ht="39" customHeight="1">
      <c r="B20" s="1085" t="s">
        <v>231</v>
      </c>
      <c r="C20" s="1085"/>
      <c r="D20" s="1085"/>
      <c r="E20" s="1085"/>
      <c r="F20" s="1085"/>
      <c r="H20" s="218" t="s">
        <v>301</v>
      </c>
      <c r="AE20" s="222">
        <v>18</v>
      </c>
      <c r="AF20" s="222" t="s">
        <v>217</v>
      </c>
    </row>
    <row r="21" spans="1:41" s="218" customFormat="1" ht="27.75" customHeight="1">
      <c r="A21" s="237">
        <v>2</v>
      </c>
      <c r="B21" s="1083" t="s">
        <v>232</v>
      </c>
      <c r="C21" s="1083"/>
      <c r="D21" s="1083"/>
      <c r="E21" s="1083"/>
      <c r="F21" s="1083"/>
      <c r="Z21" s="238"/>
      <c r="AA21" s="238"/>
      <c r="AB21" s="238"/>
      <c r="AC21" s="238"/>
      <c r="AD21" s="239"/>
      <c r="AE21" s="222">
        <v>19</v>
      </c>
      <c r="AF21" s="222" t="s">
        <v>217</v>
      </c>
      <c r="AG21" s="239"/>
      <c r="AH21" s="239"/>
      <c r="AI21" s="239"/>
      <c r="AJ21" s="239"/>
      <c r="AK21" s="239"/>
      <c r="AL21" s="239"/>
      <c r="AM21" s="239"/>
      <c r="AN21" s="239"/>
      <c r="AO21" s="239"/>
    </row>
    <row r="22" spans="1:41" ht="39.75" customHeight="1">
      <c r="A22" s="232">
        <v>2.1</v>
      </c>
      <c r="B22" s="1078" t="s">
        <v>233</v>
      </c>
      <c r="C22" s="1078"/>
      <c r="D22" s="1078"/>
      <c r="E22" s="1078"/>
      <c r="F22" s="1078"/>
      <c r="AE22" s="222">
        <v>20</v>
      </c>
      <c r="AF22" s="222" t="s">
        <v>217</v>
      </c>
    </row>
    <row r="23" spans="1:41" ht="36.75" customHeight="1">
      <c r="B23" s="1082" t="s">
        <v>234</v>
      </c>
      <c r="C23" s="1082"/>
      <c r="D23" s="1078" t="s">
        <v>235</v>
      </c>
      <c r="E23" s="1078"/>
      <c r="F23" s="1078"/>
      <c r="AE23" s="222">
        <v>21</v>
      </c>
      <c r="AF23" s="222" t="s">
        <v>210</v>
      </c>
    </row>
    <row r="24" spans="1:41" ht="33" customHeight="1">
      <c r="B24" s="1082" t="s">
        <v>236</v>
      </c>
      <c r="C24" s="1082"/>
      <c r="D24" s="231" t="s">
        <v>303</v>
      </c>
      <c r="E24" s="231"/>
      <c r="F24" s="231"/>
      <c r="AE24" s="222">
        <v>22</v>
      </c>
      <c r="AF24" s="222" t="s">
        <v>217</v>
      </c>
    </row>
    <row r="25" spans="1:41" ht="27.95" customHeight="1">
      <c r="B25" s="1082" t="s">
        <v>237</v>
      </c>
      <c r="C25" s="1082"/>
      <c r="D25" s="231" t="s">
        <v>238</v>
      </c>
      <c r="E25" s="231"/>
      <c r="F25" s="231"/>
      <c r="H25" s="240" t="str">
        <f>'[9]Names of Bidder'!D6</f>
        <v>Sole Bidder</v>
      </c>
      <c r="AE25" s="222">
        <v>23</v>
      </c>
      <c r="AF25" s="222" t="s">
        <v>217</v>
      </c>
    </row>
    <row r="26" spans="1:41" ht="27.95" customHeight="1">
      <c r="B26" s="1082" t="s">
        <v>239</v>
      </c>
      <c r="C26" s="1082"/>
      <c r="D26" s="231" t="s">
        <v>240</v>
      </c>
      <c r="E26" s="231"/>
      <c r="F26" s="231"/>
      <c r="AE26" s="222">
        <v>24</v>
      </c>
      <c r="AF26" s="222" t="s">
        <v>217</v>
      </c>
    </row>
    <row r="27" spans="1:41" ht="27.95" customHeight="1">
      <c r="B27" s="1082" t="s">
        <v>241</v>
      </c>
      <c r="C27" s="1082"/>
      <c r="D27" s="231" t="s">
        <v>242</v>
      </c>
      <c r="E27" s="231"/>
      <c r="F27" s="231"/>
      <c r="AE27" s="222">
        <v>25</v>
      </c>
      <c r="AF27" s="222" t="s">
        <v>217</v>
      </c>
    </row>
    <row r="28" spans="1:41" ht="27.95" customHeight="1">
      <c r="B28" s="1082" t="s">
        <v>243</v>
      </c>
      <c r="C28" s="1082"/>
      <c r="D28" s="231" t="s">
        <v>244</v>
      </c>
      <c r="E28" s="231"/>
      <c r="F28" s="231"/>
      <c r="AE28" s="222">
        <v>26</v>
      </c>
      <c r="AF28" s="222" t="s">
        <v>217</v>
      </c>
    </row>
    <row r="29" spans="1:41" ht="27.95" customHeight="1">
      <c r="B29" s="1082" t="s">
        <v>30</v>
      </c>
      <c r="C29" s="1082"/>
      <c r="D29" s="231" t="s">
        <v>245</v>
      </c>
      <c r="E29" s="231"/>
      <c r="F29" s="231"/>
      <c r="AE29" s="222">
        <v>27</v>
      </c>
      <c r="AF29" s="222" t="s">
        <v>217</v>
      </c>
    </row>
    <row r="30" spans="1:41" ht="98.25" customHeight="1">
      <c r="A30" s="241">
        <v>2.2000000000000002</v>
      </c>
      <c r="B30" s="1078" t="s">
        <v>246</v>
      </c>
      <c r="C30" s="1078"/>
      <c r="D30" s="1078"/>
      <c r="E30" s="1078"/>
      <c r="F30" s="1078"/>
      <c r="AE30" s="222">
        <v>28</v>
      </c>
      <c r="AF30" s="222" t="s">
        <v>217</v>
      </c>
    </row>
    <row r="31" spans="1:41" ht="68.25" customHeight="1">
      <c r="A31" s="241">
        <v>2.2999999999999998</v>
      </c>
      <c r="B31" s="1078" t="s">
        <v>659</v>
      </c>
      <c r="C31" s="1078"/>
      <c r="D31" s="1078"/>
      <c r="E31" s="1078"/>
      <c r="F31" s="1078"/>
      <c r="AE31" s="222">
        <v>29</v>
      </c>
      <c r="AF31" s="222" t="s">
        <v>217</v>
      </c>
    </row>
    <row r="32" spans="1:41" ht="129.75" customHeight="1">
      <c r="A32" s="241">
        <v>2.4</v>
      </c>
      <c r="B32" s="1078" t="s">
        <v>247</v>
      </c>
      <c r="C32" s="1078"/>
      <c r="D32" s="1078"/>
      <c r="E32" s="1078"/>
      <c r="F32" s="1078"/>
      <c r="AE32" s="222">
        <v>30</v>
      </c>
      <c r="AF32" s="222" t="s">
        <v>217</v>
      </c>
    </row>
    <row r="33" spans="1:32" ht="79.5" customHeight="1">
      <c r="A33" s="241">
        <v>2.5</v>
      </c>
      <c r="B33" s="1078" t="s">
        <v>248</v>
      </c>
      <c r="C33" s="1078"/>
      <c r="D33" s="1078"/>
      <c r="E33" s="1078"/>
      <c r="F33" s="1078"/>
      <c r="AE33" s="222">
        <v>31</v>
      </c>
      <c r="AF33" s="222" t="s">
        <v>210</v>
      </c>
    </row>
    <row r="34" spans="1:32" ht="81" customHeight="1">
      <c r="A34" s="232">
        <v>3</v>
      </c>
      <c r="B34" s="1078" t="s">
        <v>249</v>
      </c>
      <c r="C34" s="1078"/>
      <c r="D34" s="1078"/>
      <c r="E34" s="1078"/>
      <c r="F34" s="1078"/>
    </row>
    <row r="35" spans="1:32" ht="63" customHeight="1">
      <c r="A35" s="232">
        <v>3.1</v>
      </c>
      <c r="B35" s="1079" t="s">
        <v>304</v>
      </c>
      <c r="C35" s="1079"/>
      <c r="D35" s="1079"/>
      <c r="E35" s="1079"/>
      <c r="F35" s="1079"/>
    </row>
    <row r="36" spans="1:32" ht="114" customHeight="1">
      <c r="A36" s="241">
        <v>3.2</v>
      </c>
      <c r="B36" s="1078" t="s">
        <v>305</v>
      </c>
      <c r="C36" s="1078"/>
      <c r="D36" s="1078"/>
      <c r="E36" s="1078"/>
      <c r="F36" s="1078"/>
    </row>
    <row r="37" spans="1:32" ht="65.25" customHeight="1">
      <c r="A37" s="241">
        <v>3.3</v>
      </c>
      <c r="B37" s="1078" t="s">
        <v>306</v>
      </c>
      <c r="C37" s="1078"/>
      <c r="D37" s="1078"/>
      <c r="E37" s="1078"/>
      <c r="F37" s="1078"/>
    </row>
    <row r="38" spans="1:32" ht="66" customHeight="1">
      <c r="A38" s="232">
        <v>4</v>
      </c>
      <c r="B38" s="1078" t="s">
        <v>250</v>
      </c>
      <c r="C38" s="1078"/>
      <c r="D38" s="1078"/>
      <c r="E38" s="1078"/>
      <c r="F38" s="1078"/>
    </row>
    <row r="39" spans="1:32" ht="93" customHeight="1">
      <c r="A39" s="232">
        <v>5</v>
      </c>
      <c r="B39" s="1078" t="s">
        <v>251</v>
      </c>
      <c r="C39" s="1078"/>
      <c r="D39" s="1078"/>
      <c r="E39" s="1078"/>
      <c r="F39" s="1078"/>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181</v>
      </c>
      <c r="C41" s="244"/>
      <c r="D41" s="245"/>
      <c r="E41" s="245"/>
      <c r="F41" s="245"/>
    </row>
    <row r="42" spans="1:32" ht="20.25" customHeight="1">
      <c r="B42" s="246"/>
      <c r="C42" s="245"/>
      <c r="D42" s="245"/>
      <c r="E42" s="242"/>
      <c r="F42" s="247" t="s">
        <v>182</v>
      </c>
    </row>
    <row r="43" spans="1:32" ht="18" customHeight="1">
      <c r="B43" s="246"/>
      <c r="C43" s="245"/>
      <c r="D43" s="242"/>
      <c r="E43" s="242"/>
      <c r="F43" s="247" t="str">
        <f>"For and on behalf of " &amp; '[9]Sch-1'!B8</f>
        <v>For and on behalf of test</v>
      </c>
    </row>
    <row r="44" spans="1:32" ht="30" customHeight="1">
      <c r="A44" s="219"/>
      <c r="B44" s="219"/>
      <c r="C44" s="248"/>
      <c r="D44" s="219"/>
      <c r="E44" s="249" t="s">
        <v>252</v>
      </c>
      <c r="F44" s="224"/>
    </row>
    <row r="45" spans="1:32" ht="30" customHeight="1">
      <c r="A45" s="250" t="s">
        <v>183</v>
      </c>
      <c r="B45" s="1081" t="str">
        <f>Discount!C39</f>
        <v xml:space="preserve">  </v>
      </c>
      <c r="C45" s="1077"/>
      <c r="D45" s="219"/>
      <c r="E45" s="249" t="s">
        <v>184</v>
      </c>
      <c r="F45" s="452">
        <f>Discount!F39</f>
        <v>0</v>
      </c>
    </row>
    <row r="46" spans="1:32" ht="30" customHeight="1">
      <c r="A46" s="250" t="s">
        <v>185</v>
      </c>
      <c r="B46" s="1076" t="str">
        <f>Discount!C40</f>
        <v/>
      </c>
      <c r="C46" s="1077"/>
      <c r="D46" s="219"/>
      <c r="E46" s="249" t="s">
        <v>186</v>
      </c>
      <c r="F46" s="452">
        <f>Discount!F40</f>
        <v>0</v>
      </c>
    </row>
    <row r="47" spans="1:32" ht="30" customHeight="1">
      <c r="B47" s="218"/>
      <c r="D47" s="219"/>
      <c r="E47" s="249" t="s">
        <v>253</v>
      </c>
    </row>
    <row r="48" spans="1:32" ht="30" customHeight="1">
      <c r="A48" s="1080" t="str">
        <f>IF(H25="Sole Bidder", "", "In case of bid from a Joint Venture, name &amp; designation of representative of JV partner is to be provided and Bid Form is also to be signed by him.")</f>
        <v/>
      </c>
      <c r="B48" s="1080"/>
      <c r="C48" s="1080"/>
      <c r="D48" s="1080"/>
      <c r="E48" s="1080"/>
      <c r="F48" s="1080"/>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1072" t="s">
        <v>255</v>
      </c>
      <c r="B55" s="1072"/>
      <c r="C55" s="1072"/>
      <c r="D55" s="1070"/>
      <c r="E55" s="1071"/>
      <c r="F55" s="1071"/>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1075"/>
      <c r="B56" s="1075"/>
      <c r="C56" s="1075"/>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1073"/>
      <c r="B57" s="1073"/>
      <c r="C57" s="1073"/>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1068" t="s">
        <v>256</v>
      </c>
      <c r="B58" s="1068"/>
      <c r="C58" s="1068"/>
      <c r="D58" s="1070"/>
      <c r="E58" s="1071"/>
      <c r="F58" s="1071"/>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1068" t="s">
        <v>257</v>
      </c>
      <c r="B59" s="1068"/>
      <c r="C59" s="1068"/>
      <c r="D59" s="1070"/>
      <c r="E59" s="1071"/>
      <c r="F59" s="1071"/>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1068" t="s">
        <v>258</v>
      </c>
      <c r="B60" s="1068"/>
      <c r="C60" s="1068"/>
      <c r="D60" s="1070"/>
      <c r="E60" s="1071"/>
      <c r="F60" s="1071"/>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1072" t="s">
        <v>259</v>
      </c>
      <c r="B61" s="1072"/>
      <c r="C61" s="1072"/>
      <c r="D61" s="1070"/>
      <c r="E61" s="1071"/>
      <c r="F61" s="1071"/>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1075"/>
      <c r="B62" s="1075"/>
      <c r="C62" s="1075"/>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1073"/>
      <c r="B63" s="1073"/>
      <c r="C63" s="1073"/>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1074"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74"/>
      <c r="C64" s="1074"/>
      <c r="D64" s="1074"/>
      <c r="E64" s="1074"/>
      <c r="F64" s="1074"/>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1069" t="s">
        <v>115</v>
      </c>
      <c r="B65" s="1069"/>
      <c r="C65" s="1069"/>
      <c r="D65" s="1069"/>
      <c r="E65" s="1069"/>
      <c r="F65" s="1069"/>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algorithmName="SHA-512" hashValue="L8r8S6AMfkvtinozH0dP47XtiOFJ51ODXzpw6134Z7JK+ZbxdjQy0XVfmX+wea8zRzPnpvRf/wZt5dGkKxjWLg==" saltValue="XQTQRxk3EtKFPIlQTJFRPw==" spinCount="100000" sheet="1" formatColumns="0" formatRows="0" selectLockedCells="1"/>
  <customSheetViews>
    <customSheetView guid="{F38BD2F3-61EE-4B49-A7FC-8FB2B5BA6A2F}" scale="110" showPageBreaks="1" showGridLines="0" zeroValues="0" fitToPage="1" printArea="1" hiddenColumns="1" view="pageBreakPreview" topLeftCell="A13">
      <selection activeCell="C5" sqref="C5:F5"/>
      <rowBreaks count="1" manualBreakCount="1">
        <brk id="53" max="5" man="1"/>
      </rowBreaks>
      <pageMargins left="0.75" right="0.77" top="0.62" bottom="0.61" header="0.39" footer="0.32"/>
      <pageSetup scale="82" fitToHeight="3" orientation="portrait" r:id="rId1"/>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2"/>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1"/>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38">
      <selection activeCell="F51" sqref="F51"/>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A29B4069-9BED-4703-B114-D2D164877E8C}" scale="110" showPageBreaks="1" showGridLines="0" zeroValues="0" fitToPage="1" printArea="1" hiddenColumns="1" view="pageBreakPreview" topLeftCell="A13">
      <selection activeCell="C5" sqref="C5:F5"/>
      <rowBreaks count="1" manualBreakCount="1">
        <brk id="53" max="5" man="1"/>
      </rowBreaks>
      <pageMargins left="0.75" right="0.77" top="0.62" bottom="0.61" header="0.39" footer="0.32"/>
      <pageSetup scale="82" fitToHeight="3" orientation="portrait" r:id="rId13"/>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2" fitToHeight="3" orientation="portrait" r:id="rId14"/>
  <headerFooter alignWithMargins="0">
    <oddFooter>&amp;R&amp;"Book Antiqua,Bold"&amp;8Bid Form (1st Envelope)  / Page &amp;P of &amp;N</oddFooter>
  </headerFooter>
  <rowBreaks count="1" manualBreakCount="1">
    <brk id="53"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37"/>
  </sheetPr>
  <dimension ref="A1:J17"/>
  <sheetViews>
    <sheetView showGridLines="0" tabSelected="1" workbookViewId="0">
      <selection activeCell="B3" sqref="B3:E3"/>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878"/>
      <c r="C1" s="879"/>
      <c r="D1" s="879"/>
      <c r="E1" s="880"/>
      <c r="F1" s="37"/>
      <c r="G1" s="38"/>
      <c r="H1" s="39"/>
      <c r="I1" s="39"/>
      <c r="J1" s="40"/>
    </row>
    <row r="2" spans="1:10" ht="91.5" customHeight="1">
      <c r="A2" s="881" t="s">
        <v>44</v>
      </c>
      <c r="B2" s="884" t="str">
        <f>Basic!B1</f>
        <v>765kV AIS Substation Extension Package (SS-91) under Transmission Network Expansion in Gujarat to increase its ATC from ISTS: Part C.</v>
      </c>
      <c r="C2" s="885"/>
      <c r="D2" s="885"/>
      <c r="E2" s="886"/>
      <c r="F2" s="887" t="str">
        <f>Basic!B3</f>
        <v>SS-91</v>
      </c>
      <c r="G2" s="38"/>
      <c r="H2" s="39"/>
      <c r="I2" s="39"/>
      <c r="J2" s="40"/>
    </row>
    <row r="3" spans="1:10" ht="23.25" customHeight="1">
      <c r="A3" s="882"/>
      <c r="B3" s="890" t="str">
        <f>Basic!B5</f>
        <v>Spec. No: 5002002280/SUB-STATION(EXCLUDIN/DOM/A06-CC CS -7</v>
      </c>
      <c r="C3" s="891"/>
      <c r="D3" s="891"/>
      <c r="E3" s="892"/>
      <c r="F3" s="888"/>
      <c r="G3" s="38"/>
      <c r="H3" s="39"/>
      <c r="I3" s="39"/>
      <c r="J3" s="40"/>
    </row>
    <row r="4" spans="1:10" ht="39.950000000000003" customHeight="1">
      <c r="A4" s="882"/>
      <c r="B4" s="42">
        <v>1</v>
      </c>
      <c r="C4" s="893" t="s">
        <v>45</v>
      </c>
      <c r="D4" s="893"/>
      <c r="E4" s="894"/>
      <c r="F4" s="888"/>
      <c r="G4" s="43"/>
      <c r="H4" s="44" t="s">
        <v>46</v>
      </c>
      <c r="I4" s="39"/>
      <c r="J4" s="40"/>
    </row>
    <row r="5" spans="1:10" ht="30" customHeight="1">
      <c r="A5" s="882"/>
      <c r="B5" s="42">
        <v>2</v>
      </c>
      <c r="C5" s="893" t="s">
        <v>47</v>
      </c>
      <c r="D5" s="893"/>
      <c r="E5" s="894"/>
      <c r="F5" s="888"/>
      <c r="G5" s="38"/>
      <c r="H5" s="39"/>
      <c r="I5" s="39"/>
      <c r="J5" s="40"/>
    </row>
    <row r="6" spans="1:10" s="45" customFormat="1" ht="30" customHeight="1">
      <c r="A6" s="882"/>
      <c r="B6" s="42">
        <v>3</v>
      </c>
      <c r="C6" s="893" t="s">
        <v>48</v>
      </c>
      <c r="D6" s="893"/>
      <c r="E6" s="894"/>
      <c r="F6" s="888"/>
      <c r="G6" s="38"/>
      <c r="H6" s="39"/>
      <c r="I6" s="39"/>
      <c r="J6" s="39"/>
    </row>
    <row r="7" spans="1:10" ht="52.5" hidden="1" customHeight="1">
      <c r="A7" s="882"/>
      <c r="B7" s="42">
        <v>4</v>
      </c>
      <c r="C7" s="893" t="s">
        <v>49</v>
      </c>
      <c r="D7" s="893"/>
      <c r="E7" s="894"/>
      <c r="F7" s="888"/>
      <c r="G7" s="38"/>
      <c r="H7" s="39"/>
      <c r="I7" s="39"/>
      <c r="J7" s="40"/>
    </row>
    <row r="8" spans="1:10" ht="9.75" customHeight="1">
      <c r="A8" s="882"/>
      <c r="B8" s="46"/>
      <c r="C8" s="47"/>
      <c r="D8" s="47"/>
      <c r="E8" s="48"/>
      <c r="F8" s="888"/>
      <c r="G8" s="38"/>
      <c r="H8" s="39"/>
      <c r="I8" s="39"/>
      <c r="J8" s="40"/>
    </row>
    <row r="9" spans="1:10" ht="23.25" customHeight="1">
      <c r="A9" s="882"/>
      <c r="B9" s="895"/>
      <c r="C9" s="896"/>
      <c r="D9" s="896"/>
      <c r="E9" s="897"/>
      <c r="F9" s="888"/>
      <c r="G9" s="38"/>
      <c r="H9" s="39"/>
      <c r="I9" s="39"/>
      <c r="J9" s="40"/>
    </row>
    <row r="10" spans="1:10" ht="10.5" customHeight="1">
      <c r="A10" s="882"/>
      <c r="B10" s="49"/>
      <c r="C10" s="50"/>
      <c r="D10" s="50"/>
      <c r="E10" s="51"/>
      <c r="F10" s="888"/>
      <c r="G10" s="38"/>
      <c r="H10" s="39"/>
      <c r="I10" s="39"/>
      <c r="J10" s="40"/>
    </row>
    <row r="11" spans="1:10" ht="24" customHeight="1">
      <c r="A11" s="882"/>
      <c r="B11" s="898" t="s">
        <v>50</v>
      </c>
      <c r="C11" s="899"/>
      <c r="D11" s="899"/>
      <c r="E11" s="52"/>
      <c r="F11" s="888"/>
    </row>
    <row r="12" spans="1:10" ht="15.95" customHeight="1">
      <c r="A12" s="883"/>
      <c r="B12" s="900" t="s">
        <v>51</v>
      </c>
      <c r="C12" s="901"/>
      <c r="D12" s="901"/>
      <c r="E12" s="53"/>
      <c r="F12" s="889"/>
      <c r="G12" s="38"/>
      <c r="H12" s="39"/>
      <c r="I12" s="39"/>
      <c r="J12" s="40"/>
    </row>
    <row r="13" spans="1:10" ht="24" customHeight="1">
      <c r="A13" s="872"/>
      <c r="B13" s="873" t="s">
        <v>52</v>
      </c>
      <c r="C13" s="874"/>
      <c r="D13" s="874"/>
      <c r="E13" s="52"/>
      <c r="F13" s="875"/>
      <c r="G13" s="54"/>
      <c r="H13" s="54"/>
      <c r="I13" s="54"/>
      <c r="J13" s="54"/>
    </row>
    <row r="14" spans="1:10" ht="15.95" customHeight="1">
      <c r="A14" s="872"/>
      <c r="B14" s="876" t="s">
        <v>53</v>
      </c>
      <c r="C14" s="877"/>
      <c r="D14" s="877"/>
      <c r="E14" s="55"/>
      <c r="F14" s="875"/>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w5kkUrgwEkSp8KcfJ2Xes9/VN2zQrouq3B+XAj5Oqn7mugCmQF5uGj2+h5j6Nz7xvpsAARC7SiMxFCmuWVUAXg==" saltValue="NrbIjkAqvxm2okIZs+SlPg==" spinCount="100000" sheet="1" selectLockedCells="1"/>
  <customSheetViews>
    <customSheetView guid="{F38BD2F3-61EE-4B49-A7FC-8FB2B5BA6A2F}" showGridLines="0" hiddenRows="1">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A29B4069-9BED-4703-B114-D2D164877E8C}" showGridLines="0" hiddenRows="1">
      <selection activeCell="B3" sqref="B3:E3"/>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75"/>
  <cols>
    <col min="1" max="1" width="9" style="842" customWidth="1"/>
    <col min="2" max="2" width="54.85546875" style="842" customWidth="1"/>
    <col min="3" max="3" width="3.85546875" style="842" customWidth="1"/>
    <col min="4" max="4" width="24.5703125" style="843" customWidth="1"/>
    <col min="5" max="5" width="4.28515625" style="842" customWidth="1"/>
    <col min="6" max="6" width="23.85546875" style="843" customWidth="1"/>
    <col min="7" max="7" width="18" style="781" customWidth="1"/>
    <col min="8" max="8" width="22.5703125" style="781" customWidth="1"/>
    <col min="9" max="9" width="21.140625" style="781" customWidth="1"/>
    <col min="10" max="10" width="11.28515625" style="781" bestFit="1" customWidth="1"/>
    <col min="11" max="11" width="16.5703125" style="781" bestFit="1" customWidth="1"/>
    <col min="12" max="12" width="15" style="781" bestFit="1" customWidth="1"/>
    <col min="13" max="256" width="9.140625" style="781"/>
    <col min="257" max="257" width="8.42578125" style="781" customWidth="1"/>
    <col min="258" max="258" width="54.85546875" style="781" customWidth="1"/>
    <col min="259" max="259" width="3.85546875" style="781" customWidth="1"/>
    <col min="260" max="260" width="25.140625" style="781" customWidth="1"/>
    <col min="261" max="261" width="4.28515625" style="781" customWidth="1"/>
    <col min="262" max="262" width="23.85546875" style="781" customWidth="1"/>
    <col min="263" max="263" width="18" style="781" customWidth="1"/>
    <col min="264" max="264" width="19.140625" style="781" customWidth="1"/>
    <col min="265" max="265" width="16.5703125" style="781" bestFit="1" customWidth="1"/>
    <col min="266" max="266" width="11.28515625" style="781" bestFit="1" customWidth="1"/>
    <col min="267" max="267" width="16.5703125" style="781" bestFit="1" customWidth="1"/>
    <col min="268" max="268" width="15" style="781" bestFit="1" customWidth="1"/>
    <col min="269" max="512" width="9.140625" style="781"/>
    <col min="513" max="513" width="8.42578125" style="781" customWidth="1"/>
    <col min="514" max="514" width="54.85546875" style="781" customWidth="1"/>
    <col min="515" max="515" width="3.85546875" style="781" customWidth="1"/>
    <col min="516" max="516" width="25.140625" style="781" customWidth="1"/>
    <col min="517" max="517" width="4.28515625" style="781" customWidth="1"/>
    <col min="518" max="518" width="23.85546875" style="781" customWidth="1"/>
    <col min="519" max="519" width="18" style="781" customWidth="1"/>
    <col min="520" max="520" width="19.140625" style="781" customWidth="1"/>
    <col min="521" max="521" width="16.5703125" style="781" bestFit="1" customWidth="1"/>
    <col min="522" max="522" width="11.28515625" style="781" bestFit="1" customWidth="1"/>
    <col min="523" max="523" width="16.5703125" style="781" bestFit="1" customWidth="1"/>
    <col min="524" max="524" width="15" style="781" bestFit="1" customWidth="1"/>
    <col min="525" max="768" width="9.140625" style="781"/>
    <col min="769" max="769" width="8.42578125" style="781" customWidth="1"/>
    <col min="770" max="770" width="54.85546875" style="781" customWidth="1"/>
    <col min="771" max="771" width="3.85546875" style="781" customWidth="1"/>
    <col min="772" max="772" width="25.140625" style="781" customWidth="1"/>
    <col min="773" max="773" width="4.28515625" style="781" customWidth="1"/>
    <col min="774" max="774" width="23.85546875" style="781" customWidth="1"/>
    <col min="775" max="775" width="18" style="781" customWidth="1"/>
    <col min="776" max="776" width="19.140625" style="781" customWidth="1"/>
    <col min="777" max="777" width="16.5703125" style="781" bestFit="1" customWidth="1"/>
    <col min="778" max="778" width="11.28515625" style="781" bestFit="1" customWidth="1"/>
    <col min="779" max="779" width="16.5703125" style="781" bestFit="1" customWidth="1"/>
    <col min="780" max="780" width="15" style="781" bestFit="1" customWidth="1"/>
    <col min="781" max="1024" width="9.140625" style="781"/>
    <col min="1025" max="1025" width="8.42578125" style="781" customWidth="1"/>
    <col min="1026" max="1026" width="54.85546875" style="781" customWidth="1"/>
    <col min="1027" max="1027" width="3.85546875" style="781" customWidth="1"/>
    <col min="1028" max="1028" width="25.140625" style="781" customWidth="1"/>
    <col min="1029" max="1029" width="4.28515625" style="781" customWidth="1"/>
    <col min="1030" max="1030" width="23.85546875" style="781" customWidth="1"/>
    <col min="1031" max="1031" width="18" style="781" customWidth="1"/>
    <col min="1032" max="1032" width="19.140625" style="781" customWidth="1"/>
    <col min="1033" max="1033" width="16.5703125" style="781" bestFit="1" customWidth="1"/>
    <col min="1034" max="1034" width="11.28515625" style="781" bestFit="1" customWidth="1"/>
    <col min="1035" max="1035" width="16.5703125" style="781" bestFit="1" customWidth="1"/>
    <col min="1036" max="1036" width="15" style="781" bestFit="1" customWidth="1"/>
    <col min="1037" max="1280" width="9.140625" style="781"/>
    <col min="1281" max="1281" width="8.42578125" style="781" customWidth="1"/>
    <col min="1282" max="1282" width="54.85546875" style="781" customWidth="1"/>
    <col min="1283" max="1283" width="3.85546875" style="781" customWidth="1"/>
    <col min="1284" max="1284" width="25.140625" style="781" customWidth="1"/>
    <col min="1285" max="1285" width="4.28515625" style="781" customWidth="1"/>
    <col min="1286" max="1286" width="23.85546875" style="781" customWidth="1"/>
    <col min="1287" max="1287" width="18" style="781" customWidth="1"/>
    <col min="1288" max="1288" width="19.140625" style="781" customWidth="1"/>
    <col min="1289" max="1289" width="16.5703125" style="781" bestFit="1" customWidth="1"/>
    <col min="1290" max="1290" width="11.28515625" style="781" bestFit="1" customWidth="1"/>
    <col min="1291" max="1291" width="16.5703125" style="781" bestFit="1" customWidth="1"/>
    <col min="1292" max="1292" width="15" style="781" bestFit="1" customWidth="1"/>
    <col min="1293" max="1536" width="9.140625" style="781"/>
    <col min="1537" max="1537" width="8.42578125" style="781" customWidth="1"/>
    <col min="1538" max="1538" width="54.85546875" style="781" customWidth="1"/>
    <col min="1539" max="1539" width="3.85546875" style="781" customWidth="1"/>
    <col min="1540" max="1540" width="25.140625" style="781" customWidth="1"/>
    <col min="1541" max="1541" width="4.28515625" style="781" customWidth="1"/>
    <col min="1542" max="1542" width="23.85546875" style="781" customWidth="1"/>
    <col min="1543" max="1543" width="18" style="781" customWidth="1"/>
    <col min="1544" max="1544" width="19.140625" style="781" customWidth="1"/>
    <col min="1545" max="1545" width="16.5703125" style="781" bestFit="1" customWidth="1"/>
    <col min="1546" max="1546" width="11.28515625" style="781" bestFit="1" customWidth="1"/>
    <col min="1547" max="1547" width="16.5703125" style="781" bestFit="1" customWidth="1"/>
    <col min="1548" max="1548" width="15" style="781" bestFit="1" customWidth="1"/>
    <col min="1549" max="1792" width="9.140625" style="781"/>
    <col min="1793" max="1793" width="8.42578125" style="781" customWidth="1"/>
    <col min="1794" max="1794" width="54.85546875" style="781" customWidth="1"/>
    <col min="1795" max="1795" width="3.85546875" style="781" customWidth="1"/>
    <col min="1796" max="1796" width="25.140625" style="781" customWidth="1"/>
    <col min="1797" max="1797" width="4.28515625" style="781" customWidth="1"/>
    <col min="1798" max="1798" width="23.85546875" style="781" customWidth="1"/>
    <col min="1799" max="1799" width="18" style="781" customWidth="1"/>
    <col min="1800" max="1800" width="19.140625" style="781" customWidth="1"/>
    <col min="1801" max="1801" width="16.5703125" style="781" bestFit="1" customWidth="1"/>
    <col min="1802" max="1802" width="11.28515625" style="781" bestFit="1" customWidth="1"/>
    <col min="1803" max="1803" width="16.5703125" style="781" bestFit="1" customWidth="1"/>
    <col min="1804" max="1804" width="15" style="781" bestFit="1" customWidth="1"/>
    <col min="1805" max="2048" width="9.140625" style="781"/>
    <col min="2049" max="2049" width="8.42578125" style="781" customWidth="1"/>
    <col min="2050" max="2050" width="54.85546875" style="781" customWidth="1"/>
    <col min="2051" max="2051" width="3.85546875" style="781" customWidth="1"/>
    <col min="2052" max="2052" width="25.140625" style="781" customWidth="1"/>
    <col min="2053" max="2053" width="4.28515625" style="781" customWidth="1"/>
    <col min="2054" max="2054" width="23.85546875" style="781" customWidth="1"/>
    <col min="2055" max="2055" width="18" style="781" customWidth="1"/>
    <col min="2056" max="2056" width="19.140625" style="781" customWidth="1"/>
    <col min="2057" max="2057" width="16.5703125" style="781" bestFit="1" customWidth="1"/>
    <col min="2058" max="2058" width="11.28515625" style="781" bestFit="1" customWidth="1"/>
    <col min="2059" max="2059" width="16.5703125" style="781" bestFit="1" customWidth="1"/>
    <col min="2060" max="2060" width="15" style="781" bestFit="1" customWidth="1"/>
    <col min="2061" max="2304" width="9.140625" style="781"/>
    <col min="2305" max="2305" width="8.42578125" style="781" customWidth="1"/>
    <col min="2306" max="2306" width="54.85546875" style="781" customWidth="1"/>
    <col min="2307" max="2307" width="3.85546875" style="781" customWidth="1"/>
    <col min="2308" max="2308" width="25.140625" style="781" customWidth="1"/>
    <col min="2309" max="2309" width="4.28515625" style="781" customWidth="1"/>
    <col min="2310" max="2310" width="23.85546875" style="781" customWidth="1"/>
    <col min="2311" max="2311" width="18" style="781" customWidth="1"/>
    <col min="2312" max="2312" width="19.140625" style="781" customWidth="1"/>
    <col min="2313" max="2313" width="16.5703125" style="781" bestFit="1" customWidth="1"/>
    <col min="2314" max="2314" width="11.28515625" style="781" bestFit="1" customWidth="1"/>
    <col min="2315" max="2315" width="16.5703125" style="781" bestFit="1" customWidth="1"/>
    <col min="2316" max="2316" width="15" style="781" bestFit="1" customWidth="1"/>
    <col min="2317" max="2560" width="9.140625" style="781"/>
    <col min="2561" max="2561" width="8.42578125" style="781" customWidth="1"/>
    <col min="2562" max="2562" width="54.85546875" style="781" customWidth="1"/>
    <col min="2563" max="2563" width="3.85546875" style="781" customWidth="1"/>
    <col min="2564" max="2564" width="25.140625" style="781" customWidth="1"/>
    <col min="2565" max="2565" width="4.28515625" style="781" customWidth="1"/>
    <col min="2566" max="2566" width="23.85546875" style="781" customWidth="1"/>
    <col min="2567" max="2567" width="18" style="781" customWidth="1"/>
    <col min="2568" max="2568" width="19.140625" style="781" customWidth="1"/>
    <col min="2569" max="2569" width="16.5703125" style="781" bestFit="1" customWidth="1"/>
    <col min="2570" max="2570" width="11.28515625" style="781" bestFit="1" customWidth="1"/>
    <col min="2571" max="2571" width="16.5703125" style="781" bestFit="1" customWidth="1"/>
    <col min="2572" max="2572" width="15" style="781" bestFit="1" customWidth="1"/>
    <col min="2573" max="2816" width="9.140625" style="781"/>
    <col min="2817" max="2817" width="8.42578125" style="781" customWidth="1"/>
    <col min="2818" max="2818" width="54.85546875" style="781" customWidth="1"/>
    <col min="2819" max="2819" width="3.85546875" style="781" customWidth="1"/>
    <col min="2820" max="2820" width="25.140625" style="781" customWidth="1"/>
    <col min="2821" max="2821" width="4.28515625" style="781" customWidth="1"/>
    <col min="2822" max="2822" width="23.85546875" style="781" customWidth="1"/>
    <col min="2823" max="2823" width="18" style="781" customWidth="1"/>
    <col min="2824" max="2824" width="19.140625" style="781" customWidth="1"/>
    <col min="2825" max="2825" width="16.5703125" style="781" bestFit="1" customWidth="1"/>
    <col min="2826" max="2826" width="11.28515625" style="781" bestFit="1" customWidth="1"/>
    <col min="2827" max="2827" width="16.5703125" style="781" bestFit="1" customWidth="1"/>
    <col min="2828" max="2828" width="15" style="781" bestFit="1" customWidth="1"/>
    <col min="2829" max="3072" width="9.140625" style="781"/>
    <col min="3073" max="3073" width="8.42578125" style="781" customWidth="1"/>
    <col min="3074" max="3074" width="54.85546875" style="781" customWidth="1"/>
    <col min="3075" max="3075" width="3.85546875" style="781" customWidth="1"/>
    <col min="3076" max="3076" width="25.140625" style="781" customWidth="1"/>
    <col min="3077" max="3077" width="4.28515625" style="781" customWidth="1"/>
    <col min="3078" max="3078" width="23.85546875" style="781" customWidth="1"/>
    <col min="3079" max="3079" width="18" style="781" customWidth="1"/>
    <col min="3080" max="3080" width="19.140625" style="781" customWidth="1"/>
    <col min="3081" max="3081" width="16.5703125" style="781" bestFit="1" customWidth="1"/>
    <col min="3082" max="3082" width="11.28515625" style="781" bestFit="1" customWidth="1"/>
    <col min="3083" max="3083" width="16.5703125" style="781" bestFit="1" customWidth="1"/>
    <col min="3084" max="3084" width="15" style="781" bestFit="1" customWidth="1"/>
    <col min="3085" max="3328" width="9.140625" style="781"/>
    <col min="3329" max="3329" width="8.42578125" style="781" customWidth="1"/>
    <col min="3330" max="3330" width="54.85546875" style="781" customWidth="1"/>
    <col min="3331" max="3331" width="3.85546875" style="781" customWidth="1"/>
    <col min="3332" max="3332" width="25.140625" style="781" customWidth="1"/>
    <col min="3333" max="3333" width="4.28515625" style="781" customWidth="1"/>
    <col min="3334" max="3334" width="23.85546875" style="781" customWidth="1"/>
    <col min="3335" max="3335" width="18" style="781" customWidth="1"/>
    <col min="3336" max="3336" width="19.140625" style="781" customWidth="1"/>
    <col min="3337" max="3337" width="16.5703125" style="781" bestFit="1" customWidth="1"/>
    <col min="3338" max="3338" width="11.28515625" style="781" bestFit="1" customWidth="1"/>
    <col min="3339" max="3339" width="16.5703125" style="781" bestFit="1" customWidth="1"/>
    <col min="3340" max="3340" width="15" style="781" bestFit="1" customWidth="1"/>
    <col min="3341" max="3584" width="9.140625" style="781"/>
    <col min="3585" max="3585" width="8.42578125" style="781" customWidth="1"/>
    <col min="3586" max="3586" width="54.85546875" style="781" customWidth="1"/>
    <col min="3587" max="3587" width="3.85546875" style="781" customWidth="1"/>
    <col min="3588" max="3588" width="25.140625" style="781" customWidth="1"/>
    <col min="3589" max="3589" width="4.28515625" style="781" customWidth="1"/>
    <col min="3590" max="3590" width="23.85546875" style="781" customWidth="1"/>
    <col min="3591" max="3591" width="18" style="781" customWidth="1"/>
    <col min="3592" max="3592" width="19.140625" style="781" customWidth="1"/>
    <col min="3593" max="3593" width="16.5703125" style="781" bestFit="1" customWidth="1"/>
    <col min="3594" max="3594" width="11.28515625" style="781" bestFit="1" customWidth="1"/>
    <col min="3595" max="3595" width="16.5703125" style="781" bestFit="1" customWidth="1"/>
    <col min="3596" max="3596" width="15" style="781" bestFit="1" customWidth="1"/>
    <col min="3597" max="3840" width="9.140625" style="781"/>
    <col min="3841" max="3841" width="8.42578125" style="781" customWidth="1"/>
    <col min="3842" max="3842" width="54.85546875" style="781" customWidth="1"/>
    <col min="3843" max="3843" width="3.85546875" style="781" customWidth="1"/>
    <col min="3844" max="3844" width="25.140625" style="781" customWidth="1"/>
    <col min="3845" max="3845" width="4.28515625" style="781" customWidth="1"/>
    <col min="3846" max="3846" width="23.85546875" style="781" customWidth="1"/>
    <col min="3847" max="3847" width="18" style="781" customWidth="1"/>
    <col min="3848" max="3848" width="19.140625" style="781" customWidth="1"/>
    <col min="3849" max="3849" width="16.5703125" style="781" bestFit="1" customWidth="1"/>
    <col min="3850" max="3850" width="11.28515625" style="781" bestFit="1" customWidth="1"/>
    <col min="3851" max="3851" width="16.5703125" style="781" bestFit="1" customWidth="1"/>
    <col min="3852" max="3852" width="15" style="781" bestFit="1" customWidth="1"/>
    <col min="3853" max="4096" width="9.140625" style="781"/>
    <col min="4097" max="4097" width="8.42578125" style="781" customWidth="1"/>
    <col min="4098" max="4098" width="54.85546875" style="781" customWidth="1"/>
    <col min="4099" max="4099" width="3.85546875" style="781" customWidth="1"/>
    <col min="4100" max="4100" width="25.140625" style="781" customWidth="1"/>
    <col min="4101" max="4101" width="4.28515625" style="781" customWidth="1"/>
    <col min="4102" max="4102" width="23.85546875" style="781" customWidth="1"/>
    <col min="4103" max="4103" width="18" style="781" customWidth="1"/>
    <col min="4104" max="4104" width="19.140625" style="781" customWidth="1"/>
    <col min="4105" max="4105" width="16.5703125" style="781" bestFit="1" customWidth="1"/>
    <col min="4106" max="4106" width="11.28515625" style="781" bestFit="1" customWidth="1"/>
    <col min="4107" max="4107" width="16.5703125" style="781" bestFit="1" customWidth="1"/>
    <col min="4108" max="4108" width="15" style="781" bestFit="1" customWidth="1"/>
    <col min="4109" max="4352" width="9.140625" style="781"/>
    <col min="4353" max="4353" width="8.42578125" style="781" customWidth="1"/>
    <col min="4354" max="4354" width="54.85546875" style="781" customWidth="1"/>
    <col min="4355" max="4355" width="3.85546875" style="781" customWidth="1"/>
    <col min="4356" max="4356" width="25.140625" style="781" customWidth="1"/>
    <col min="4357" max="4357" width="4.28515625" style="781" customWidth="1"/>
    <col min="4358" max="4358" width="23.85546875" style="781" customWidth="1"/>
    <col min="4359" max="4359" width="18" style="781" customWidth="1"/>
    <col min="4360" max="4360" width="19.140625" style="781" customWidth="1"/>
    <col min="4361" max="4361" width="16.5703125" style="781" bestFit="1" customWidth="1"/>
    <col min="4362" max="4362" width="11.28515625" style="781" bestFit="1" customWidth="1"/>
    <col min="4363" max="4363" width="16.5703125" style="781" bestFit="1" customWidth="1"/>
    <col min="4364" max="4364" width="15" style="781" bestFit="1" customWidth="1"/>
    <col min="4365" max="4608" width="9.140625" style="781"/>
    <col min="4609" max="4609" width="8.42578125" style="781" customWidth="1"/>
    <col min="4610" max="4610" width="54.85546875" style="781" customWidth="1"/>
    <col min="4611" max="4611" width="3.85546875" style="781" customWidth="1"/>
    <col min="4612" max="4612" width="25.140625" style="781" customWidth="1"/>
    <col min="4613" max="4613" width="4.28515625" style="781" customWidth="1"/>
    <col min="4614" max="4614" width="23.85546875" style="781" customWidth="1"/>
    <col min="4615" max="4615" width="18" style="781" customWidth="1"/>
    <col min="4616" max="4616" width="19.140625" style="781" customWidth="1"/>
    <col min="4617" max="4617" width="16.5703125" style="781" bestFit="1" customWidth="1"/>
    <col min="4618" max="4618" width="11.28515625" style="781" bestFit="1" customWidth="1"/>
    <col min="4619" max="4619" width="16.5703125" style="781" bestFit="1" customWidth="1"/>
    <col min="4620" max="4620" width="15" style="781" bestFit="1" customWidth="1"/>
    <col min="4621" max="4864" width="9.140625" style="781"/>
    <col min="4865" max="4865" width="8.42578125" style="781" customWidth="1"/>
    <col min="4866" max="4866" width="54.85546875" style="781" customWidth="1"/>
    <col min="4867" max="4867" width="3.85546875" style="781" customWidth="1"/>
    <col min="4868" max="4868" width="25.140625" style="781" customWidth="1"/>
    <col min="4869" max="4869" width="4.28515625" style="781" customWidth="1"/>
    <col min="4870" max="4870" width="23.85546875" style="781" customWidth="1"/>
    <col min="4871" max="4871" width="18" style="781" customWidth="1"/>
    <col min="4872" max="4872" width="19.140625" style="781" customWidth="1"/>
    <col min="4873" max="4873" width="16.5703125" style="781" bestFit="1" customWidth="1"/>
    <col min="4874" max="4874" width="11.28515625" style="781" bestFit="1" customWidth="1"/>
    <col min="4875" max="4875" width="16.5703125" style="781" bestFit="1" customWidth="1"/>
    <col min="4876" max="4876" width="15" style="781" bestFit="1" customWidth="1"/>
    <col min="4877" max="5120" width="9.140625" style="781"/>
    <col min="5121" max="5121" width="8.42578125" style="781" customWidth="1"/>
    <col min="5122" max="5122" width="54.85546875" style="781" customWidth="1"/>
    <col min="5123" max="5123" width="3.85546875" style="781" customWidth="1"/>
    <col min="5124" max="5124" width="25.140625" style="781" customWidth="1"/>
    <col min="5125" max="5125" width="4.28515625" style="781" customWidth="1"/>
    <col min="5126" max="5126" width="23.85546875" style="781" customWidth="1"/>
    <col min="5127" max="5127" width="18" style="781" customWidth="1"/>
    <col min="5128" max="5128" width="19.140625" style="781" customWidth="1"/>
    <col min="5129" max="5129" width="16.5703125" style="781" bestFit="1" customWidth="1"/>
    <col min="5130" max="5130" width="11.28515625" style="781" bestFit="1" customWidth="1"/>
    <col min="5131" max="5131" width="16.5703125" style="781" bestFit="1" customWidth="1"/>
    <col min="5132" max="5132" width="15" style="781" bestFit="1" customWidth="1"/>
    <col min="5133" max="5376" width="9.140625" style="781"/>
    <col min="5377" max="5377" width="8.42578125" style="781" customWidth="1"/>
    <col min="5378" max="5378" width="54.85546875" style="781" customWidth="1"/>
    <col min="5379" max="5379" width="3.85546875" style="781" customWidth="1"/>
    <col min="5380" max="5380" width="25.140625" style="781" customWidth="1"/>
    <col min="5381" max="5381" width="4.28515625" style="781" customWidth="1"/>
    <col min="5382" max="5382" width="23.85546875" style="781" customWidth="1"/>
    <col min="5383" max="5383" width="18" style="781" customWidth="1"/>
    <col min="5384" max="5384" width="19.140625" style="781" customWidth="1"/>
    <col min="5385" max="5385" width="16.5703125" style="781" bestFit="1" customWidth="1"/>
    <col min="5386" max="5386" width="11.28515625" style="781" bestFit="1" customWidth="1"/>
    <col min="5387" max="5387" width="16.5703125" style="781" bestFit="1" customWidth="1"/>
    <col min="5388" max="5388" width="15" style="781" bestFit="1" customWidth="1"/>
    <col min="5389" max="5632" width="9.140625" style="781"/>
    <col min="5633" max="5633" width="8.42578125" style="781" customWidth="1"/>
    <col min="5634" max="5634" width="54.85546875" style="781" customWidth="1"/>
    <col min="5635" max="5635" width="3.85546875" style="781" customWidth="1"/>
    <col min="5636" max="5636" width="25.140625" style="781" customWidth="1"/>
    <col min="5637" max="5637" width="4.28515625" style="781" customWidth="1"/>
    <col min="5638" max="5638" width="23.85546875" style="781" customWidth="1"/>
    <col min="5639" max="5639" width="18" style="781" customWidth="1"/>
    <col min="5640" max="5640" width="19.140625" style="781" customWidth="1"/>
    <col min="5641" max="5641" width="16.5703125" style="781" bestFit="1" customWidth="1"/>
    <col min="5642" max="5642" width="11.28515625" style="781" bestFit="1" customWidth="1"/>
    <col min="5643" max="5643" width="16.5703125" style="781" bestFit="1" customWidth="1"/>
    <col min="5644" max="5644" width="15" style="781" bestFit="1" customWidth="1"/>
    <col min="5645" max="5888" width="9.140625" style="781"/>
    <col min="5889" max="5889" width="8.42578125" style="781" customWidth="1"/>
    <col min="5890" max="5890" width="54.85546875" style="781" customWidth="1"/>
    <col min="5891" max="5891" width="3.85546875" style="781" customWidth="1"/>
    <col min="5892" max="5892" width="25.140625" style="781" customWidth="1"/>
    <col min="5893" max="5893" width="4.28515625" style="781" customWidth="1"/>
    <col min="5894" max="5894" width="23.85546875" style="781" customWidth="1"/>
    <col min="5895" max="5895" width="18" style="781" customWidth="1"/>
    <col min="5896" max="5896" width="19.140625" style="781" customWidth="1"/>
    <col min="5897" max="5897" width="16.5703125" style="781" bestFit="1" customWidth="1"/>
    <col min="5898" max="5898" width="11.28515625" style="781" bestFit="1" customWidth="1"/>
    <col min="5899" max="5899" width="16.5703125" style="781" bestFit="1" customWidth="1"/>
    <col min="5900" max="5900" width="15" style="781" bestFit="1" customWidth="1"/>
    <col min="5901" max="6144" width="9.140625" style="781"/>
    <col min="6145" max="6145" width="8.42578125" style="781" customWidth="1"/>
    <col min="6146" max="6146" width="54.85546875" style="781" customWidth="1"/>
    <col min="6147" max="6147" width="3.85546875" style="781" customWidth="1"/>
    <col min="6148" max="6148" width="25.140625" style="781" customWidth="1"/>
    <col min="6149" max="6149" width="4.28515625" style="781" customWidth="1"/>
    <col min="6150" max="6150" width="23.85546875" style="781" customWidth="1"/>
    <col min="6151" max="6151" width="18" style="781" customWidth="1"/>
    <col min="6152" max="6152" width="19.140625" style="781" customWidth="1"/>
    <col min="6153" max="6153" width="16.5703125" style="781" bestFit="1" customWidth="1"/>
    <col min="6154" max="6154" width="11.28515625" style="781" bestFit="1" customWidth="1"/>
    <col min="6155" max="6155" width="16.5703125" style="781" bestFit="1" customWidth="1"/>
    <col min="6156" max="6156" width="15" style="781" bestFit="1" customWidth="1"/>
    <col min="6157" max="6400" width="9.140625" style="781"/>
    <col min="6401" max="6401" width="8.42578125" style="781" customWidth="1"/>
    <col min="6402" max="6402" width="54.85546875" style="781" customWidth="1"/>
    <col min="6403" max="6403" width="3.85546875" style="781" customWidth="1"/>
    <col min="6404" max="6404" width="25.140625" style="781" customWidth="1"/>
    <col min="6405" max="6405" width="4.28515625" style="781" customWidth="1"/>
    <col min="6406" max="6406" width="23.85546875" style="781" customWidth="1"/>
    <col min="6407" max="6407" width="18" style="781" customWidth="1"/>
    <col min="6408" max="6408" width="19.140625" style="781" customWidth="1"/>
    <col min="6409" max="6409" width="16.5703125" style="781" bestFit="1" customWidth="1"/>
    <col min="6410" max="6410" width="11.28515625" style="781" bestFit="1" customWidth="1"/>
    <col min="6411" max="6411" width="16.5703125" style="781" bestFit="1" customWidth="1"/>
    <col min="6412" max="6412" width="15" style="781" bestFit="1" customWidth="1"/>
    <col min="6413" max="6656" width="9.140625" style="781"/>
    <col min="6657" max="6657" width="8.42578125" style="781" customWidth="1"/>
    <col min="6658" max="6658" width="54.85546875" style="781" customWidth="1"/>
    <col min="6659" max="6659" width="3.85546875" style="781" customWidth="1"/>
    <col min="6660" max="6660" width="25.140625" style="781" customWidth="1"/>
    <col min="6661" max="6661" width="4.28515625" style="781" customWidth="1"/>
    <col min="6662" max="6662" width="23.85546875" style="781" customWidth="1"/>
    <col min="6663" max="6663" width="18" style="781" customWidth="1"/>
    <col min="6664" max="6664" width="19.140625" style="781" customWidth="1"/>
    <col min="6665" max="6665" width="16.5703125" style="781" bestFit="1" customWidth="1"/>
    <col min="6666" max="6666" width="11.28515625" style="781" bestFit="1" customWidth="1"/>
    <col min="6667" max="6667" width="16.5703125" style="781" bestFit="1" customWidth="1"/>
    <col min="6668" max="6668" width="15" style="781" bestFit="1" customWidth="1"/>
    <col min="6669" max="6912" width="9.140625" style="781"/>
    <col min="6913" max="6913" width="8.42578125" style="781" customWidth="1"/>
    <col min="6914" max="6914" width="54.85546875" style="781" customWidth="1"/>
    <col min="6915" max="6915" width="3.85546875" style="781" customWidth="1"/>
    <col min="6916" max="6916" width="25.140625" style="781" customWidth="1"/>
    <col min="6917" max="6917" width="4.28515625" style="781" customWidth="1"/>
    <col min="6918" max="6918" width="23.85546875" style="781" customWidth="1"/>
    <col min="6919" max="6919" width="18" style="781" customWidth="1"/>
    <col min="6920" max="6920" width="19.140625" style="781" customWidth="1"/>
    <col min="6921" max="6921" width="16.5703125" style="781" bestFit="1" customWidth="1"/>
    <col min="6922" max="6922" width="11.28515625" style="781" bestFit="1" customWidth="1"/>
    <col min="6923" max="6923" width="16.5703125" style="781" bestFit="1" customWidth="1"/>
    <col min="6924" max="6924" width="15" style="781" bestFit="1" customWidth="1"/>
    <col min="6925" max="7168" width="9.140625" style="781"/>
    <col min="7169" max="7169" width="8.42578125" style="781" customWidth="1"/>
    <col min="7170" max="7170" width="54.85546875" style="781" customWidth="1"/>
    <col min="7171" max="7171" width="3.85546875" style="781" customWidth="1"/>
    <col min="7172" max="7172" width="25.140625" style="781" customWidth="1"/>
    <col min="7173" max="7173" width="4.28515625" style="781" customWidth="1"/>
    <col min="7174" max="7174" width="23.85546875" style="781" customWidth="1"/>
    <col min="7175" max="7175" width="18" style="781" customWidth="1"/>
    <col min="7176" max="7176" width="19.140625" style="781" customWidth="1"/>
    <col min="7177" max="7177" width="16.5703125" style="781" bestFit="1" customWidth="1"/>
    <col min="7178" max="7178" width="11.28515625" style="781" bestFit="1" customWidth="1"/>
    <col min="7179" max="7179" width="16.5703125" style="781" bestFit="1" customWidth="1"/>
    <col min="7180" max="7180" width="15" style="781" bestFit="1" customWidth="1"/>
    <col min="7181" max="7424" width="9.140625" style="781"/>
    <col min="7425" max="7425" width="8.42578125" style="781" customWidth="1"/>
    <col min="7426" max="7426" width="54.85546875" style="781" customWidth="1"/>
    <col min="7427" max="7427" width="3.85546875" style="781" customWidth="1"/>
    <col min="7428" max="7428" width="25.140625" style="781" customWidth="1"/>
    <col min="7429" max="7429" width="4.28515625" style="781" customWidth="1"/>
    <col min="7430" max="7430" width="23.85546875" style="781" customWidth="1"/>
    <col min="7431" max="7431" width="18" style="781" customWidth="1"/>
    <col min="7432" max="7432" width="19.140625" style="781" customWidth="1"/>
    <col min="7433" max="7433" width="16.5703125" style="781" bestFit="1" customWidth="1"/>
    <col min="7434" max="7434" width="11.28515625" style="781" bestFit="1" customWidth="1"/>
    <col min="7435" max="7435" width="16.5703125" style="781" bestFit="1" customWidth="1"/>
    <col min="7436" max="7436" width="15" style="781" bestFit="1" customWidth="1"/>
    <col min="7437" max="7680" width="9.140625" style="781"/>
    <col min="7681" max="7681" width="8.42578125" style="781" customWidth="1"/>
    <col min="7682" max="7682" width="54.85546875" style="781" customWidth="1"/>
    <col min="7683" max="7683" width="3.85546875" style="781" customWidth="1"/>
    <col min="7684" max="7684" width="25.140625" style="781" customWidth="1"/>
    <col min="7685" max="7685" width="4.28515625" style="781" customWidth="1"/>
    <col min="7686" max="7686" width="23.85546875" style="781" customWidth="1"/>
    <col min="7687" max="7687" width="18" style="781" customWidth="1"/>
    <col min="7688" max="7688" width="19.140625" style="781" customWidth="1"/>
    <col min="7689" max="7689" width="16.5703125" style="781" bestFit="1" customWidth="1"/>
    <col min="7690" max="7690" width="11.28515625" style="781" bestFit="1" customWidth="1"/>
    <col min="7691" max="7691" width="16.5703125" style="781" bestFit="1" customWidth="1"/>
    <col min="7692" max="7692" width="15" style="781" bestFit="1" customWidth="1"/>
    <col min="7693" max="7936" width="9.140625" style="781"/>
    <col min="7937" max="7937" width="8.42578125" style="781" customWidth="1"/>
    <col min="7938" max="7938" width="54.85546875" style="781" customWidth="1"/>
    <col min="7939" max="7939" width="3.85546875" style="781" customWidth="1"/>
    <col min="7940" max="7940" width="25.140625" style="781" customWidth="1"/>
    <col min="7941" max="7941" width="4.28515625" style="781" customWidth="1"/>
    <col min="7942" max="7942" width="23.85546875" style="781" customWidth="1"/>
    <col min="7943" max="7943" width="18" style="781" customWidth="1"/>
    <col min="7944" max="7944" width="19.140625" style="781" customWidth="1"/>
    <col min="7945" max="7945" width="16.5703125" style="781" bestFit="1" customWidth="1"/>
    <col min="7946" max="7946" width="11.28515625" style="781" bestFit="1" customWidth="1"/>
    <col min="7947" max="7947" width="16.5703125" style="781" bestFit="1" customWidth="1"/>
    <col min="7948" max="7948" width="15" style="781" bestFit="1" customWidth="1"/>
    <col min="7949" max="8192" width="9.140625" style="781"/>
    <col min="8193" max="8193" width="8.42578125" style="781" customWidth="1"/>
    <col min="8194" max="8194" width="54.85546875" style="781" customWidth="1"/>
    <col min="8195" max="8195" width="3.85546875" style="781" customWidth="1"/>
    <col min="8196" max="8196" width="25.140625" style="781" customWidth="1"/>
    <col min="8197" max="8197" width="4.28515625" style="781" customWidth="1"/>
    <col min="8198" max="8198" width="23.85546875" style="781" customWidth="1"/>
    <col min="8199" max="8199" width="18" style="781" customWidth="1"/>
    <col min="8200" max="8200" width="19.140625" style="781" customWidth="1"/>
    <col min="8201" max="8201" width="16.5703125" style="781" bestFit="1" customWidth="1"/>
    <col min="8202" max="8202" width="11.28515625" style="781" bestFit="1" customWidth="1"/>
    <col min="8203" max="8203" width="16.5703125" style="781" bestFit="1" customWidth="1"/>
    <col min="8204" max="8204" width="15" style="781" bestFit="1" customWidth="1"/>
    <col min="8205" max="8448" width="9.140625" style="781"/>
    <col min="8449" max="8449" width="8.42578125" style="781" customWidth="1"/>
    <col min="8450" max="8450" width="54.85546875" style="781" customWidth="1"/>
    <col min="8451" max="8451" width="3.85546875" style="781" customWidth="1"/>
    <col min="8452" max="8452" width="25.140625" style="781" customWidth="1"/>
    <col min="8453" max="8453" width="4.28515625" style="781" customWidth="1"/>
    <col min="8454" max="8454" width="23.85546875" style="781" customWidth="1"/>
    <col min="8455" max="8455" width="18" style="781" customWidth="1"/>
    <col min="8456" max="8456" width="19.140625" style="781" customWidth="1"/>
    <col min="8457" max="8457" width="16.5703125" style="781" bestFit="1" customWidth="1"/>
    <col min="8458" max="8458" width="11.28515625" style="781" bestFit="1" customWidth="1"/>
    <col min="8459" max="8459" width="16.5703125" style="781" bestFit="1" customWidth="1"/>
    <col min="8460" max="8460" width="15" style="781" bestFit="1" customWidth="1"/>
    <col min="8461" max="8704" width="9.140625" style="781"/>
    <col min="8705" max="8705" width="8.42578125" style="781" customWidth="1"/>
    <col min="8706" max="8706" width="54.85546875" style="781" customWidth="1"/>
    <col min="8707" max="8707" width="3.85546875" style="781" customWidth="1"/>
    <col min="8708" max="8708" width="25.140625" style="781" customWidth="1"/>
    <col min="8709" max="8709" width="4.28515625" style="781" customWidth="1"/>
    <col min="8710" max="8710" width="23.85546875" style="781" customWidth="1"/>
    <col min="8711" max="8711" width="18" style="781" customWidth="1"/>
    <col min="8712" max="8712" width="19.140625" style="781" customWidth="1"/>
    <col min="8713" max="8713" width="16.5703125" style="781" bestFit="1" customWidth="1"/>
    <col min="8714" max="8714" width="11.28515625" style="781" bestFit="1" customWidth="1"/>
    <col min="8715" max="8715" width="16.5703125" style="781" bestFit="1" customWidth="1"/>
    <col min="8716" max="8716" width="15" style="781" bestFit="1" customWidth="1"/>
    <col min="8717" max="8960" width="9.140625" style="781"/>
    <col min="8961" max="8961" width="8.42578125" style="781" customWidth="1"/>
    <col min="8962" max="8962" width="54.85546875" style="781" customWidth="1"/>
    <col min="8963" max="8963" width="3.85546875" style="781" customWidth="1"/>
    <col min="8964" max="8964" width="25.140625" style="781" customWidth="1"/>
    <col min="8965" max="8965" width="4.28515625" style="781" customWidth="1"/>
    <col min="8966" max="8966" width="23.85546875" style="781" customWidth="1"/>
    <col min="8967" max="8967" width="18" style="781" customWidth="1"/>
    <col min="8968" max="8968" width="19.140625" style="781" customWidth="1"/>
    <col min="8969" max="8969" width="16.5703125" style="781" bestFit="1" customWidth="1"/>
    <col min="8970" max="8970" width="11.28515625" style="781" bestFit="1" customWidth="1"/>
    <col min="8971" max="8971" width="16.5703125" style="781" bestFit="1" customWidth="1"/>
    <col min="8972" max="8972" width="15" style="781" bestFit="1" customWidth="1"/>
    <col min="8973" max="9216" width="9.140625" style="781"/>
    <col min="9217" max="9217" width="8.42578125" style="781" customWidth="1"/>
    <col min="9218" max="9218" width="54.85546875" style="781" customWidth="1"/>
    <col min="9219" max="9219" width="3.85546875" style="781" customWidth="1"/>
    <col min="9220" max="9220" width="25.140625" style="781" customWidth="1"/>
    <col min="9221" max="9221" width="4.28515625" style="781" customWidth="1"/>
    <col min="9222" max="9222" width="23.85546875" style="781" customWidth="1"/>
    <col min="9223" max="9223" width="18" style="781" customWidth="1"/>
    <col min="9224" max="9224" width="19.140625" style="781" customWidth="1"/>
    <col min="9225" max="9225" width="16.5703125" style="781" bestFit="1" customWidth="1"/>
    <col min="9226" max="9226" width="11.28515625" style="781" bestFit="1" customWidth="1"/>
    <col min="9227" max="9227" width="16.5703125" style="781" bestFit="1" customWidth="1"/>
    <col min="9228" max="9228" width="15" style="781" bestFit="1" customWidth="1"/>
    <col min="9229" max="9472" width="9.140625" style="781"/>
    <col min="9473" max="9473" width="8.42578125" style="781" customWidth="1"/>
    <col min="9474" max="9474" width="54.85546875" style="781" customWidth="1"/>
    <col min="9475" max="9475" width="3.85546875" style="781" customWidth="1"/>
    <col min="9476" max="9476" width="25.140625" style="781" customWidth="1"/>
    <col min="9477" max="9477" width="4.28515625" style="781" customWidth="1"/>
    <col min="9478" max="9478" width="23.85546875" style="781" customWidth="1"/>
    <col min="9479" max="9479" width="18" style="781" customWidth="1"/>
    <col min="9480" max="9480" width="19.140625" style="781" customWidth="1"/>
    <col min="9481" max="9481" width="16.5703125" style="781" bestFit="1" customWidth="1"/>
    <col min="9482" max="9482" width="11.28515625" style="781" bestFit="1" customWidth="1"/>
    <col min="9483" max="9483" width="16.5703125" style="781" bestFit="1" customWidth="1"/>
    <col min="9484" max="9484" width="15" style="781" bestFit="1" customWidth="1"/>
    <col min="9485" max="9728" width="9.140625" style="781"/>
    <col min="9729" max="9729" width="8.42578125" style="781" customWidth="1"/>
    <col min="9730" max="9730" width="54.85546875" style="781" customWidth="1"/>
    <col min="9731" max="9731" width="3.85546875" style="781" customWidth="1"/>
    <col min="9732" max="9732" width="25.140625" style="781" customWidth="1"/>
    <col min="9733" max="9733" width="4.28515625" style="781" customWidth="1"/>
    <col min="9734" max="9734" width="23.85546875" style="781" customWidth="1"/>
    <col min="9735" max="9735" width="18" style="781" customWidth="1"/>
    <col min="9736" max="9736" width="19.140625" style="781" customWidth="1"/>
    <col min="9737" max="9737" width="16.5703125" style="781" bestFit="1" customWidth="1"/>
    <col min="9738" max="9738" width="11.28515625" style="781" bestFit="1" customWidth="1"/>
    <col min="9739" max="9739" width="16.5703125" style="781" bestFit="1" customWidth="1"/>
    <col min="9740" max="9740" width="15" style="781" bestFit="1" customWidth="1"/>
    <col min="9741" max="9984" width="9.140625" style="781"/>
    <col min="9985" max="9985" width="8.42578125" style="781" customWidth="1"/>
    <col min="9986" max="9986" width="54.85546875" style="781" customWidth="1"/>
    <col min="9987" max="9987" width="3.85546875" style="781" customWidth="1"/>
    <col min="9988" max="9988" width="25.140625" style="781" customWidth="1"/>
    <col min="9989" max="9989" width="4.28515625" style="781" customWidth="1"/>
    <col min="9990" max="9990" width="23.85546875" style="781" customWidth="1"/>
    <col min="9991" max="9991" width="18" style="781" customWidth="1"/>
    <col min="9992" max="9992" width="19.140625" style="781" customWidth="1"/>
    <col min="9993" max="9993" width="16.5703125" style="781" bestFit="1" customWidth="1"/>
    <col min="9994" max="9994" width="11.28515625" style="781" bestFit="1" customWidth="1"/>
    <col min="9995" max="9995" width="16.5703125" style="781" bestFit="1" customWidth="1"/>
    <col min="9996" max="9996" width="15" style="781" bestFit="1" customWidth="1"/>
    <col min="9997" max="10240" width="9.140625" style="781"/>
    <col min="10241" max="10241" width="8.42578125" style="781" customWidth="1"/>
    <col min="10242" max="10242" width="54.85546875" style="781" customWidth="1"/>
    <col min="10243" max="10243" width="3.85546875" style="781" customWidth="1"/>
    <col min="10244" max="10244" width="25.140625" style="781" customWidth="1"/>
    <col min="10245" max="10245" width="4.28515625" style="781" customWidth="1"/>
    <col min="10246" max="10246" width="23.85546875" style="781" customWidth="1"/>
    <col min="10247" max="10247" width="18" style="781" customWidth="1"/>
    <col min="10248" max="10248" width="19.140625" style="781" customWidth="1"/>
    <col min="10249" max="10249" width="16.5703125" style="781" bestFit="1" customWidth="1"/>
    <col min="10250" max="10250" width="11.28515625" style="781" bestFit="1" customWidth="1"/>
    <col min="10251" max="10251" width="16.5703125" style="781" bestFit="1" customWidth="1"/>
    <col min="10252" max="10252" width="15" style="781" bestFit="1" customWidth="1"/>
    <col min="10253" max="10496" width="9.140625" style="781"/>
    <col min="10497" max="10497" width="8.42578125" style="781" customWidth="1"/>
    <col min="10498" max="10498" width="54.85546875" style="781" customWidth="1"/>
    <col min="10499" max="10499" width="3.85546875" style="781" customWidth="1"/>
    <col min="10500" max="10500" width="25.140625" style="781" customWidth="1"/>
    <col min="10501" max="10501" width="4.28515625" style="781" customWidth="1"/>
    <col min="10502" max="10502" width="23.85546875" style="781" customWidth="1"/>
    <col min="10503" max="10503" width="18" style="781" customWidth="1"/>
    <col min="10504" max="10504" width="19.140625" style="781" customWidth="1"/>
    <col min="10505" max="10505" width="16.5703125" style="781" bestFit="1" customWidth="1"/>
    <col min="10506" max="10506" width="11.28515625" style="781" bestFit="1" customWidth="1"/>
    <col min="10507" max="10507" width="16.5703125" style="781" bestFit="1" customWidth="1"/>
    <col min="10508" max="10508" width="15" style="781" bestFit="1" customWidth="1"/>
    <col min="10509" max="10752" width="9.140625" style="781"/>
    <col min="10753" max="10753" width="8.42578125" style="781" customWidth="1"/>
    <col min="10754" max="10754" width="54.85546875" style="781" customWidth="1"/>
    <col min="10755" max="10755" width="3.85546875" style="781" customWidth="1"/>
    <col min="10756" max="10756" width="25.140625" style="781" customWidth="1"/>
    <col min="10757" max="10757" width="4.28515625" style="781" customWidth="1"/>
    <col min="10758" max="10758" width="23.85546875" style="781" customWidth="1"/>
    <col min="10759" max="10759" width="18" style="781" customWidth="1"/>
    <col min="10760" max="10760" width="19.140625" style="781" customWidth="1"/>
    <col min="10761" max="10761" width="16.5703125" style="781" bestFit="1" customWidth="1"/>
    <col min="10762" max="10762" width="11.28515625" style="781" bestFit="1" customWidth="1"/>
    <col min="10763" max="10763" width="16.5703125" style="781" bestFit="1" customWidth="1"/>
    <col min="10764" max="10764" width="15" style="781" bestFit="1" customWidth="1"/>
    <col min="10765" max="11008" width="9.140625" style="781"/>
    <col min="11009" max="11009" width="8.42578125" style="781" customWidth="1"/>
    <col min="11010" max="11010" width="54.85546875" style="781" customWidth="1"/>
    <col min="11011" max="11011" width="3.85546875" style="781" customWidth="1"/>
    <col min="11012" max="11012" width="25.140625" style="781" customWidth="1"/>
    <col min="11013" max="11013" width="4.28515625" style="781" customWidth="1"/>
    <col min="11014" max="11014" width="23.85546875" style="781" customWidth="1"/>
    <col min="11015" max="11015" width="18" style="781" customWidth="1"/>
    <col min="11016" max="11016" width="19.140625" style="781" customWidth="1"/>
    <col min="11017" max="11017" width="16.5703125" style="781" bestFit="1" customWidth="1"/>
    <col min="11018" max="11018" width="11.28515625" style="781" bestFit="1" customWidth="1"/>
    <col min="11019" max="11019" width="16.5703125" style="781" bestFit="1" customWidth="1"/>
    <col min="11020" max="11020" width="15" style="781" bestFit="1" customWidth="1"/>
    <col min="11021" max="11264" width="9.140625" style="781"/>
    <col min="11265" max="11265" width="8.42578125" style="781" customWidth="1"/>
    <col min="11266" max="11266" width="54.85546875" style="781" customWidth="1"/>
    <col min="11267" max="11267" width="3.85546875" style="781" customWidth="1"/>
    <col min="11268" max="11268" width="25.140625" style="781" customWidth="1"/>
    <col min="11269" max="11269" width="4.28515625" style="781" customWidth="1"/>
    <col min="11270" max="11270" width="23.85546875" style="781" customWidth="1"/>
    <col min="11271" max="11271" width="18" style="781" customWidth="1"/>
    <col min="11272" max="11272" width="19.140625" style="781" customWidth="1"/>
    <col min="11273" max="11273" width="16.5703125" style="781" bestFit="1" customWidth="1"/>
    <col min="11274" max="11274" width="11.28515625" style="781" bestFit="1" customWidth="1"/>
    <col min="11275" max="11275" width="16.5703125" style="781" bestFit="1" customWidth="1"/>
    <col min="11276" max="11276" width="15" style="781" bestFit="1" customWidth="1"/>
    <col min="11277" max="11520" width="9.140625" style="781"/>
    <col min="11521" max="11521" width="8.42578125" style="781" customWidth="1"/>
    <col min="11522" max="11522" width="54.85546875" style="781" customWidth="1"/>
    <col min="11523" max="11523" width="3.85546875" style="781" customWidth="1"/>
    <col min="11524" max="11524" width="25.140625" style="781" customWidth="1"/>
    <col min="11525" max="11525" width="4.28515625" style="781" customWidth="1"/>
    <col min="11526" max="11526" width="23.85546875" style="781" customWidth="1"/>
    <col min="11527" max="11527" width="18" style="781" customWidth="1"/>
    <col min="11528" max="11528" width="19.140625" style="781" customWidth="1"/>
    <col min="11529" max="11529" width="16.5703125" style="781" bestFit="1" customWidth="1"/>
    <col min="11530" max="11530" width="11.28515625" style="781" bestFit="1" customWidth="1"/>
    <col min="11531" max="11531" width="16.5703125" style="781" bestFit="1" customWidth="1"/>
    <col min="11532" max="11532" width="15" style="781" bestFit="1" customWidth="1"/>
    <col min="11533" max="11776" width="9.140625" style="781"/>
    <col min="11777" max="11777" width="8.42578125" style="781" customWidth="1"/>
    <col min="11778" max="11778" width="54.85546875" style="781" customWidth="1"/>
    <col min="11779" max="11779" width="3.85546875" style="781" customWidth="1"/>
    <col min="11780" max="11780" width="25.140625" style="781" customWidth="1"/>
    <col min="11781" max="11781" width="4.28515625" style="781" customWidth="1"/>
    <col min="11782" max="11782" width="23.85546875" style="781" customWidth="1"/>
    <col min="11783" max="11783" width="18" style="781" customWidth="1"/>
    <col min="11784" max="11784" width="19.140625" style="781" customWidth="1"/>
    <col min="11785" max="11785" width="16.5703125" style="781" bestFit="1" customWidth="1"/>
    <col min="11786" max="11786" width="11.28515625" style="781" bestFit="1" customWidth="1"/>
    <col min="11787" max="11787" width="16.5703125" style="781" bestFit="1" customWidth="1"/>
    <col min="11788" max="11788" width="15" style="781" bestFit="1" customWidth="1"/>
    <col min="11789" max="12032" width="9.140625" style="781"/>
    <col min="12033" max="12033" width="8.42578125" style="781" customWidth="1"/>
    <col min="12034" max="12034" width="54.85546875" style="781" customWidth="1"/>
    <col min="12035" max="12035" width="3.85546875" style="781" customWidth="1"/>
    <col min="12036" max="12036" width="25.140625" style="781" customWidth="1"/>
    <col min="12037" max="12037" width="4.28515625" style="781" customWidth="1"/>
    <col min="12038" max="12038" width="23.85546875" style="781" customWidth="1"/>
    <col min="12039" max="12039" width="18" style="781" customWidth="1"/>
    <col min="12040" max="12040" width="19.140625" style="781" customWidth="1"/>
    <col min="12041" max="12041" width="16.5703125" style="781" bestFit="1" customWidth="1"/>
    <col min="12042" max="12042" width="11.28515625" style="781" bestFit="1" customWidth="1"/>
    <col min="12043" max="12043" width="16.5703125" style="781" bestFit="1" customWidth="1"/>
    <col min="12044" max="12044" width="15" style="781" bestFit="1" customWidth="1"/>
    <col min="12045" max="12288" width="9.140625" style="781"/>
    <col min="12289" max="12289" width="8.42578125" style="781" customWidth="1"/>
    <col min="12290" max="12290" width="54.85546875" style="781" customWidth="1"/>
    <col min="12291" max="12291" width="3.85546875" style="781" customWidth="1"/>
    <col min="12292" max="12292" width="25.140625" style="781" customWidth="1"/>
    <col min="12293" max="12293" width="4.28515625" style="781" customWidth="1"/>
    <col min="12294" max="12294" width="23.85546875" style="781" customWidth="1"/>
    <col min="12295" max="12295" width="18" style="781" customWidth="1"/>
    <col min="12296" max="12296" width="19.140625" style="781" customWidth="1"/>
    <col min="12297" max="12297" width="16.5703125" style="781" bestFit="1" customWidth="1"/>
    <col min="12298" max="12298" width="11.28515625" style="781" bestFit="1" customWidth="1"/>
    <col min="12299" max="12299" width="16.5703125" style="781" bestFit="1" customWidth="1"/>
    <col min="12300" max="12300" width="15" style="781" bestFit="1" customWidth="1"/>
    <col min="12301" max="12544" width="9.140625" style="781"/>
    <col min="12545" max="12545" width="8.42578125" style="781" customWidth="1"/>
    <col min="12546" max="12546" width="54.85546875" style="781" customWidth="1"/>
    <col min="12547" max="12547" width="3.85546875" style="781" customWidth="1"/>
    <col min="12548" max="12548" width="25.140625" style="781" customWidth="1"/>
    <col min="12549" max="12549" width="4.28515625" style="781" customWidth="1"/>
    <col min="12550" max="12550" width="23.85546875" style="781" customWidth="1"/>
    <col min="12551" max="12551" width="18" style="781" customWidth="1"/>
    <col min="12552" max="12552" width="19.140625" style="781" customWidth="1"/>
    <col min="12553" max="12553" width="16.5703125" style="781" bestFit="1" customWidth="1"/>
    <col min="12554" max="12554" width="11.28515625" style="781" bestFit="1" customWidth="1"/>
    <col min="12555" max="12555" width="16.5703125" style="781" bestFit="1" customWidth="1"/>
    <col min="12556" max="12556" width="15" style="781" bestFit="1" customWidth="1"/>
    <col min="12557" max="12800" width="9.140625" style="781"/>
    <col min="12801" max="12801" width="8.42578125" style="781" customWidth="1"/>
    <col min="12802" max="12802" width="54.85546875" style="781" customWidth="1"/>
    <col min="12803" max="12803" width="3.85546875" style="781" customWidth="1"/>
    <col min="12804" max="12804" width="25.140625" style="781" customWidth="1"/>
    <col min="12805" max="12805" width="4.28515625" style="781" customWidth="1"/>
    <col min="12806" max="12806" width="23.85546875" style="781" customWidth="1"/>
    <col min="12807" max="12807" width="18" style="781" customWidth="1"/>
    <col min="12808" max="12808" width="19.140625" style="781" customWidth="1"/>
    <col min="12809" max="12809" width="16.5703125" style="781" bestFit="1" customWidth="1"/>
    <col min="12810" max="12810" width="11.28515625" style="781" bestFit="1" customWidth="1"/>
    <col min="12811" max="12811" width="16.5703125" style="781" bestFit="1" customWidth="1"/>
    <col min="12812" max="12812" width="15" style="781" bestFit="1" customWidth="1"/>
    <col min="12813" max="13056" width="9.140625" style="781"/>
    <col min="13057" max="13057" width="8.42578125" style="781" customWidth="1"/>
    <col min="13058" max="13058" width="54.85546875" style="781" customWidth="1"/>
    <col min="13059" max="13059" width="3.85546875" style="781" customWidth="1"/>
    <col min="13060" max="13060" width="25.140625" style="781" customWidth="1"/>
    <col min="13061" max="13061" width="4.28515625" style="781" customWidth="1"/>
    <col min="13062" max="13062" width="23.85546875" style="781" customWidth="1"/>
    <col min="13063" max="13063" width="18" style="781" customWidth="1"/>
    <col min="13064" max="13064" width="19.140625" style="781" customWidth="1"/>
    <col min="13065" max="13065" width="16.5703125" style="781" bestFit="1" customWidth="1"/>
    <col min="13066" max="13066" width="11.28515625" style="781" bestFit="1" customWidth="1"/>
    <col min="13067" max="13067" width="16.5703125" style="781" bestFit="1" customWidth="1"/>
    <col min="13068" max="13068" width="15" style="781" bestFit="1" customWidth="1"/>
    <col min="13069" max="13312" width="9.140625" style="781"/>
    <col min="13313" max="13313" width="8.42578125" style="781" customWidth="1"/>
    <col min="13314" max="13314" width="54.85546875" style="781" customWidth="1"/>
    <col min="13315" max="13315" width="3.85546875" style="781" customWidth="1"/>
    <col min="13316" max="13316" width="25.140625" style="781" customWidth="1"/>
    <col min="13317" max="13317" width="4.28515625" style="781" customWidth="1"/>
    <col min="13318" max="13318" width="23.85546875" style="781" customWidth="1"/>
    <col min="13319" max="13319" width="18" style="781" customWidth="1"/>
    <col min="13320" max="13320" width="19.140625" style="781" customWidth="1"/>
    <col min="13321" max="13321" width="16.5703125" style="781" bestFit="1" customWidth="1"/>
    <col min="13322" max="13322" width="11.28515625" style="781" bestFit="1" customWidth="1"/>
    <col min="13323" max="13323" width="16.5703125" style="781" bestFit="1" customWidth="1"/>
    <col min="13324" max="13324" width="15" style="781" bestFit="1" customWidth="1"/>
    <col min="13325" max="13568" width="9.140625" style="781"/>
    <col min="13569" max="13569" width="8.42578125" style="781" customWidth="1"/>
    <col min="13570" max="13570" width="54.85546875" style="781" customWidth="1"/>
    <col min="13571" max="13571" width="3.85546875" style="781" customWidth="1"/>
    <col min="13572" max="13572" width="25.140625" style="781" customWidth="1"/>
    <col min="13573" max="13573" width="4.28515625" style="781" customWidth="1"/>
    <col min="13574" max="13574" width="23.85546875" style="781" customWidth="1"/>
    <col min="13575" max="13575" width="18" style="781" customWidth="1"/>
    <col min="13576" max="13576" width="19.140625" style="781" customWidth="1"/>
    <col min="13577" max="13577" width="16.5703125" style="781" bestFit="1" customWidth="1"/>
    <col min="13578" max="13578" width="11.28515625" style="781" bestFit="1" customWidth="1"/>
    <col min="13579" max="13579" width="16.5703125" style="781" bestFit="1" customWidth="1"/>
    <col min="13580" max="13580" width="15" style="781" bestFit="1" customWidth="1"/>
    <col min="13581" max="13824" width="9.140625" style="781"/>
    <col min="13825" max="13825" width="8.42578125" style="781" customWidth="1"/>
    <col min="13826" max="13826" width="54.85546875" style="781" customWidth="1"/>
    <col min="13827" max="13827" width="3.85546875" style="781" customWidth="1"/>
    <col min="13828" max="13828" width="25.140625" style="781" customWidth="1"/>
    <col min="13829" max="13829" width="4.28515625" style="781" customWidth="1"/>
    <col min="13830" max="13830" width="23.85546875" style="781" customWidth="1"/>
    <col min="13831" max="13831" width="18" style="781" customWidth="1"/>
    <col min="13832" max="13832" width="19.140625" style="781" customWidth="1"/>
    <col min="13833" max="13833" width="16.5703125" style="781" bestFit="1" customWidth="1"/>
    <col min="13834" max="13834" width="11.28515625" style="781" bestFit="1" customWidth="1"/>
    <col min="13835" max="13835" width="16.5703125" style="781" bestFit="1" customWidth="1"/>
    <col min="13836" max="13836" width="15" style="781" bestFit="1" customWidth="1"/>
    <col min="13837" max="14080" width="9.140625" style="781"/>
    <col min="14081" max="14081" width="8.42578125" style="781" customWidth="1"/>
    <col min="14082" max="14082" width="54.85546875" style="781" customWidth="1"/>
    <col min="14083" max="14083" width="3.85546875" style="781" customWidth="1"/>
    <col min="14084" max="14084" width="25.140625" style="781" customWidth="1"/>
    <col min="14085" max="14085" width="4.28515625" style="781" customWidth="1"/>
    <col min="14086" max="14086" width="23.85546875" style="781" customWidth="1"/>
    <col min="14087" max="14087" width="18" style="781" customWidth="1"/>
    <col min="14088" max="14088" width="19.140625" style="781" customWidth="1"/>
    <col min="14089" max="14089" width="16.5703125" style="781" bestFit="1" customWidth="1"/>
    <col min="14090" max="14090" width="11.28515625" style="781" bestFit="1" customWidth="1"/>
    <col min="14091" max="14091" width="16.5703125" style="781" bestFit="1" customWidth="1"/>
    <col min="14092" max="14092" width="15" style="781" bestFit="1" customWidth="1"/>
    <col min="14093" max="14336" width="9.140625" style="781"/>
    <col min="14337" max="14337" width="8.42578125" style="781" customWidth="1"/>
    <col min="14338" max="14338" width="54.85546875" style="781" customWidth="1"/>
    <col min="14339" max="14339" width="3.85546875" style="781" customWidth="1"/>
    <col min="14340" max="14340" width="25.140625" style="781" customWidth="1"/>
    <col min="14341" max="14341" width="4.28515625" style="781" customWidth="1"/>
    <col min="14342" max="14342" width="23.85546875" style="781" customWidth="1"/>
    <col min="14343" max="14343" width="18" style="781" customWidth="1"/>
    <col min="14344" max="14344" width="19.140625" style="781" customWidth="1"/>
    <col min="14345" max="14345" width="16.5703125" style="781" bestFit="1" customWidth="1"/>
    <col min="14346" max="14346" width="11.28515625" style="781" bestFit="1" customWidth="1"/>
    <col min="14347" max="14347" width="16.5703125" style="781" bestFit="1" customWidth="1"/>
    <col min="14348" max="14348" width="15" style="781" bestFit="1" customWidth="1"/>
    <col min="14349" max="14592" width="9.140625" style="781"/>
    <col min="14593" max="14593" width="8.42578125" style="781" customWidth="1"/>
    <col min="14594" max="14594" width="54.85546875" style="781" customWidth="1"/>
    <col min="14595" max="14595" width="3.85546875" style="781" customWidth="1"/>
    <col min="14596" max="14596" width="25.140625" style="781" customWidth="1"/>
    <col min="14597" max="14597" width="4.28515625" style="781" customWidth="1"/>
    <col min="14598" max="14598" width="23.85546875" style="781" customWidth="1"/>
    <col min="14599" max="14599" width="18" style="781" customWidth="1"/>
    <col min="14600" max="14600" width="19.140625" style="781" customWidth="1"/>
    <col min="14601" max="14601" width="16.5703125" style="781" bestFit="1" customWidth="1"/>
    <col min="14602" max="14602" width="11.28515625" style="781" bestFit="1" customWidth="1"/>
    <col min="14603" max="14603" width="16.5703125" style="781" bestFit="1" customWidth="1"/>
    <col min="14604" max="14604" width="15" style="781" bestFit="1" customWidth="1"/>
    <col min="14605" max="14848" width="9.140625" style="781"/>
    <col min="14849" max="14849" width="8.42578125" style="781" customWidth="1"/>
    <col min="14850" max="14850" width="54.85546875" style="781" customWidth="1"/>
    <col min="14851" max="14851" width="3.85546875" style="781" customWidth="1"/>
    <col min="14852" max="14852" width="25.140625" style="781" customWidth="1"/>
    <col min="14853" max="14853" width="4.28515625" style="781" customWidth="1"/>
    <col min="14854" max="14854" width="23.85546875" style="781" customWidth="1"/>
    <col min="14855" max="14855" width="18" style="781" customWidth="1"/>
    <col min="14856" max="14856" width="19.140625" style="781" customWidth="1"/>
    <col min="14857" max="14857" width="16.5703125" style="781" bestFit="1" customWidth="1"/>
    <col min="14858" max="14858" width="11.28515625" style="781" bestFit="1" customWidth="1"/>
    <col min="14859" max="14859" width="16.5703125" style="781" bestFit="1" customWidth="1"/>
    <col min="14860" max="14860" width="15" style="781" bestFit="1" customWidth="1"/>
    <col min="14861" max="15104" width="9.140625" style="781"/>
    <col min="15105" max="15105" width="8.42578125" style="781" customWidth="1"/>
    <col min="15106" max="15106" width="54.85546875" style="781" customWidth="1"/>
    <col min="15107" max="15107" width="3.85546875" style="781" customWidth="1"/>
    <col min="15108" max="15108" width="25.140625" style="781" customWidth="1"/>
    <col min="15109" max="15109" width="4.28515625" style="781" customWidth="1"/>
    <col min="15110" max="15110" width="23.85546875" style="781" customWidth="1"/>
    <col min="15111" max="15111" width="18" style="781" customWidth="1"/>
    <col min="15112" max="15112" width="19.140625" style="781" customWidth="1"/>
    <col min="15113" max="15113" width="16.5703125" style="781" bestFit="1" customWidth="1"/>
    <col min="15114" max="15114" width="11.28515625" style="781" bestFit="1" customWidth="1"/>
    <col min="15115" max="15115" width="16.5703125" style="781" bestFit="1" customWidth="1"/>
    <col min="15116" max="15116" width="15" style="781" bestFit="1" customWidth="1"/>
    <col min="15117" max="15360" width="9.140625" style="781"/>
    <col min="15361" max="15361" width="8.42578125" style="781" customWidth="1"/>
    <col min="15362" max="15362" width="54.85546875" style="781" customWidth="1"/>
    <col min="15363" max="15363" width="3.85546875" style="781" customWidth="1"/>
    <col min="15364" max="15364" width="25.140625" style="781" customWidth="1"/>
    <col min="15365" max="15365" width="4.28515625" style="781" customWidth="1"/>
    <col min="15366" max="15366" width="23.85546875" style="781" customWidth="1"/>
    <col min="15367" max="15367" width="18" style="781" customWidth="1"/>
    <col min="15368" max="15368" width="19.140625" style="781" customWidth="1"/>
    <col min="15369" max="15369" width="16.5703125" style="781" bestFit="1" customWidth="1"/>
    <col min="15370" max="15370" width="11.28515625" style="781" bestFit="1" customWidth="1"/>
    <col min="15371" max="15371" width="16.5703125" style="781" bestFit="1" customWidth="1"/>
    <col min="15372" max="15372" width="15" style="781" bestFit="1" customWidth="1"/>
    <col min="15373" max="15616" width="9.140625" style="781"/>
    <col min="15617" max="15617" width="8.42578125" style="781" customWidth="1"/>
    <col min="15618" max="15618" width="54.85546875" style="781" customWidth="1"/>
    <col min="15619" max="15619" width="3.85546875" style="781" customWidth="1"/>
    <col min="15620" max="15620" width="25.140625" style="781" customWidth="1"/>
    <col min="15621" max="15621" width="4.28515625" style="781" customWidth="1"/>
    <col min="15622" max="15622" width="23.85546875" style="781" customWidth="1"/>
    <col min="15623" max="15623" width="18" style="781" customWidth="1"/>
    <col min="15624" max="15624" width="19.140625" style="781" customWidth="1"/>
    <col min="15625" max="15625" width="16.5703125" style="781" bestFit="1" customWidth="1"/>
    <col min="15626" max="15626" width="11.28515625" style="781" bestFit="1" customWidth="1"/>
    <col min="15627" max="15627" width="16.5703125" style="781" bestFit="1" customWidth="1"/>
    <col min="15628" max="15628" width="15" style="781" bestFit="1" customWidth="1"/>
    <col min="15629" max="15872" width="9.140625" style="781"/>
    <col min="15873" max="15873" width="8.42578125" style="781" customWidth="1"/>
    <col min="15874" max="15874" width="54.85546875" style="781" customWidth="1"/>
    <col min="15875" max="15875" width="3.85546875" style="781" customWidth="1"/>
    <col min="15876" max="15876" width="25.140625" style="781" customWidth="1"/>
    <col min="15877" max="15877" width="4.28515625" style="781" customWidth="1"/>
    <col min="15878" max="15878" width="23.85546875" style="781" customWidth="1"/>
    <col min="15879" max="15879" width="18" style="781" customWidth="1"/>
    <col min="15880" max="15880" width="19.140625" style="781" customWidth="1"/>
    <col min="15881" max="15881" width="16.5703125" style="781" bestFit="1" customWidth="1"/>
    <col min="15882" max="15882" width="11.28515625" style="781" bestFit="1" customWidth="1"/>
    <col min="15883" max="15883" width="16.5703125" style="781" bestFit="1" customWidth="1"/>
    <col min="15884" max="15884" width="15" style="781" bestFit="1" customWidth="1"/>
    <col min="15885" max="16128" width="9.140625" style="781"/>
    <col min="16129" max="16129" width="8.42578125" style="781" customWidth="1"/>
    <col min="16130" max="16130" width="54.85546875" style="781" customWidth="1"/>
    <col min="16131" max="16131" width="3.85546875" style="781" customWidth="1"/>
    <col min="16132" max="16132" width="25.140625" style="781" customWidth="1"/>
    <col min="16133" max="16133" width="4.28515625" style="781" customWidth="1"/>
    <col min="16134" max="16134" width="23.85546875" style="781" customWidth="1"/>
    <col min="16135" max="16135" width="18" style="781" customWidth="1"/>
    <col min="16136" max="16136" width="19.140625" style="781" customWidth="1"/>
    <col min="16137" max="16137" width="16.5703125" style="781" bestFit="1" customWidth="1"/>
    <col min="16138" max="16138" width="11.28515625" style="781" bestFit="1" customWidth="1"/>
    <col min="16139" max="16139" width="16.5703125" style="781" bestFit="1" customWidth="1"/>
    <col min="16140" max="16140" width="15" style="781" bestFit="1" customWidth="1"/>
    <col min="16141" max="16384" width="9.140625" style="781"/>
  </cols>
  <sheetData>
    <row r="1" spans="1:256" ht="16.5">
      <c r="A1" s="780"/>
      <c r="B1" s="1089" t="s">
        <v>481</v>
      </c>
      <c r="C1" s="1090"/>
      <c r="D1" s="1090"/>
      <c r="E1" s="1090"/>
      <c r="F1" s="1091"/>
    </row>
    <row r="2" spans="1:256" ht="16.5">
      <c r="A2" s="782"/>
      <c r="B2" s="783"/>
      <c r="C2" s="784"/>
      <c r="D2" s="784"/>
      <c r="E2" s="784"/>
      <c r="F2" s="785"/>
    </row>
    <row r="3" spans="1:256" ht="16.5">
      <c r="A3" s="782"/>
      <c r="B3" s="786"/>
      <c r="C3" s="786"/>
      <c r="D3" s="1092" t="s">
        <v>482</v>
      </c>
      <c r="E3" s="1092"/>
      <c r="F3" s="1093"/>
    </row>
    <row r="4" spans="1:256" ht="16.5">
      <c r="A4" s="1094" t="s">
        <v>483</v>
      </c>
      <c r="B4" s="1095"/>
      <c r="C4" s="787"/>
      <c r="D4" s="1095"/>
      <c r="E4" s="1095"/>
      <c r="F4" s="1096"/>
      <c r="G4" s="788"/>
      <c r="H4" s="788"/>
      <c r="I4" s="788"/>
      <c r="J4" s="788"/>
      <c r="K4" s="788"/>
      <c r="L4" s="788"/>
    </row>
    <row r="5" spans="1:256" ht="22.5" customHeight="1">
      <c r="A5" s="789" t="s">
        <v>484</v>
      </c>
      <c r="B5" s="790" t="s">
        <v>485</v>
      </c>
      <c r="C5" s="791"/>
      <c r="D5" s="792" t="s">
        <v>486</v>
      </c>
      <c r="E5" s="1097" t="s">
        <v>487</v>
      </c>
      <c r="F5" s="1098"/>
      <c r="H5" s="788"/>
    </row>
    <row r="6" spans="1:256" ht="54" customHeight="1">
      <c r="A6" s="793">
        <v>1</v>
      </c>
      <c r="B6" s="794" t="s">
        <v>488</v>
      </c>
      <c r="C6" s="795"/>
      <c r="D6" s="796">
        <f>'Sch-1'!N227</f>
        <v>0</v>
      </c>
      <c r="E6" s="795"/>
      <c r="F6" s="797">
        <f>ROUND('Sch-1'!W227,0)</f>
        <v>0</v>
      </c>
      <c r="G6" s="798"/>
      <c r="H6" s="799"/>
      <c r="I6" s="800"/>
      <c r="J6" s="788"/>
      <c r="K6" s="788"/>
    </row>
    <row r="7" spans="1:256" ht="45" customHeight="1">
      <c r="A7" s="801">
        <v>2</v>
      </c>
      <c r="B7" s="794" t="s">
        <v>489</v>
      </c>
      <c r="C7" s="795"/>
      <c r="D7" s="802">
        <f>'Sch-2'!J226</f>
        <v>0</v>
      </c>
      <c r="E7" s="795"/>
      <c r="F7" s="797">
        <f>ROUND('Sch-2'!L226,0)</f>
        <v>0</v>
      </c>
      <c r="G7" s="803"/>
      <c r="H7" s="788"/>
      <c r="J7" s="788"/>
      <c r="K7" s="788"/>
    </row>
    <row r="8" spans="1:256" ht="35.25" customHeight="1">
      <c r="A8" s="804">
        <v>3</v>
      </c>
      <c r="B8" s="794" t="s">
        <v>490</v>
      </c>
      <c r="C8" s="795"/>
      <c r="D8" s="802">
        <f>'Sch-3'!P219</f>
        <v>0</v>
      </c>
      <c r="E8" s="795"/>
      <c r="F8" s="805">
        <f>ROUND('Sch-3'!X219,0)</f>
        <v>0</v>
      </c>
      <c r="G8" s="803"/>
      <c r="H8" s="788"/>
      <c r="J8" s="788"/>
      <c r="K8" s="788"/>
    </row>
    <row r="9" spans="1:256" ht="30.75" customHeight="1">
      <c r="A9" s="806">
        <v>4</v>
      </c>
      <c r="B9" s="794" t="s">
        <v>491</v>
      </c>
      <c r="C9" s="795"/>
      <c r="D9" s="802" t="s">
        <v>339</v>
      </c>
      <c r="E9" s="795" t="s">
        <v>492</v>
      </c>
      <c r="F9" s="805" t="str">
        <f>D9</f>
        <v>Not Applicable</v>
      </c>
      <c r="G9" s="807"/>
      <c r="H9" s="788"/>
      <c r="J9" s="788"/>
      <c r="K9" s="788"/>
    </row>
    <row r="10" spans="1:256" ht="31.5" customHeight="1">
      <c r="A10" s="808">
        <v>5</v>
      </c>
      <c r="B10" s="809" t="s">
        <v>493</v>
      </c>
      <c r="C10" s="795"/>
      <c r="D10" s="810">
        <f>SUM(D6:D9)</f>
        <v>0</v>
      </c>
      <c r="E10" s="795"/>
      <c r="F10" s="811">
        <f>SUM(F6:F9)</f>
        <v>0</v>
      </c>
      <c r="G10" s="812"/>
      <c r="H10" s="813"/>
      <c r="I10" s="814"/>
      <c r="J10" s="813"/>
      <c r="K10" s="813"/>
      <c r="L10" s="815"/>
      <c r="M10" s="815"/>
      <c r="N10" s="815"/>
      <c r="O10" s="815"/>
      <c r="P10" s="815"/>
      <c r="Q10" s="815"/>
      <c r="R10" s="815"/>
      <c r="S10" s="815"/>
      <c r="T10" s="815"/>
      <c r="U10" s="815"/>
      <c r="V10" s="815"/>
      <c r="W10" s="815"/>
      <c r="X10" s="815"/>
      <c r="Y10" s="815"/>
      <c r="Z10" s="815"/>
      <c r="AA10" s="815"/>
      <c r="AB10" s="815"/>
      <c r="AC10" s="815"/>
      <c r="AD10" s="815"/>
      <c r="AE10" s="815"/>
      <c r="AF10" s="815"/>
      <c r="AG10" s="815"/>
      <c r="AH10" s="815"/>
      <c r="AI10" s="815"/>
      <c r="AJ10" s="815"/>
      <c r="AK10" s="815"/>
      <c r="AL10" s="815"/>
      <c r="AM10" s="815"/>
      <c r="AN10" s="815"/>
      <c r="AO10" s="815"/>
      <c r="AP10" s="815"/>
      <c r="AQ10" s="815"/>
      <c r="AR10" s="815"/>
      <c r="AS10" s="815"/>
      <c r="AT10" s="815"/>
      <c r="AU10" s="815"/>
      <c r="AV10" s="815"/>
      <c r="AW10" s="815"/>
      <c r="AX10" s="815"/>
      <c r="AY10" s="815"/>
      <c r="AZ10" s="815"/>
      <c r="BA10" s="815"/>
      <c r="BB10" s="815"/>
      <c r="BC10" s="815"/>
      <c r="BD10" s="815"/>
      <c r="BE10" s="815"/>
      <c r="BF10" s="815"/>
      <c r="BG10" s="815"/>
      <c r="BH10" s="815"/>
      <c r="BI10" s="815"/>
      <c r="BJ10" s="815"/>
      <c r="BK10" s="815"/>
      <c r="BL10" s="815"/>
      <c r="BM10" s="815"/>
      <c r="BN10" s="815"/>
      <c r="BO10" s="815"/>
      <c r="BP10" s="815"/>
      <c r="BQ10" s="815"/>
      <c r="BR10" s="815"/>
      <c r="BS10" s="815"/>
      <c r="BT10" s="815"/>
      <c r="BU10" s="815"/>
      <c r="BV10" s="815"/>
      <c r="BW10" s="815"/>
      <c r="BX10" s="815"/>
      <c r="BY10" s="815"/>
      <c r="BZ10" s="815"/>
      <c r="CA10" s="815"/>
      <c r="CB10" s="815"/>
      <c r="CC10" s="815"/>
      <c r="CD10" s="815"/>
      <c r="CE10" s="815"/>
      <c r="CF10" s="815"/>
      <c r="CG10" s="815"/>
      <c r="CH10" s="815"/>
      <c r="CI10" s="815"/>
      <c r="CJ10" s="815"/>
      <c r="CK10" s="815"/>
      <c r="CL10" s="815"/>
      <c r="CM10" s="815"/>
      <c r="CN10" s="815"/>
      <c r="CO10" s="815"/>
      <c r="CP10" s="815"/>
      <c r="CQ10" s="815"/>
      <c r="CR10" s="815"/>
      <c r="CS10" s="815"/>
      <c r="CT10" s="815"/>
      <c r="CU10" s="815"/>
      <c r="CV10" s="815"/>
      <c r="CW10" s="815"/>
      <c r="CX10" s="815"/>
      <c r="CY10" s="815"/>
      <c r="CZ10" s="815"/>
      <c r="DA10" s="815"/>
      <c r="DB10" s="815"/>
      <c r="DC10" s="815"/>
      <c r="DD10" s="815"/>
      <c r="DE10" s="815"/>
      <c r="DF10" s="815"/>
      <c r="DG10" s="815"/>
      <c r="DH10" s="815"/>
      <c r="DI10" s="815"/>
      <c r="DJ10" s="815"/>
      <c r="DK10" s="815"/>
      <c r="DL10" s="815"/>
      <c r="DM10" s="815"/>
      <c r="DN10" s="815"/>
      <c r="DO10" s="815"/>
      <c r="DP10" s="815"/>
      <c r="DQ10" s="815"/>
      <c r="DR10" s="815"/>
      <c r="DS10" s="815"/>
      <c r="DT10" s="815"/>
      <c r="DU10" s="815"/>
      <c r="DV10" s="815"/>
      <c r="DW10" s="815"/>
      <c r="DX10" s="815"/>
      <c r="DY10" s="815"/>
      <c r="DZ10" s="815"/>
      <c r="EA10" s="815"/>
      <c r="EB10" s="815"/>
      <c r="EC10" s="815"/>
      <c r="ED10" s="815"/>
      <c r="EE10" s="815"/>
      <c r="EF10" s="815"/>
      <c r="EG10" s="815"/>
      <c r="EH10" s="815"/>
      <c r="EI10" s="815"/>
      <c r="EJ10" s="815"/>
      <c r="EK10" s="815"/>
      <c r="EL10" s="815"/>
      <c r="EM10" s="815"/>
      <c r="EN10" s="815"/>
      <c r="EO10" s="815"/>
      <c r="EP10" s="815"/>
      <c r="EQ10" s="815"/>
      <c r="ER10" s="815"/>
      <c r="ES10" s="815"/>
      <c r="ET10" s="815"/>
      <c r="EU10" s="815"/>
      <c r="EV10" s="815"/>
      <c r="EW10" s="815"/>
      <c r="EX10" s="815"/>
      <c r="EY10" s="815"/>
      <c r="EZ10" s="815"/>
      <c r="FA10" s="815"/>
      <c r="FB10" s="815"/>
      <c r="FC10" s="815"/>
      <c r="FD10" s="815"/>
      <c r="FE10" s="815"/>
      <c r="FF10" s="815"/>
      <c r="FG10" s="815"/>
      <c r="FH10" s="815"/>
      <c r="FI10" s="815"/>
      <c r="FJ10" s="815"/>
      <c r="FK10" s="815"/>
      <c r="FL10" s="815"/>
      <c r="FM10" s="815"/>
      <c r="FN10" s="815"/>
      <c r="FO10" s="815"/>
      <c r="FP10" s="815"/>
      <c r="FQ10" s="815"/>
      <c r="FR10" s="815"/>
      <c r="FS10" s="815"/>
      <c r="FT10" s="815"/>
      <c r="FU10" s="815"/>
      <c r="FV10" s="815"/>
      <c r="FW10" s="815"/>
      <c r="FX10" s="815"/>
      <c r="FY10" s="815"/>
      <c r="FZ10" s="815"/>
      <c r="GA10" s="815"/>
      <c r="GB10" s="815"/>
      <c r="GC10" s="815"/>
      <c r="GD10" s="815"/>
      <c r="GE10" s="815"/>
      <c r="GF10" s="815"/>
      <c r="GG10" s="815"/>
      <c r="GH10" s="815"/>
      <c r="GI10" s="815"/>
      <c r="GJ10" s="815"/>
      <c r="GK10" s="815"/>
      <c r="GL10" s="815"/>
      <c r="GM10" s="815"/>
      <c r="GN10" s="815"/>
      <c r="GO10" s="815"/>
      <c r="GP10" s="815"/>
      <c r="GQ10" s="815"/>
      <c r="GR10" s="815"/>
      <c r="GS10" s="815"/>
      <c r="GT10" s="815"/>
      <c r="GU10" s="815"/>
      <c r="GV10" s="815"/>
      <c r="GW10" s="815"/>
      <c r="GX10" s="815"/>
      <c r="GY10" s="815"/>
      <c r="GZ10" s="815"/>
      <c r="HA10" s="815"/>
      <c r="HB10" s="815"/>
      <c r="HC10" s="815"/>
      <c r="HD10" s="815"/>
      <c r="HE10" s="815"/>
      <c r="HF10" s="815"/>
      <c r="HG10" s="815"/>
      <c r="HH10" s="815"/>
      <c r="HI10" s="815"/>
      <c r="HJ10" s="815"/>
      <c r="HK10" s="815"/>
      <c r="HL10" s="815"/>
      <c r="HM10" s="815"/>
      <c r="HN10" s="815"/>
      <c r="HO10" s="815"/>
      <c r="HP10" s="815"/>
      <c r="HQ10" s="815"/>
      <c r="HR10" s="815"/>
      <c r="HS10" s="815"/>
      <c r="HT10" s="815"/>
      <c r="HU10" s="815"/>
      <c r="HV10" s="815"/>
      <c r="HW10" s="815"/>
      <c r="HX10" s="815"/>
      <c r="HY10" s="815"/>
      <c r="HZ10" s="815"/>
      <c r="IA10" s="815"/>
      <c r="IB10" s="815"/>
      <c r="IC10" s="815"/>
      <c r="ID10" s="815"/>
      <c r="IE10" s="815"/>
      <c r="IF10" s="815"/>
      <c r="IG10" s="815"/>
      <c r="IH10" s="815"/>
      <c r="II10" s="815"/>
      <c r="IJ10" s="815"/>
      <c r="IK10" s="815"/>
      <c r="IL10" s="815"/>
      <c r="IM10" s="815"/>
      <c r="IN10" s="815"/>
      <c r="IO10" s="815"/>
      <c r="IP10" s="815"/>
      <c r="IQ10" s="815"/>
      <c r="IR10" s="815"/>
      <c r="IS10" s="815"/>
      <c r="IT10" s="815"/>
      <c r="IU10" s="815"/>
      <c r="IV10" s="815"/>
    </row>
    <row r="11" spans="1:256" ht="25.5" customHeight="1">
      <c r="A11" s="793">
        <v>6</v>
      </c>
      <c r="B11" s="794" t="s">
        <v>494</v>
      </c>
      <c r="C11" s="816"/>
      <c r="D11" s="817" t="s">
        <v>495</v>
      </c>
      <c r="E11" s="816"/>
      <c r="F11" s="805" t="s">
        <v>495</v>
      </c>
      <c r="G11" s="807"/>
      <c r="H11" s="788"/>
      <c r="J11" s="788"/>
      <c r="K11" s="788"/>
    </row>
    <row r="12" spans="1:256" ht="24" customHeight="1">
      <c r="A12" s="818">
        <v>7</v>
      </c>
      <c r="B12" s="819" t="s">
        <v>493</v>
      </c>
      <c r="C12" s="820"/>
      <c r="D12" s="821">
        <f>D10</f>
        <v>0</v>
      </c>
      <c r="E12" s="820"/>
      <c r="F12" s="822">
        <f>F10</f>
        <v>0</v>
      </c>
      <c r="G12" s="823"/>
      <c r="H12" s="824"/>
      <c r="I12" s="823"/>
      <c r="J12" s="823"/>
      <c r="K12" s="823"/>
      <c r="L12" s="823"/>
      <c r="M12" s="823"/>
      <c r="N12" s="823"/>
      <c r="O12" s="823"/>
      <c r="P12" s="823"/>
      <c r="Q12" s="823"/>
      <c r="R12" s="823"/>
      <c r="S12" s="823"/>
      <c r="T12" s="823"/>
      <c r="U12" s="823"/>
      <c r="V12" s="823"/>
      <c r="W12" s="823"/>
      <c r="X12" s="823"/>
      <c r="Y12" s="823"/>
      <c r="Z12" s="823"/>
      <c r="AA12" s="823"/>
      <c r="AB12" s="823"/>
      <c r="AC12" s="823"/>
      <c r="AD12" s="823"/>
      <c r="AE12" s="823"/>
      <c r="AF12" s="823"/>
      <c r="AG12" s="823"/>
      <c r="AH12" s="823"/>
      <c r="AI12" s="823"/>
      <c r="AJ12" s="823"/>
      <c r="AK12" s="823"/>
      <c r="AL12" s="823"/>
      <c r="AM12" s="823"/>
      <c r="AN12" s="823"/>
      <c r="AO12" s="823"/>
      <c r="AP12" s="823"/>
      <c r="AQ12" s="823"/>
      <c r="AR12" s="823"/>
      <c r="AS12" s="823"/>
      <c r="AT12" s="823"/>
      <c r="AU12" s="823"/>
      <c r="AV12" s="823"/>
      <c r="AW12" s="823"/>
      <c r="AX12" s="823"/>
      <c r="AY12" s="823"/>
      <c r="AZ12" s="823"/>
      <c r="BA12" s="823"/>
      <c r="BB12" s="823"/>
      <c r="BC12" s="823"/>
      <c r="BD12" s="823"/>
      <c r="BE12" s="823"/>
      <c r="BF12" s="823"/>
      <c r="BG12" s="823"/>
      <c r="BH12" s="823"/>
      <c r="BI12" s="823"/>
      <c r="BJ12" s="823"/>
      <c r="BK12" s="823"/>
      <c r="BL12" s="823"/>
      <c r="BM12" s="823"/>
      <c r="BN12" s="823"/>
      <c r="BO12" s="823"/>
      <c r="BP12" s="823"/>
      <c r="BQ12" s="823"/>
      <c r="BR12" s="823"/>
      <c r="BS12" s="823"/>
      <c r="BT12" s="823"/>
      <c r="BU12" s="823"/>
      <c r="BV12" s="823"/>
      <c r="BW12" s="823"/>
      <c r="BX12" s="823"/>
      <c r="BY12" s="823"/>
      <c r="BZ12" s="823"/>
      <c r="CA12" s="823"/>
      <c r="CB12" s="823"/>
      <c r="CC12" s="823"/>
      <c r="CD12" s="823"/>
      <c r="CE12" s="823"/>
      <c r="CF12" s="823"/>
      <c r="CG12" s="823"/>
      <c r="CH12" s="823"/>
      <c r="CI12" s="823"/>
      <c r="CJ12" s="823"/>
      <c r="CK12" s="823"/>
      <c r="CL12" s="823"/>
      <c r="CM12" s="823"/>
      <c r="CN12" s="823"/>
      <c r="CO12" s="823"/>
      <c r="CP12" s="823"/>
      <c r="CQ12" s="823"/>
      <c r="CR12" s="823"/>
      <c r="CS12" s="823"/>
      <c r="CT12" s="823"/>
      <c r="CU12" s="823"/>
      <c r="CV12" s="823"/>
      <c r="CW12" s="823"/>
      <c r="CX12" s="823"/>
      <c r="CY12" s="823"/>
      <c r="CZ12" s="823"/>
      <c r="DA12" s="823"/>
      <c r="DB12" s="823"/>
      <c r="DC12" s="823"/>
      <c r="DD12" s="823"/>
      <c r="DE12" s="823"/>
      <c r="DF12" s="823"/>
      <c r="DG12" s="823"/>
      <c r="DH12" s="823"/>
      <c r="DI12" s="823"/>
      <c r="DJ12" s="823"/>
      <c r="DK12" s="823"/>
      <c r="DL12" s="823"/>
      <c r="DM12" s="823"/>
      <c r="DN12" s="823"/>
      <c r="DO12" s="823"/>
      <c r="DP12" s="823"/>
      <c r="DQ12" s="823"/>
      <c r="DR12" s="823"/>
      <c r="DS12" s="823"/>
      <c r="DT12" s="823"/>
      <c r="DU12" s="823"/>
      <c r="DV12" s="823"/>
      <c r="DW12" s="823"/>
      <c r="DX12" s="823"/>
      <c r="DY12" s="823"/>
      <c r="DZ12" s="823"/>
      <c r="EA12" s="823"/>
      <c r="EB12" s="823"/>
      <c r="EC12" s="823"/>
      <c r="ED12" s="823"/>
      <c r="EE12" s="823"/>
      <c r="EF12" s="823"/>
      <c r="EG12" s="823"/>
      <c r="EH12" s="823"/>
      <c r="EI12" s="823"/>
      <c r="EJ12" s="823"/>
      <c r="EK12" s="823"/>
      <c r="EL12" s="823"/>
      <c r="EM12" s="823"/>
      <c r="EN12" s="823"/>
      <c r="EO12" s="823"/>
      <c r="EP12" s="823"/>
      <c r="EQ12" s="823"/>
      <c r="ER12" s="823"/>
      <c r="ES12" s="823"/>
      <c r="ET12" s="823"/>
      <c r="EU12" s="823"/>
      <c r="EV12" s="823"/>
      <c r="EW12" s="823"/>
      <c r="EX12" s="823"/>
      <c r="EY12" s="823"/>
      <c r="EZ12" s="823"/>
      <c r="FA12" s="823"/>
      <c r="FB12" s="823"/>
      <c r="FC12" s="823"/>
      <c r="FD12" s="823"/>
      <c r="FE12" s="823"/>
      <c r="FF12" s="823"/>
      <c r="FG12" s="823"/>
      <c r="FH12" s="823"/>
      <c r="FI12" s="823"/>
      <c r="FJ12" s="823"/>
      <c r="FK12" s="823"/>
      <c r="FL12" s="823"/>
      <c r="FM12" s="823"/>
      <c r="FN12" s="823"/>
      <c r="FO12" s="823"/>
      <c r="FP12" s="823"/>
      <c r="FQ12" s="823"/>
      <c r="FR12" s="823"/>
      <c r="FS12" s="823"/>
      <c r="FT12" s="823"/>
      <c r="FU12" s="823"/>
      <c r="FV12" s="823"/>
      <c r="FW12" s="823"/>
      <c r="FX12" s="823"/>
      <c r="FY12" s="823"/>
      <c r="FZ12" s="823"/>
      <c r="GA12" s="823"/>
      <c r="GB12" s="823"/>
      <c r="GC12" s="823"/>
      <c r="GD12" s="823"/>
      <c r="GE12" s="823"/>
      <c r="GF12" s="823"/>
      <c r="GG12" s="823"/>
      <c r="GH12" s="823"/>
      <c r="GI12" s="823"/>
      <c r="GJ12" s="823"/>
      <c r="GK12" s="823"/>
      <c r="GL12" s="823"/>
      <c r="GM12" s="823"/>
      <c r="GN12" s="823"/>
      <c r="GO12" s="823"/>
      <c r="GP12" s="823"/>
      <c r="GQ12" s="823"/>
      <c r="GR12" s="823"/>
      <c r="GS12" s="823"/>
      <c r="GT12" s="823"/>
      <c r="GU12" s="823"/>
      <c r="GV12" s="823"/>
      <c r="GW12" s="823"/>
      <c r="GX12" s="823"/>
      <c r="GY12" s="823"/>
      <c r="GZ12" s="823"/>
      <c r="HA12" s="823"/>
      <c r="HB12" s="823"/>
      <c r="HC12" s="823"/>
      <c r="HD12" s="823"/>
      <c r="HE12" s="823"/>
      <c r="HF12" s="823"/>
      <c r="HG12" s="823"/>
      <c r="HH12" s="823"/>
      <c r="HI12" s="823"/>
      <c r="HJ12" s="823"/>
      <c r="HK12" s="823"/>
      <c r="HL12" s="823"/>
      <c r="HM12" s="823"/>
      <c r="HN12" s="823"/>
      <c r="HO12" s="823"/>
      <c r="HP12" s="823"/>
      <c r="HQ12" s="823"/>
      <c r="HR12" s="823"/>
      <c r="HS12" s="823"/>
      <c r="HT12" s="823"/>
      <c r="HU12" s="823"/>
      <c r="HV12" s="823"/>
      <c r="HW12" s="823"/>
      <c r="HX12" s="823"/>
      <c r="HY12" s="823"/>
      <c r="HZ12" s="823"/>
      <c r="IA12" s="823"/>
      <c r="IB12" s="823"/>
      <c r="IC12" s="823"/>
      <c r="ID12" s="823"/>
      <c r="IE12" s="823"/>
      <c r="IF12" s="823"/>
      <c r="IG12" s="823"/>
      <c r="IH12" s="823"/>
      <c r="II12" s="823"/>
      <c r="IJ12" s="823"/>
      <c r="IK12" s="823"/>
      <c r="IL12" s="823"/>
      <c r="IM12" s="823"/>
      <c r="IN12" s="823"/>
      <c r="IO12" s="823"/>
      <c r="IP12" s="823"/>
      <c r="IQ12" s="823"/>
      <c r="IR12" s="823"/>
      <c r="IS12" s="823"/>
      <c r="IT12" s="823"/>
      <c r="IU12" s="823"/>
      <c r="IV12" s="823"/>
    </row>
    <row r="13" spans="1:256" ht="31.5" customHeight="1">
      <c r="A13" s="806">
        <v>8</v>
      </c>
      <c r="B13" s="825" t="s">
        <v>496</v>
      </c>
      <c r="C13" s="826"/>
      <c r="D13" s="827"/>
      <c r="E13" s="826"/>
      <c r="F13" s="828"/>
      <c r="H13" s="788"/>
    </row>
    <row r="14" spans="1:256" ht="36" hidden="1" customHeight="1">
      <c r="A14" s="793" t="s">
        <v>492</v>
      </c>
      <c r="B14" s="829" t="s">
        <v>497</v>
      </c>
      <c r="C14" s="795"/>
      <c r="D14" s="802">
        <v>0</v>
      </c>
      <c r="E14" s="795"/>
      <c r="F14" s="830">
        <v>0</v>
      </c>
      <c r="H14" s="788" t="s">
        <v>498</v>
      </c>
      <c r="I14" s="798">
        <f>'[10]Sch-1'!V135</f>
        <v>291545315.51999992</v>
      </c>
    </row>
    <row r="15" spans="1:256" ht="36" hidden="1" customHeight="1">
      <c r="A15" s="793"/>
      <c r="B15" s="829" t="s">
        <v>499</v>
      </c>
      <c r="C15" s="795"/>
      <c r="D15" s="802">
        <v>0</v>
      </c>
      <c r="E15" s="795"/>
      <c r="F15" s="830">
        <v>0</v>
      </c>
      <c r="H15" s="788"/>
    </row>
    <row r="16" spans="1:256" ht="36" customHeight="1">
      <c r="A16" s="793" t="s">
        <v>492</v>
      </c>
      <c r="B16" s="829" t="s">
        <v>499</v>
      </c>
      <c r="C16" s="802"/>
      <c r="D16" s="1100">
        <f>'Sch-5'!D15</f>
        <v>0</v>
      </c>
      <c r="E16" s="795"/>
      <c r="F16" s="830">
        <f>ROUND('Sch-1'!AB227,0)</f>
        <v>0</v>
      </c>
      <c r="G16" s="798"/>
      <c r="H16" s="831"/>
    </row>
    <row r="17" spans="1:256" ht="36" customHeight="1">
      <c r="A17" s="793" t="s">
        <v>492</v>
      </c>
      <c r="B17" s="829" t="s">
        <v>500</v>
      </c>
      <c r="C17" s="802"/>
      <c r="D17" s="1101"/>
      <c r="E17" s="795"/>
      <c r="F17" s="830">
        <f>ROUND('Sch-1'!AC227,0)</f>
        <v>0</v>
      </c>
      <c r="G17" s="798"/>
      <c r="H17" s="831"/>
    </row>
    <row r="18" spans="1:256" ht="36" customHeight="1">
      <c r="A18" s="793" t="s">
        <v>492</v>
      </c>
      <c r="B18" s="829" t="s">
        <v>501</v>
      </c>
      <c r="C18" s="802"/>
      <c r="D18" s="1102"/>
      <c r="E18" s="795"/>
      <c r="F18" s="830">
        <f>ROUND('Sch-1'!AD227,0)</f>
        <v>0</v>
      </c>
      <c r="H18" s="831"/>
      <c r="I18" s="798"/>
    </row>
    <row r="19" spans="1:256" ht="36" customHeight="1">
      <c r="A19" s="793"/>
      <c r="B19" s="829" t="s">
        <v>502</v>
      </c>
      <c r="C19" s="795"/>
      <c r="D19" s="802">
        <f>'Sch-5'!D17</f>
        <v>0</v>
      </c>
      <c r="E19" s="795"/>
      <c r="F19" s="830">
        <f>ROUND('Sch-3'!Z219,0)</f>
        <v>0</v>
      </c>
      <c r="G19" s="798"/>
      <c r="H19" s="798"/>
    </row>
    <row r="20" spans="1:256" ht="36" customHeight="1">
      <c r="A20" s="793" t="s">
        <v>492</v>
      </c>
      <c r="B20" s="829" t="s">
        <v>503</v>
      </c>
      <c r="C20" s="832"/>
      <c r="D20" s="802" t="s">
        <v>339</v>
      </c>
      <c r="E20" s="795"/>
      <c r="F20" s="830" t="str">
        <f t="shared" ref="F20" si="0">D20</f>
        <v>Not Applicable</v>
      </c>
    </row>
    <row r="21" spans="1:256" ht="36" customHeight="1">
      <c r="A21" s="806">
        <v>9</v>
      </c>
      <c r="B21" s="829" t="s">
        <v>504</v>
      </c>
      <c r="C21" s="826"/>
      <c r="D21" s="833">
        <f>D16+D19</f>
        <v>0</v>
      </c>
      <c r="E21" s="826"/>
      <c r="F21" s="833">
        <f>F16+F17+F18+F19</f>
        <v>0</v>
      </c>
      <c r="G21" s="807"/>
    </row>
    <row r="22" spans="1:256" ht="23.25" customHeight="1">
      <c r="A22" s="818">
        <v>10</v>
      </c>
      <c r="B22" s="834" t="s">
        <v>505</v>
      </c>
      <c r="C22" s="820"/>
      <c r="D22" s="835">
        <f>D12+D21</f>
        <v>0</v>
      </c>
      <c r="E22" s="820"/>
      <c r="F22" s="836">
        <f>F12+F21</f>
        <v>0</v>
      </c>
      <c r="G22" s="837"/>
      <c r="H22" s="823"/>
      <c r="I22" s="823"/>
      <c r="J22" s="823"/>
      <c r="K22" s="823"/>
      <c r="L22" s="823"/>
      <c r="M22" s="823"/>
      <c r="N22" s="823"/>
      <c r="O22" s="823"/>
      <c r="P22" s="823"/>
      <c r="Q22" s="823"/>
      <c r="R22" s="823"/>
      <c r="S22" s="823"/>
      <c r="T22" s="823"/>
      <c r="U22" s="823"/>
      <c r="V22" s="823"/>
      <c r="W22" s="823"/>
      <c r="X22" s="823"/>
      <c r="Y22" s="823"/>
      <c r="Z22" s="823"/>
      <c r="AA22" s="823"/>
      <c r="AB22" s="823"/>
      <c r="AC22" s="823"/>
      <c r="AD22" s="823"/>
      <c r="AE22" s="823"/>
      <c r="AF22" s="823"/>
      <c r="AG22" s="823"/>
      <c r="AH22" s="823"/>
      <c r="AI22" s="823"/>
      <c r="AJ22" s="823"/>
      <c r="AK22" s="823"/>
      <c r="AL22" s="823"/>
      <c r="AM22" s="823"/>
      <c r="AN22" s="823"/>
      <c r="AO22" s="823"/>
      <c r="AP22" s="823"/>
      <c r="AQ22" s="823"/>
      <c r="AR22" s="823"/>
      <c r="AS22" s="823"/>
      <c r="AT22" s="823"/>
      <c r="AU22" s="823"/>
      <c r="AV22" s="823"/>
      <c r="AW22" s="823"/>
      <c r="AX22" s="823"/>
      <c r="AY22" s="823"/>
      <c r="AZ22" s="823"/>
      <c r="BA22" s="823"/>
      <c r="BB22" s="823"/>
      <c r="BC22" s="823"/>
      <c r="BD22" s="823"/>
      <c r="BE22" s="823"/>
      <c r="BF22" s="823"/>
      <c r="BG22" s="823"/>
      <c r="BH22" s="823"/>
      <c r="BI22" s="823"/>
      <c r="BJ22" s="823"/>
      <c r="BK22" s="823"/>
      <c r="BL22" s="823"/>
      <c r="BM22" s="823"/>
      <c r="BN22" s="823"/>
      <c r="BO22" s="823"/>
      <c r="BP22" s="823"/>
      <c r="BQ22" s="823"/>
      <c r="BR22" s="823"/>
      <c r="BS22" s="823"/>
      <c r="BT22" s="823"/>
      <c r="BU22" s="823"/>
      <c r="BV22" s="823"/>
      <c r="BW22" s="823"/>
      <c r="BX22" s="823"/>
      <c r="BY22" s="823"/>
      <c r="BZ22" s="823"/>
      <c r="CA22" s="823"/>
      <c r="CB22" s="823"/>
      <c r="CC22" s="823"/>
      <c r="CD22" s="823"/>
      <c r="CE22" s="823"/>
      <c r="CF22" s="823"/>
      <c r="CG22" s="823"/>
      <c r="CH22" s="823"/>
      <c r="CI22" s="823"/>
      <c r="CJ22" s="823"/>
      <c r="CK22" s="823"/>
      <c r="CL22" s="823"/>
      <c r="CM22" s="823"/>
      <c r="CN22" s="823"/>
      <c r="CO22" s="823"/>
      <c r="CP22" s="823"/>
      <c r="CQ22" s="823"/>
      <c r="CR22" s="823"/>
      <c r="CS22" s="823"/>
      <c r="CT22" s="823"/>
      <c r="CU22" s="823"/>
      <c r="CV22" s="823"/>
      <c r="CW22" s="823"/>
      <c r="CX22" s="823"/>
      <c r="CY22" s="823"/>
      <c r="CZ22" s="823"/>
      <c r="DA22" s="823"/>
      <c r="DB22" s="823"/>
      <c r="DC22" s="823"/>
      <c r="DD22" s="823"/>
      <c r="DE22" s="823"/>
      <c r="DF22" s="823"/>
      <c r="DG22" s="823"/>
      <c r="DH22" s="823"/>
      <c r="DI22" s="823"/>
      <c r="DJ22" s="823"/>
      <c r="DK22" s="823"/>
      <c r="DL22" s="823"/>
      <c r="DM22" s="823"/>
      <c r="DN22" s="823"/>
      <c r="DO22" s="823"/>
      <c r="DP22" s="823"/>
      <c r="DQ22" s="823"/>
      <c r="DR22" s="823"/>
      <c r="DS22" s="823"/>
      <c r="DT22" s="823"/>
      <c r="DU22" s="823"/>
      <c r="DV22" s="823"/>
      <c r="DW22" s="823"/>
      <c r="DX22" s="823"/>
      <c r="DY22" s="823"/>
      <c r="DZ22" s="823"/>
      <c r="EA22" s="823"/>
      <c r="EB22" s="823"/>
      <c r="EC22" s="823"/>
      <c r="ED22" s="823"/>
      <c r="EE22" s="823"/>
      <c r="EF22" s="823"/>
      <c r="EG22" s="823"/>
      <c r="EH22" s="823"/>
      <c r="EI22" s="823"/>
      <c r="EJ22" s="823"/>
      <c r="EK22" s="823"/>
      <c r="EL22" s="823"/>
      <c r="EM22" s="823"/>
      <c r="EN22" s="823"/>
      <c r="EO22" s="823"/>
      <c r="EP22" s="823"/>
      <c r="EQ22" s="823"/>
      <c r="ER22" s="823"/>
      <c r="ES22" s="823"/>
      <c r="ET22" s="823"/>
      <c r="EU22" s="823"/>
      <c r="EV22" s="823"/>
      <c r="EW22" s="823"/>
      <c r="EX22" s="823"/>
      <c r="EY22" s="823"/>
      <c r="EZ22" s="823"/>
      <c r="FA22" s="823"/>
      <c r="FB22" s="823"/>
      <c r="FC22" s="823"/>
      <c r="FD22" s="823"/>
      <c r="FE22" s="823"/>
      <c r="FF22" s="823"/>
      <c r="FG22" s="823"/>
      <c r="FH22" s="823"/>
      <c r="FI22" s="823"/>
      <c r="FJ22" s="823"/>
      <c r="FK22" s="823"/>
      <c r="FL22" s="823"/>
      <c r="FM22" s="823"/>
      <c r="FN22" s="823"/>
      <c r="FO22" s="823"/>
      <c r="FP22" s="823"/>
      <c r="FQ22" s="823"/>
      <c r="FR22" s="823"/>
      <c r="FS22" s="823"/>
      <c r="FT22" s="823"/>
      <c r="FU22" s="823"/>
      <c r="FV22" s="823"/>
      <c r="FW22" s="823"/>
      <c r="FX22" s="823"/>
      <c r="FY22" s="823"/>
      <c r="FZ22" s="823"/>
      <c r="GA22" s="823"/>
      <c r="GB22" s="823"/>
      <c r="GC22" s="823"/>
      <c r="GD22" s="823"/>
      <c r="GE22" s="823"/>
      <c r="GF22" s="823"/>
      <c r="GG22" s="823"/>
      <c r="GH22" s="823"/>
      <c r="GI22" s="823"/>
      <c r="GJ22" s="823"/>
      <c r="GK22" s="823"/>
      <c r="GL22" s="823"/>
      <c r="GM22" s="823"/>
      <c r="GN22" s="823"/>
      <c r="GO22" s="823"/>
      <c r="GP22" s="823"/>
      <c r="GQ22" s="823"/>
      <c r="GR22" s="823"/>
      <c r="GS22" s="823"/>
      <c r="GT22" s="823"/>
      <c r="GU22" s="823"/>
      <c r="GV22" s="823"/>
      <c r="GW22" s="823"/>
      <c r="GX22" s="823"/>
      <c r="GY22" s="823"/>
      <c r="GZ22" s="823"/>
      <c r="HA22" s="823"/>
      <c r="HB22" s="823"/>
      <c r="HC22" s="823"/>
      <c r="HD22" s="823"/>
      <c r="HE22" s="823"/>
      <c r="HF22" s="823"/>
      <c r="HG22" s="823"/>
      <c r="HH22" s="823"/>
      <c r="HI22" s="823"/>
      <c r="HJ22" s="823"/>
      <c r="HK22" s="823"/>
      <c r="HL22" s="823"/>
      <c r="HM22" s="823"/>
      <c r="HN22" s="823"/>
      <c r="HO22" s="823"/>
      <c r="HP22" s="823"/>
      <c r="HQ22" s="823"/>
      <c r="HR22" s="823"/>
      <c r="HS22" s="823"/>
      <c r="HT22" s="823"/>
      <c r="HU22" s="823"/>
      <c r="HV22" s="823"/>
      <c r="HW22" s="823"/>
      <c r="HX22" s="823"/>
      <c r="HY22" s="823"/>
      <c r="HZ22" s="823"/>
      <c r="IA22" s="823"/>
      <c r="IB22" s="823"/>
      <c r="IC22" s="823"/>
      <c r="ID22" s="823"/>
      <c r="IE22" s="823"/>
      <c r="IF22" s="823"/>
      <c r="IG22" s="823"/>
      <c r="IH22" s="823"/>
      <c r="II22" s="823"/>
      <c r="IJ22" s="823"/>
      <c r="IK22" s="823"/>
      <c r="IL22" s="823"/>
      <c r="IM22" s="823"/>
      <c r="IN22" s="823"/>
      <c r="IO22" s="823"/>
      <c r="IP22" s="823"/>
      <c r="IQ22" s="823"/>
      <c r="IR22" s="823"/>
      <c r="IS22" s="823"/>
      <c r="IT22" s="823"/>
      <c r="IU22" s="823"/>
      <c r="IV22" s="823"/>
    </row>
    <row r="23" spans="1:256" ht="12.75" customHeight="1">
      <c r="A23" s="838"/>
      <c r="B23" s="1103"/>
      <c r="C23" s="1103"/>
      <c r="D23" s="1103"/>
      <c r="E23" s="1103"/>
      <c r="F23" s="1104"/>
    </row>
    <row r="24" spans="1:256" ht="75.75" customHeight="1">
      <c r="A24" s="849" t="s">
        <v>506</v>
      </c>
      <c r="B24" s="1105" t="s">
        <v>507</v>
      </c>
      <c r="C24" s="1105"/>
      <c r="D24" s="1105"/>
      <c r="E24" s="1105"/>
      <c r="F24" s="1105"/>
    </row>
    <row r="25" spans="1:256" ht="54" customHeight="1">
      <c r="A25" s="849" t="s">
        <v>508</v>
      </c>
      <c r="B25" s="1105" t="s">
        <v>509</v>
      </c>
      <c r="C25" s="1105"/>
      <c r="D25" s="1105"/>
      <c r="E25" s="1105"/>
      <c r="F25" s="1105"/>
    </row>
    <row r="26" spans="1:256">
      <c r="A26" s="839"/>
      <c r="B26" s="1106"/>
      <c r="C26" s="1106"/>
      <c r="D26" s="1106"/>
      <c r="E26" s="1106"/>
      <c r="F26" s="1106"/>
    </row>
    <row r="27" spans="1:256" ht="37.5" customHeight="1">
      <c r="A27" s="1099" t="s">
        <v>580</v>
      </c>
      <c r="B27" s="1099"/>
      <c r="C27" s="1099"/>
      <c r="D27" s="1099"/>
      <c r="E27" s="1099"/>
      <c r="F27" s="840"/>
    </row>
    <row r="28" spans="1:256" ht="33.75" customHeight="1">
      <c r="A28" s="1099"/>
      <c r="B28" s="1099"/>
      <c r="C28" s="1099"/>
      <c r="D28" s="1099"/>
      <c r="E28" s="1099"/>
      <c r="F28" s="841" t="s">
        <v>510</v>
      </c>
    </row>
    <row r="31" spans="1:256">
      <c r="G31" s="844"/>
      <c r="H31" s="844"/>
      <c r="I31" s="844"/>
      <c r="J31" s="844"/>
      <c r="K31" s="844"/>
      <c r="L31" s="844"/>
      <c r="M31" s="844"/>
      <c r="N31" s="844"/>
      <c r="O31" s="844"/>
      <c r="P31" s="844"/>
      <c r="Q31" s="844"/>
      <c r="R31" s="844"/>
      <c r="S31" s="844"/>
      <c r="T31" s="844"/>
      <c r="U31" s="844"/>
      <c r="V31" s="844"/>
      <c r="W31" s="844"/>
      <c r="X31" s="844"/>
      <c r="Y31" s="844"/>
      <c r="Z31" s="844"/>
      <c r="AA31" s="844"/>
      <c r="AB31" s="844"/>
      <c r="AC31" s="844"/>
      <c r="AD31" s="844"/>
      <c r="AE31" s="844"/>
      <c r="AF31" s="844"/>
      <c r="AG31" s="844"/>
      <c r="AH31" s="844"/>
      <c r="AI31" s="844"/>
      <c r="AJ31" s="844"/>
      <c r="AK31" s="844"/>
      <c r="AL31" s="844"/>
      <c r="AM31" s="844"/>
      <c r="AN31" s="844"/>
      <c r="AO31" s="844"/>
      <c r="AP31" s="844"/>
      <c r="AQ31" s="844"/>
      <c r="AR31" s="844"/>
      <c r="AS31" s="844"/>
      <c r="AT31" s="844"/>
      <c r="AU31" s="844"/>
      <c r="AV31" s="844"/>
      <c r="AW31" s="844"/>
      <c r="AX31" s="844"/>
      <c r="AY31" s="844"/>
      <c r="AZ31" s="844"/>
      <c r="BA31" s="844"/>
      <c r="BB31" s="844"/>
      <c r="BC31" s="844"/>
      <c r="BD31" s="844"/>
      <c r="BE31" s="844"/>
      <c r="BF31" s="844"/>
      <c r="BG31" s="844"/>
      <c r="BH31" s="844"/>
      <c r="BI31" s="844"/>
      <c r="BJ31" s="844"/>
      <c r="BK31" s="844"/>
      <c r="BL31" s="844"/>
      <c r="BM31" s="844"/>
      <c r="BN31" s="844"/>
      <c r="BO31" s="844"/>
      <c r="BP31" s="844"/>
      <c r="BQ31" s="844"/>
      <c r="BR31" s="844"/>
      <c r="BS31" s="844"/>
      <c r="BT31" s="844"/>
      <c r="BU31" s="844"/>
      <c r="BV31" s="844"/>
      <c r="BW31" s="844"/>
      <c r="BX31" s="844"/>
      <c r="BY31" s="844"/>
      <c r="BZ31" s="844"/>
      <c r="CA31" s="844"/>
      <c r="CB31" s="844"/>
      <c r="CC31" s="844"/>
      <c r="CD31" s="844"/>
      <c r="CE31" s="844"/>
      <c r="CF31" s="844"/>
      <c r="CG31" s="844"/>
      <c r="CH31" s="844"/>
      <c r="CI31" s="844"/>
      <c r="CJ31" s="844"/>
      <c r="CK31" s="844"/>
      <c r="CL31" s="844"/>
      <c r="CM31" s="844"/>
      <c r="CN31" s="844"/>
      <c r="CO31" s="844"/>
      <c r="CP31" s="844"/>
      <c r="CQ31" s="844"/>
      <c r="CR31" s="844"/>
      <c r="CS31" s="844"/>
      <c r="CT31" s="844"/>
      <c r="CU31" s="844"/>
      <c r="CV31" s="844"/>
      <c r="CW31" s="844"/>
      <c r="CX31" s="844"/>
      <c r="CY31" s="844"/>
      <c r="CZ31" s="844"/>
      <c r="DA31" s="844"/>
      <c r="DB31" s="844"/>
      <c r="DC31" s="844"/>
      <c r="DD31" s="844"/>
      <c r="DE31" s="844"/>
      <c r="DF31" s="844"/>
      <c r="DG31" s="844"/>
      <c r="DH31" s="844"/>
      <c r="DI31" s="844"/>
      <c r="DJ31" s="844"/>
      <c r="DK31" s="844"/>
      <c r="DL31" s="844"/>
      <c r="DM31" s="844"/>
      <c r="DN31" s="844"/>
      <c r="DO31" s="844"/>
      <c r="DP31" s="844"/>
      <c r="DQ31" s="844"/>
      <c r="DR31" s="844"/>
      <c r="DS31" s="844"/>
      <c r="DT31" s="844"/>
      <c r="DU31" s="844"/>
      <c r="DV31" s="844"/>
      <c r="DW31" s="844"/>
      <c r="DX31" s="844"/>
      <c r="DY31" s="844"/>
      <c r="DZ31" s="844"/>
      <c r="EA31" s="844"/>
      <c r="EB31" s="844"/>
      <c r="EC31" s="844"/>
      <c r="ED31" s="844"/>
      <c r="EE31" s="844"/>
      <c r="EF31" s="844"/>
      <c r="EG31" s="844"/>
      <c r="EH31" s="844"/>
      <c r="EI31" s="844"/>
      <c r="EJ31" s="844"/>
      <c r="EK31" s="844"/>
      <c r="EL31" s="844"/>
      <c r="EM31" s="844"/>
      <c r="EN31" s="844"/>
      <c r="EO31" s="844"/>
      <c r="EP31" s="844"/>
      <c r="EQ31" s="844"/>
      <c r="ER31" s="844"/>
      <c r="ES31" s="844"/>
      <c r="ET31" s="844"/>
      <c r="EU31" s="844"/>
      <c r="EV31" s="844"/>
      <c r="EW31" s="844"/>
      <c r="EX31" s="844"/>
      <c r="EY31" s="844"/>
      <c r="EZ31" s="844"/>
      <c r="FA31" s="844"/>
      <c r="FB31" s="844"/>
      <c r="FC31" s="844"/>
      <c r="FD31" s="844"/>
      <c r="FE31" s="844"/>
      <c r="FF31" s="844"/>
      <c r="FG31" s="844"/>
      <c r="FH31" s="844"/>
      <c r="FI31" s="844"/>
      <c r="FJ31" s="844"/>
      <c r="FK31" s="844"/>
      <c r="FL31" s="844"/>
      <c r="FM31" s="844"/>
      <c r="FN31" s="844"/>
      <c r="FO31" s="844"/>
      <c r="FP31" s="844"/>
      <c r="FQ31" s="844"/>
      <c r="FR31" s="844"/>
      <c r="FS31" s="844"/>
      <c r="FT31" s="844"/>
      <c r="FU31" s="844"/>
      <c r="FV31" s="844"/>
      <c r="FW31" s="844"/>
      <c r="FX31" s="844"/>
      <c r="FY31" s="844"/>
      <c r="FZ31" s="844"/>
      <c r="GA31" s="844"/>
      <c r="GB31" s="844"/>
      <c r="GC31" s="844"/>
      <c r="GD31" s="844"/>
      <c r="GE31" s="844"/>
      <c r="GF31" s="844"/>
      <c r="GG31" s="844"/>
      <c r="GH31" s="844"/>
      <c r="GI31" s="844"/>
      <c r="GJ31" s="844"/>
      <c r="GK31" s="844"/>
      <c r="GL31" s="844"/>
      <c r="GM31" s="844"/>
      <c r="GN31" s="844"/>
      <c r="GO31" s="844"/>
      <c r="GP31" s="844"/>
      <c r="GQ31" s="844"/>
      <c r="GR31" s="844"/>
      <c r="GS31" s="844"/>
      <c r="GT31" s="844"/>
      <c r="GU31" s="844"/>
      <c r="GV31" s="844"/>
      <c r="GW31" s="844"/>
      <c r="GX31" s="844"/>
      <c r="GY31" s="844"/>
      <c r="GZ31" s="844"/>
      <c r="HA31" s="844"/>
      <c r="HB31" s="844"/>
      <c r="HC31" s="844"/>
      <c r="HD31" s="844"/>
      <c r="HE31" s="844"/>
      <c r="HF31" s="844"/>
      <c r="HG31" s="844"/>
      <c r="HH31" s="844"/>
      <c r="HI31" s="844"/>
      <c r="HJ31" s="844"/>
      <c r="HK31" s="844"/>
      <c r="HL31" s="844"/>
      <c r="HM31" s="844"/>
      <c r="HN31" s="844"/>
      <c r="HO31" s="844"/>
      <c r="HP31" s="844"/>
      <c r="HQ31" s="844"/>
      <c r="HR31" s="844"/>
      <c r="HS31" s="844"/>
      <c r="HT31" s="844"/>
      <c r="HU31" s="844"/>
      <c r="HV31" s="844"/>
      <c r="HW31" s="844"/>
      <c r="HX31" s="844"/>
      <c r="HY31" s="844"/>
      <c r="HZ31" s="844"/>
      <c r="IA31" s="844"/>
      <c r="IB31" s="844"/>
      <c r="IC31" s="844"/>
      <c r="ID31" s="844"/>
      <c r="IE31" s="844"/>
      <c r="IF31" s="844"/>
      <c r="IG31" s="844"/>
      <c r="IH31" s="844"/>
      <c r="II31" s="844"/>
      <c r="IJ31" s="844"/>
      <c r="IK31" s="844"/>
      <c r="IL31" s="844"/>
      <c r="IM31" s="844"/>
      <c r="IN31" s="844"/>
      <c r="IO31" s="844"/>
      <c r="IP31" s="844"/>
      <c r="IQ31" s="844"/>
      <c r="IR31" s="844"/>
      <c r="IS31" s="844"/>
      <c r="IT31" s="844"/>
      <c r="IU31" s="844"/>
      <c r="IV31" s="844"/>
    </row>
    <row r="32" spans="1:256" ht="16.5">
      <c r="F32" s="845"/>
      <c r="G32" s="846"/>
      <c r="H32" s="846"/>
      <c r="I32" s="846"/>
      <c r="J32" s="846"/>
      <c r="K32" s="846"/>
      <c r="L32" s="846"/>
      <c r="M32" s="846"/>
      <c r="N32" s="846"/>
      <c r="O32" s="846"/>
      <c r="P32" s="846"/>
      <c r="Q32" s="846"/>
      <c r="R32" s="846"/>
      <c r="S32" s="846"/>
      <c r="T32" s="846"/>
      <c r="U32" s="846"/>
      <c r="V32" s="846"/>
      <c r="W32" s="846"/>
      <c r="X32" s="846"/>
      <c r="Y32" s="846"/>
      <c r="Z32" s="846"/>
      <c r="AA32" s="846"/>
      <c r="AB32" s="846"/>
      <c r="AC32" s="846"/>
      <c r="AD32" s="846"/>
      <c r="AE32" s="846"/>
      <c r="AF32" s="846"/>
      <c r="AG32" s="846"/>
      <c r="AH32" s="846"/>
      <c r="AI32" s="846"/>
      <c r="AJ32" s="846"/>
      <c r="AK32" s="846"/>
      <c r="AL32" s="846"/>
      <c r="AM32" s="846"/>
      <c r="AN32" s="846"/>
      <c r="AO32" s="846"/>
      <c r="AP32" s="846"/>
      <c r="AQ32" s="846"/>
      <c r="AR32" s="846"/>
      <c r="AS32" s="846"/>
      <c r="AT32" s="846"/>
      <c r="AU32" s="846"/>
      <c r="AV32" s="846"/>
      <c r="AW32" s="846"/>
      <c r="AX32" s="846"/>
      <c r="AY32" s="846"/>
      <c r="AZ32" s="846"/>
      <c r="BA32" s="846"/>
      <c r="BB32" s="846"/>
      <c r="BC32" s="846"/>
      <c r="BD32" s="846"/>
      <c r="BE32" s="846"/>
      <c r="BF32" s="846"/>
      <c r="BG32" s="846"/>
      <c r="BH32" s="846"/>
      <c r="BI32" s="846"/>
      <c r="BJ32" s="846"/>
      <c r="BK32" s="846"/>
      <c r="BL32" s="846"/>
      <c r="BM32" s="846"/>
      <c r="BN32" s="846"/>
      <c r="BO32" s="846"/>
      <c r="BP32" s="846"/>
      <c r="BQ32" s="846"/>
      <c r="BR32" s="846"/>
      <c r="BS32" s="846"/>
      <c r="BT32" s="846"/>
      <c r="BU32" s="846"/>
      <c r="BV32" s="846"/>
      <c r="BW32" s="846"/>
      <c r="BX32" s="846"/>
      <c r="BY32" s="846"/>
      <c r="BZ32" s="846"/>
      <c r="CA32" s="846"/>
      <c r="CB32" s="846"/>
      <c r="CC32" s="846"/>
      <c r="CD32" s="846"/>
      <c r="CE32" s="846"/>
      <c r="CF32" s="846"/>
      <c r="CG32" s="846"/>
      <c r="CH32" s="846"/>
      <c r="CI32" s="846"/>
      <c r="CJ32" s="846"/>
      <c r="CK32" s="846"/>
      <c r="CL32" s="846"/>
      <c r="CM32" s="846"/>
      <c r="CN32" s="846"/>
      <c r="CO32" s="846"/>
      <c r="CP32" s="846"/>
      <c r="CQ32" s="846"/>
      <c r="CR32" s="846"/>
      <c r="CS32" s="846"/>
      <c r="CT32" s="846"/>
      <c r="CU32" s="846"/>
      <c r="CV32" s="846"/>
      <c r="CW32" s="846"/>
      <c r="CX32" s="846"/>
      <c r="CY32" s="846"/>
      <c r="CZ32" s="846"/>
      <c r="DA32" s="846"/>
      <c r="DB32" s="846"/>
      <c r="DC32" s="846"/>
      <c r="DD32" s="846"/>
      <c r="DE32" s="846"/>
      <c r="DF32" s="846"/>
      <c r="DG32" s="846"/>
      <c r="DH32" s="846"/>
      <c r="DI32" s="846"/>
      <c r="DJ32" s="846"/>
      <c r="DK32" s="846"/>
      <c r="DL32" s="846"/>
      <c r="DM32" s="846"/>
      <c r="DN32" s="846"/>
      <c r="DO32" s="846"/>
      <c r="DP32" s="846"/>
      <c r="DQ32" s="846"/>
      <c r="DR32" s="846"/>
      <c r="DS32" s="846"/>
      <c r="DT32" s="846"/>
      <c r="DU32" s="846"/>
      <c r="DV32" s="846"/>
      <c r="DW32" s="846"/>
      <c r="DX32" s="846"/>
      <c r="DY32" s="846"/>
      <c r="DZ32" s="846"/>
      <c r="EA32" s="846"/>
      <c r="EB32" s="846"/>
      <c r="EC32" s="846"/>
      <c r="ED32" s="846"/>
      <c r="EE32" s="846"/>
      <c r="EF32" s="846"/>
      <c r="EG32" s="846"/>
      <c r="EH32" s="846"/>
      <c r="EI32" s="846"/>
      <c r="EJ32" s="846"/>
      <c r="EK32" s="846"/>
      <c r="EL32" s="846"/>
      <c r="EM32" s="846"/>
      <c r="EN32" s="846"/>
      <c r="EO32" s="846"/>
      <c r="EP32" s="846"/>
      <c r="EQ32" s="846"/>
      <c r="ER32" s="846"/>
      <c r="ES32" s="846"/>
      <c r="ET32" s="846"/>
      <c r="EU32" s="846"/>
      <c r="EV32" s="846"/>
      <c r="EW32" s="846"/>
      <c r="EX32" s="846"/>
      <c r="EY32" s="846"/>
      <c r="EZ32" s="846"/>
      <c r="FA32" s="846"/>
      <c r="FB32" s="846"/>
      <c r="FC32" s="846"/>
      <c r="FD32" s="846"/>
      <c r="FE32" s="846"/>
      <c r="FF32" s="846"/>
      <c r="FG32" s="846"/>
      <c r="FH32" s="846"/>
      <c r="FI32" s="846"/>
      <c r="FJ32" s="846"/>
      <c r="FK32" s="846"/>
      <c r="FL32" s="846"/>
      <c r="FM32" s="846"/>
      <c r="FN32" s="846"/>
      <c r="FO32" s="846"/>
      <c r="FP32" s="846"/>
      <c r="FQ32" s="846"/>
      <c r="FR32" s="846"/>
      <c r="FS32" s="846"/>
      <c r="FT32" s="846"/>
      <c r="FU32" s="846"/>
      <c r="FV32" s="846"/>
      <c r="FW32" s="846"/>
      <c r="FX32" s="846"/>
      <c r="FY32" s="846"/>
      <c r="FZ32" s="846"/>
      <c r="GA32" s="846"/>
      <c r="GB32" s="846"/>
      <c r="GC32" s="846"/>
      <c r="GD32" s="846"/>
      <c r="GE32" s="846"/>
      <c r="GF32" s="846"/>
      <c r="GG32" s="846"/>
      <c r="GH32" s="846"/>
      <c r="GI32" s="846"/>
      <c r="GJ32" s="846"/>
      <c r="GK32" s="846"/>
      <c r="GL32" s="846"/>
      <c r="GM32" s="846"/>
      <c r="GN32" s="846"/>
      <c r="GO32" s="846"/>
      <c r="GP32" s="846"/>
      <c r="GQ32" s="846"/>
      <c r="GR32" s="846"/>
      <c r="GS32" s="846"/>
      <c r="GT32" s="846"/>
      <c r="GU32" s="846"/>
      <c r="GV32" s="846"/>
      <c r="GW32" s="846"/>
      <c r="GX32" s="846"/>
      <c r="GY32" s="846"/>
      <c r="GZ32" s="846"/>
      <c r="HA32" s="846"/>
      <c r="HB32" s="846"/>
      <c r="HC32" s="846"/>
      <c r="HD32" s="846"/>
      <c r="HE32" s="846"/>
      <c r="HF32" s="846"/>
      <c r="HG32" s="846"/>
      <c r="HH32" s="846"/>
      <c r="HI32" s="846"/>
      <c r="HJ32" s="846"/>
      <c r="HK32" s="846"/>
      <c r="HL32" s="846"/>
      <c r="HM32" s="846"/>
      <c r="HN32" s="846"/>
      <c r="HO32" s="846"/>
      <c r="HP32" s="846"/>
      <c r="HQ32" s="846"/>
      <c r="HR32" s="846"/>
      <c r="HS32" s="846"/>
      <c r="HT32" s="846"/>
      <c r="HU32" s="846"/>
      <c r="HV32" s="846"/>
      <c r="HW32" s="846"/>
      <c r="HX32" s="846"/>
      <c r="HY32" s="846"/>
      <c r="HZ32" s="846"/>
      <c r="IA32" s="846"/>
      <c r="IB32" s="846"/>
      <c r="IC32" s="846"/>
      <c r="ID32" s="846"/>
      <c r="IE32" s="846"/>
      <c r="IF32" s="846"/>
      <c r="IG32" s="846"/>
      <c r="IH32" s="846"/>
      <c r="II32" s="846"/>
      <c r="IJ32" s="846"/>
      <c r="IK32" s="846"/>
      <c r="IL32" s="846"/>
      <c r="IM32" s="846"/>
      <c r="IN32" s="846"/>
      <c r="IO32" s="846"/>
      <c r="IP32" s="846"/>
      <c r="IQ32" s="846"/>
      <c r="IR32" s="846"/>
      <c r="IS32" s="846"/>
      <c r="IT32" s="846"/>
      <c r="IU32" s="846"/>
      <c r="IV32" s="846"/>
    </row>
    <row r="33" spans="7:256" ht="16.5">
      <c r="G33" s="846"/>
      <c r="H33" s="846"/>
      <c r="I33" s="846"/>
      <c r="J33" s="846"/>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46"/>
      <c r="AH33" s="846"/>
      <c r="AI33" s="846"/>
      <c r="AJ33" s="846"/>
      <c r="AK33" s="846"/>
      <c r="AL33" s="846"/>
      <c r="AM33" s="846"/>
      <c r="AN33" s="846"/>
      <c r="AO33" s="846"/>
      <c r="AP33" s="846"/>
      <c r="AQ33" s="846"/>
      <c r="AR33" s="846"/>
      <c r="AS33" s="846"/>
      <c r="AT33" s="846"/>
      <c r="AU33" s="846"/>
      <c r="AV33" s="846"/>
      <c r="AW33" s="846"/>
      <c r="AX33" s="846"/>
      <c r="AY33" s="846"/>
      <c r="AZ33" s="846"/>
      <c r="BA33" s="846"/>
      <c r="BB33" s="846"/>
      <c r="BC33" s="846"/>
      <c r="BD33" s="846"/>
      <c r="BE33" s="846"/>
      <c r="BF33" s="846"/>
      <c r="BG33" s="846"/>
      <c r="BH33" s="846"/>
      <c r="BI33" s="846"/>
      <c r="BJ33" s="846"/>
      <c r="BK33" s="846"/>
      <c r="BL33" s="846"/>
      <c r="BM33" s="846"/>
      <c r="BN33" s="846"/>
      <c r="BO33" s="846"/>
      <c r="BP33" s="846"/>
      <c r="BQ33" s="846"/>
      <c r="BR33" s="846"/>
      <c r="BS33" s="846"/>
      <c r="BT33" s="846"/>
      <c r="BU33" s="846"/>
      <c r="BV33" s="846"/>
      <c r="BW33" s="846"/>
      <c r="BX33" s="846"/>
      <c r="BY33" s="846"/>
      <c r="BZ33" s="846"/>
      <c r="CA33" s="846"/>
      <c r="CB33" s="846"/>
      <c r="CC33" s="846"/>
      <c r="CD33" s="846"/>
      <c r="CE33" s="846"/>
      <c r="CF33" s="846"/>
      <c r="CG33" s="846"/>
      <c r="CH33" s="846"/>
      <c r="CI33" s="846"/>
      <c r="CJ33" s="846"/>
      <c r="CK33" s="846"/>
      <c r="CL33" s="846"/>
      <c r="CM33" s="846"/>
      <c r="CN33" s="846"/>
      <c r="CO33" s="846"/>
      <c r="CP33" s="846"/>
      <c r="CQ33" s="846"/>
      <c r="CR33" s="846"/>
      <c r="CS33" s="846"/>
      <c r="CT33" s="846"/>
      <c r="CU33" s="846"/>
      <c r="CV33" s="846"/>
      <c r="CW33" s="846"/>
      <c r="CX33" s="846"/>
      <c r="CY33" s="846"/>
      <c r="CZ33" s="846"/>
      <c r="DA33" s="846"/>
      <c r="DB33" s="846"/>
      <c r="DC33" s="846"/>
      <c r="DD33" s="846"/>
      <c r="DE33" s="846"/>
      <c r="DF33" s="846"/>
      <c r="DG33" s="846"/>
      <c r="DH33" s="846"/>
      <c r="DI33" s="846"/>
      <c r="DJ33" s="846"/>
      <c r="DK33" s="846"/>
      <c r="DL33" s="846"/>
      <c r="DM33" s="846"/>
      <c r="DN33" s="846"/>
      <c r="DO33" s="846"/>
      <c r="DP33" s="846"/>
      <c r="DQ33" s="846"/>
      <c r="DR33" s="846"/>
      <c r="DS33" s="846"/>
      <c r="DT33" s="846"/>
      <c r="DU33" s="846"/>
      <c r="DV33" s="846"/>
      <c r="DW33" s="846"/>
      <c r="DX33" s="846"/>
      <c r="DY33" s="846"/>
      <c r="DZ33" s="846"/>
      <c r="EA33" s="846"/>
      <c r="EB33" s="846"/>
      <c r="EC33" s="846"/>
      <c r="ED33" s="846"/>
      <c r="EE33" s="846"/>
      <c r="EF33" s="846"/>
      <c r="EG33" s="846"/>
      <c r="EH33" s="846"/>
      <c r="EI33" s="846"/>
      <c r="EJ33" s="846"/>
      <c r="EK33" s="846"/>
      <c r="EL33" s="846"/>
      <c r="EM33" s="846"/>
      <c r="EN33" s="846"/>
      <c r="EO33" s="846"/>
      <c r="EP33" s="846"/>
      <c r="EQ33" s="846"/>
      <c r="ER33" s="846"/>
      <c r="ES33" s="846"/>
      <c r="ET33" s="846"/>
      <c r="EU33" s="846"/>
      <c r="EV33" s="846"/>
      <c r="EW33" s="846"/>
      <c r="EX33" s="846"/>
      <c r="EY33" s="846"/>
      <c r="EZ33" s="846"/>
      <c r="FA33" s="846"/>
      <c r="FB33" s="846"/>
      <c r="FC33" s="846"/>
      <c r="FD33" s="846"/>
      <c r="FE33" s="846"/>
      <c r="FF33" s="846"/>
      <c r="FG33" s="846"/>
      <c r="FH33" s="846"/>
      <c r="FI33" s="846"/>
      <c r="FJ33" s="846"/>
      <c r="FK33" s="846"/>
      <c r="FL33" s="846"/>
      <c r="FM33" s="846"/>
      <c r="FN33" s="846"/>
      <c r="FO33" s="846"/>
      <c r="FP33" s="846"/>
      <c r="FQ33" s="846"/>
      <c r="FR33" s="846"/>
      <c r="FS33" s="846"/>
      <c r="FT33" s="846"/>
      <c r="FU33" s="846"/>
      <c r="FV33" s="846"/>
      <c r="FW33" s="846"/>
      <c r="FX33" s="846"/>
      <c r="FY33" s="846"/>
      <c r="FZ33" s="846"/>
      <c r="GA33" s="846"/>
      <c r="GB33" s="846"/>
      <c r="GC33" s="846"/>
      <c r="GD33" s="846"/>
      <c r="GE33" s="846"/>
      <c r="GF33" s="846"/>
      <c r="GG33" s="846"/>
      <c r="GH33" s="846"/>
      <c r="GI33" s="846"/>
      <c r="GJ33" s="846"/>
      <c r="GK33" s="846"/>
      <c r="GL33" s="846"/>
      <c r="GM33" s="846"/>
      <c r="GN33" s="846"/>
      <c r="GO33" s="846"/>
      <c r="GP33" s="846"/>
      <c r="GQ33" s="846"/>
      <c r="GR33" s="846"/>
      <c r="GS33" s="846"/>
      <c r="GT33" s="846"/>
      <c r="GU33" s="846"/>
      <c r="GV33" s="846"/>
      <c r="GW33" s="846"/>
      <c r="GX33" s="846"/>
      <c r="GY33" s="846"/>
      <c r="GZ33" s="846"/>
      <c r="HA33" s="846"/>
      <c r="HB33" s="846"/>
      <c r="HC33" s="846"/>
      <c r="HD33" s="846"/>
      <c r="HE33" s="846"/>
      <c r="HF33" s="846"/>
      <c r="HG33" s="846"/>
      <c r="HH33" s="846"/>
      <c r="HI33" s="846"/>
      <c r="HJ33" s="846"/>
      <c r="HK33" s="846"/>
      <c r="HL33" s="846"/>
      <c r="HM33" s="846"/>
      <c r="HN33" s="846"/>
      <c r="HO33" s="846"/>
      <c r="HP33" s="846"/>
      <c r="HQ33" s="846"/>
      <c r="HR33" s="846"/>
      <c r="HS33" s="846"/>
      <c r="HT33" s="846"/>
      <c r="HU33" s="846"/>
      <c r="HV33" s="846"/>
      <c r="HW33" s="846"/>
      <c r="HX33" s="846"/>
      <c r="HY33" s="846"/>
      <c r="HZ33" s="846"/>
      <c r="IA33" s="846"/>
      <c r="IB33" s="846"/>
      <c r="IC33" s="846"/>
      <c r="ID33" s="846"/>
      <c r="IE33" s="846"/>
      <c r="IF33" s="846"/>
      <c r="IG33" s="846"/>
      <c r="IH33" s="846"/>
      <c r="II33" s="846"/>
      <c r="IJ33" s="846"/>
      <c r="IK33" s="846"/>
      <c r="IL33" s="846"/>
      <c r="IM33" s="846"/>
      <c r="IN33" s="846"/>
      <c r="IO33" s="846"/>
      <c r="IP33" s="846"/>
      <c r="IQ33" s="846"/>
      <c r="IR33" s="846"/>
      <c r="IS33" s="846"/>
      <c r="IT33" s="846"/>
      <c r="IU33" s="846"/>
      <c r="IV33" s="846"/>
    </row>
    <row r="34" spans="7:256">
      <c r="G34" s="844"/>
      <c r="H34" s="844"/>
      <c r="I34" s="844"/>
      <c r="J34" s="844"/>
      <c r="K34" s="844"/>
      <c r="L34" s="844"/>
      <c r="M34" s="844"/>
      <c r="N34" s="844"/>
      <c r="O34" s="844"/>
      <c r="P34" s="844"/>
      <c r="Q34" s="844"/>
      <c r="R34" s="844"/>
      <c r="S34" s="844"/>
      <c r="T34" s="844"/>
      <c r="U34" s="844"/>
      <c r="V34" s="844"/>
      <c r="W34" s="844"/>
      <c r="X34" s="844"/>
      <c r="Y34" s="844"/>
      <c r="Z34" s="844"/>
      <c r="AA34" s="844"/>
      <c r="AB34" s="844"/>
      <c r="AC34" s="844"/>
      <c r="AD34" s="844"/>
      <c r="AE34" s="844"/>
      <c r="AF34" s="844"/>
      <c r="AG34" s="844"/>
      <c r="AH34" s="844"/>
      <c r="AI34" s="844"/>
      <c r="AJ34" s="844"/>
      <c r="AK34" s="844"/>
      <c r="AL34" s="844"/>
      <c r="AM34" s="844"/>
      <c r="AN34" s="844"/>
      <c r="AO34" s="844"/>
      <c r="AP34" s="844"/>
      <c r="AQ34" s="844"/>
      <c r="AR34" s="844"/>
      <c r="AS34" s="844"/>
      <c r="AT34" s="844"/>
      <c r="AU34" s="844"/>
      <c r="AV34" s="844"/>
      <c r="AW34" s="844"/>
      <c r="AX34" s="844"/>
      <c r="AY34" s="844"/>
      <c r="AZ34" s="844"/>
      <c r="BA34" s="844"/>
      <c r="BB34" s="844"/>
      <c r="BC34" s="844"/>
      <c r="BD34" s="844"/>
      <c r="BE34" s="844"/>
      <c r="BF34" s="844"/>
      <c r="BG34" s="844"/>
      <c r="BH34" s="844"/>
      <c r="BI34" s="844"/>
      <c r="BJ34" s="844"/>
      <c r="BK34" s="844"/>
      <c r="BL34" s="844"/>
      <c r="BM34" s="844"/>
      <c r="BN34" s="844"/>
      <c r="BO34" s="844"/>
      <c r="BP34" s="844"/>
      <c r="BQ34" s="844"/>
      <c r="BR34" s="844"/>
      <c r="BS34" s="844"/>
      <c r="BT34" s="844"/>
      <c r="BU34" s="844"/>
      <c r="BV34" s="844"/>
      <c r="BW34" s="844"/>
      <c r="BX34" s="844"/>
      <c r="BY34" s="844"/>
      <c r="BZ34" s="844"/>
      <c r="CA34" s="844"/>
      <c r="CB34" s="844"/>
      <c r="CC34" s="844"/>
      <c r="CD34" s="844"/>
      <c r="CE34" s="844"/>
      <c r="CF34" s="844"/>
      <c r="CG34" s="844"/>
      <c r="CH34" s="844"/>
      <c r="CI34" s="844"/>
      <c r="CJ34" s="844"/>
      <c r="CK34" s="844"/>
      <c r="CL34" s="844"/>
      <c r="CM34" s="844"/>
      <c r="CN34" s="844"/>
      <c r="CO34" s="844"/>
      <c r="CP34" s="844"/>
      <c r="CQ34" s="844"/>
      <c r="CR34" s="844"/>
      <c r="CS34" s="844"/>
      <c r="CT34" s="844"/>
      <c r="CU34" s="844"/>
      <c r="CV34" s="844"/>
      <c r="CW34" s="844"/>
      <c r="CX34" s="844"/>
      <c r="CY34" s="844"/>
      <c r="CZ34" s="844"/>
      <c r="DA34" s="844"/>
      <c r="DB34" s="844"/>
      <c r="DC34" s="844"/>
      <c r="DD34" s="844"/>
      <c r="DE34" s="844"/>
      <c r="DF34" s="844"/>
      <c r="DG34" s="844"/>
      <c r="DH34" s="844"/>
      <c r="DI34" s="844"/>
      <c r="DJ34" s="844"/>
      <c r="DK34" s="844"/>
      <c r="DL34" s="844"/>
      <c r="DM34" s="844"/>
      <c r="DN34" s="844"/>
      <c r="DO34" s="844"/>
      <c r="DP34" s="844"/>
      <c r="DQ34" s="844"/>
      <c r="DR34" s="844"/>
      <c r="DS34" s="844"/>
      <c r="DT34" s="844"/>
      <c r="DU34" s="844"/>
      <c r="DV34" s="844"/>
      <c r="DW34" s="844"/>
      <c r="DX34" s="844"/>
      <c r="DY34" s="844"/>
      <c r="DZ34" s="844"/>
      <c r="EA34" s="844"/>
      <c r="EB34" s="844"/>
      <c r="EC34" s="844"/>
      <c r="ED34" s="844"/>
      <c r="EE34" s="844"/>
      <c r="EF34" s="844"/>
      <c r="EG34" s="844"/>
      <c r="EH34" s="844"/>
      <c r="EI34" s="844"/>
      <c r="EJ34" s="844"/>
      <c r="EK34" s="844"/>
      <c r="EL34" s="844"/>
      <c r="EM34" s="844"/>
      <c r="EN34" s="844"/>
      <c r="EO34" s="844"/>
      <c r="EP34" s="844"/>
      <c r="EQ34" s="844"/>
      <c r="ER34" s="844"/>
      <c r="ES34" s="844"/>
      <c r="ET34" s="844"/>
      <c r="EU34" s="844"/>
      <c r="EV34" s="844"/>
      <c r="EW34" s="844"/>
      <c r="EX34" s="844"/>
      <c r="EY34" s="844"/>
      <c r="EZ34" s="844"/>
      <c r="FA34" s="844"/>
      <c r="FB34" s="844"/>
      <c r="FC34" s="844"/>
      <c r="FD34" s="844"/>
      <c r="FE34" s="844"/>
      <c r="FF34" s="844"/>
      <c r="FG34" s="844"/>
      <c r="FH34" s="844"/>
      <c r="FI34" s="844"/>
      <c r="FJ34" s="844"/>
      <c r="FK34" s="844"/>
      <c r="FL34" s="844"/>
      <c r="FM34" s="844"/>
      <c r="FN34" s="844"/>
      <c r="FO34" s="844"/>
      <c r="FP34" s="844"/>
      <c r="FQ34" s="844"/>
      <c r="FR34" s="844"/>
      <c r="FS34" s="844"/>
      <c r="FT34" s="844"/>
      <c r="FU34" s="844"/>
      <c r="FV34" s="844"/>
      <c r="FW34" s="844"/>
      <c r="FX34" s="844"/>
      <c r="FY34" s="844"/>
      <c r="FZ34" s="844"/>
      <c r="GA34" s="844"/>
      <c r="GB34" s="844"/>
      <c r="GC34" s="844"/>
      <c r="GD34" s="844"/>
      <c r="GE34" s="844"/>
      <c r="GF34" s="844"/>
      <c r="GG34" s="844"/>
      <c r="GH34" s="844"/>
      <c r="GI34" s="844"/>
      <c r="GJ34" s="844"/>
      <c r="GK34" s="844"/>
      <c r="GL34" s="844"/>
      <c r="GM34" s="844"/>
      <c r="GN34" s="844"/>
      <c r="GO34" s="844"/>
      <c r="GP34" s="844"/>
      <c r="GQ34" s="844"/>
      <c r="GR34" s="844"/>
      <c r="GS34" s="844"/>
      <c r="GT34" s="844"/>
      <c r="GU34" s="844"/>
      <c r="GV34" s="844"/>
      <c r="GW34" s="844"/>
      <c r="GX34" s="844"/>
      <c r="GY34" s="844"/>
      <c r="GZ34" s="844"/>
      <c r="HA34" s="844"/>
      <c r="HB34" s="844"/>
      <c r="HC34" s="844"/>
      <c r="HD34" s="844"/>
      <c r="HE34" s="844"/>
      <c r="HF34" s="844"/>
      <c r="HG34" s="844"/>
      <c r="HH34" s="844"/>
      <c r="HI34" s="844"/>
      <c r="HJ34" s="844"/>
      <c r="HK34" s="844"/>
      <c r="HL34" s="844"/>
      <c r="HM34" s="844"/>
      <c r="HN34" s="844"/>
      <c r="HO34" s="844"/>
      <c r="HP34" s="844"/>
      <c r="HQ34" s="844"/>
      <c r="HR34" s="844"/>
      <c r="HS34" s="844"/>
      <c r="HT34" s="844"/>
      <c r="HU34" s="844"/>
      <c r="HV34" s="844"/>
      <c r="HW34" s="844"/>
      <c r="HX34" s="844"/>
      <c r="HY34" s="844"/>
      <c r="HZ34" s="844"/>
      <c r="IA34" s="844"/>
      <c r="IB34" s="844"/>
      <c r="IC34" s="844"/>
      <c r="ID34" s="844"/>
      <c r="IE34" s="844"/>
      <c r="IF34" s="844"/>
      <c r="IG34" s="844"/>
      <c r="IH34" s="844"/>
      <c r="II34" s="844"/>
      <c r="IJ34" s="844"/>
      <c r="IK34" s="844"/>
      <c r="IL34" s="844"/>
      <c r="IM34" s="844"/>
      <c r="IN34" s="844"/>
      <c r="IO34" s="844"/>
      <c r="IP34" s="844"/>
      <c r="IQ34" s="844"/>
      <c r="IR34" s="844"/>
      <c r="IS34" s="844"/>
      <c r="IT34" s="844"/>
      <c r="IU34" s="844"/>
      <c r="IV34" s="844"/>
    </row>
    <row r="35" spans="7:256">
      <c r="G35" s="844"/>
      <c r="H35" s="844"/>
      <c r="I35" s="844"/>
      <c r="J35" s="844"/>
      <c r="K35" s="844"/>
      <c r="L35" s="844"/>
      <c r="M35" s="844"/>
      <c r="N35" s="844"/>
      <c r="O35" s="844"/>
      <c r="P35" s="844"/>
      <c r="Q35" s="844"/>
      <c r="R35" s="844"/>
      <c r="S35" s="844"/>
      <c r="T35" s="844"/>
      <c r="U35" s="844"/>
      <c r="V35" s="844"/>
      <c r="W35" s="844"/>
      <c r="X35" s="844"/>
      <c r="Y35" s="844"/>
      <c r="Z35" s="844"/>
      <c r="AA35" s="844"/>
      <c r="AB35" s="844"/>
      <c r="AC35" s="844"/>
      <c r="AD35" s="844"/>
      <c r="AE35" s="844"/>
      <c r="AF35" s="844"/>
      <c r="AG35" s="844"/>
      <c r="AH35" s="844"/>
      <c r="AI35" s="844"/>
      <c r="AJ35" s="844"/>
      <c r="AK35" s="844"/>
      <c r="AL35" s="844"/>
      <c r="AM35" s="844"/>
      <c r="AN35" s="844"/>
      <c r="AO35" s="844"/>
      <c r="AP35" s="844"/>
      <c r="AQ35" s="844"/>
      <c r="AR35" s="844"/>
      <c r="AS35" s="844"/>
      <c r="AT35" s="844"/>
      <c r="AU35" s="844"/>
      <c r="AV35" s="844"/>
      <c r="AW35" s="844"/>
      <c r="AX35" s="844"/>
      <c r="AY35" s="844"/>
      <c r="AZ35" s="844"/>
      <c r="BA35" s="844"/>
      <c r="BB35" s="844"/>
      <c r="BC35" s="844"/>
      <c r="BD35" s="844"/>
      <c r="BE35" s="844"/>
      <c r="BF35" s="844"/>
      <c r="BG35" s="844"/>
      <c r="BH35" s="844"/>
      <c r="BI35" s="844"/>
      <c r="BJ35" s="844"/>
      <c r="BK35" s="844"/>
      <c r="BL35" s="844"/>
      <c r="BM35" s="844"/>
      <c r="BN35" s="844"/>
      <c r="BO35" s="844"/>
      <c r="BP35" s="844"/>
      <c r="BQ35" s="844"/>
      <c r="BR35" s="844"/>
      <c r="BS35" s="844"/>
      <c r="BT35" s="844"/>
      <c r="BU35" s="844"/>
      <c r="BV35" s="844"/>
      <c r="BW35" s="844"/>
      <c r="BX35" s="844"/>
      <c r="BY35" s="844"/>
      <c r="BZ35" s="844"/>
      <c r="CA35" s="844"/>
      <c r="CB35" s="844"/>
      <c r="CC35" s="844"/>
      <c r="CD35" s="844"/>
      <c r="CE35" s="844"/>
      <c r="CF35" s="844"/>
      <c r="CG35" s="844"/>
      <c r="CH35" s="844"/>
      <c r="CI35" s="844"/>
      <c r="CJ35" s="844"/>
      <c r="CK35" s="844"/>
      <c r="CL35" s="844"/>
      <c r="CM35" s="844"/>
      <c r="CN35" s="844"/>
      <c r="CO35" s="844"/>
      <c r="CP35" s="844"/>
      <c r="CQ35" s="844"/>
      <c r="CR35" s="844"/>
      <c r="CS35" s="844"/>
      <c r="CT35" s="844"/>
      <c r="CU35" s="844"/>
      <c r="CV35" s="844"/>
      <c r="CW35" s="844"/>
      <c r="CX35" s="844"/>
      <c r="CY35" s="844"/>
      <c r="CZ35" s="844"/>
      <c r="DA35" s="844"/>
      <c r="DB35" s="844"/>
      <c r="DC35" s="844"/>
      <c r="DD35" s="844"/>
      <c r="DE35" s="844"/>
      <c r="DF35" s="844"/>
      <c r="DG35" s="844"/>
      <c r="DH35" s="844"/>
      <c r="DI35" s="844"/>
      <c r="DJ35" s="844"/>
      <c r="DK35" s="844"/>
      <c r="DL35" s="844"/>
      <c r="DM35" s="844"/>
      <c r="DN35" s="844"/>
      <c r="DO35" s="844"/>
      <c r="DP35" s="844"/>
      <c r="DQ35" s="844"/>
      <c r="DR35" s="844"/>
      <c r="DS35" s="844"/>
      <c r="DT35" s="844"/>
      <c r="DU35" s="844"/>
      <c r="DV35" s="844"/>
      <c r="DW35" s="844"/>
      <c r="DX35" s="844"/>
      <c r="DY35" s="844"/>
      <c r="DZ35" s="844"/>
      <c r="EA35" s="844"/>
      <c r="EB35" s="844"/>
      <c r="EC35" s="844"/>
      <c r="ED35" s="844"/>
      <c r="EE35" s="844"/>
      <c r="EF35" s="844"/>
      <c r="EG35" s="844"/>
      <c r="EH35" s="844"/>
      <c r="EI35" s="844"/>
      <c r="EJ35" s="844"/>
      <c r="EK35" s="844"/>
      <c r="EL35" s="844"/>
      <c r="EM35" s="844"/>
      <c r="EN35" s="844"/>
      <c r="EO35" s="844"/>
      <c r="EP35" s="844"/>
      <c r="EQ35" s="844"/>
      <c r="ER35" s="844"/>
      <c r="ES35" s="844"/>
      <c r="ET35" s="844"/>
      <c r="EU35" s="844"/>
      <c r="EV35" s="844"/>
      <c r="EW35" s="844"/>
      <c r="EX35" s="844"/>
      <c r="EY35" s="844"/>
      <c r="EZ35" s="844"/>
      <c r="FA35" s="844"/>
      <c r="FB35" s="844"/>
      <c r="FC35" s="844"/>
      <c r="FD35" s="844"/>
      <c r="FE35" s="844"/>
      <c r="FF35" s="844"/>
      <c r="FG35" s="844"/>
      <c r="FH35" s="844"/>
      <c r="FI35" s="844"/>
      <c r="FJ35" s="844"/>
      <c r="FK35" s="844"/>
      <c r="FL35" s="844"/>
      <c r="FM35" s="844"/>
      <c r="FN35" s="844"/>
      <c r="FO35" s="844"/>
      <c r="FP35" s="844"/>
      <c r="FQ35" s="844"/>
      <c r="FR35" s="844"/>
      <c r="FS35" s="844"/>
      <c r="FT35" s="844"/>
      <c r="FU35" s="844"/>
      <c r="FV35" s="844"/>
      <c r="FW35" s="844"/>
      <c r="FX35" s="844"/>
      <c r="FY35" s="844"/>
      <c r="FZ35" s="844"/>
      <c r="GA35" s="844"/>
      <c r="GB35" s="844"/>
      <c r="GC35" s="844"/>
      <c r="GD35" s="844"/>
      <c r="GE35" s="844"/>
      <c r="GF35" s="844"/>
      <c r="GG35" s="844"/>
      <c r="GH35" s="844"/>
      <c r="GI35" s="844"/>
      <c r="GJ35" s="844"/>
      <c r="GK35" s="844"/>
      <c r="GL35" s="844"/>
      <c r="GM35" s="844"/>
      <c r="GN35" s="844"/>
      <c r="GO35" s="844"/>
      <c r="GP35" s="844"/>
      <c r="GQ35" s="844"/>
      <c r="GR35" s="844"/>
      <c r="GS35" s="844"/>
      <c r="GT35" s="844"/>
      <c r="GU35" s="844"/>
      <c r="GV35" s="844"/>
      <c r="GW35" s="844"/>
      <c r="GX35" s="844"/>
      <c r="GY35" s="844"/>
      <c r="GZ35" s="844"/>
      <c r="HA35" s="844"/>
      <c r="HB35" s="844"/>
      <c r="HC35" s="844"/>
      <c r="HD35" s="844"/>
      <c r="HE35" s="844"/>
      <c r="HF35" s="844"/>
      <c r="HG35" s="844"/>
      <c r="HH35" s="844"/>
      <c r="HI35" s="844"/>
      <c r="HJ35" s="844"/>
      <c r="HK35" s="844"/>
      <c r="HL35" s="844"/>
      <c r="HM35" s="844"/>
      <c r="HN35" s="844"/>
      <c r="HO35" s="844"/>
      <c r="HP35" s="844"/>
      <c r="HQ35" s="844"/>
      <c r="HR35" s="844"/>
      <c r="HS35" s="844"/>
      <c r="HT35" s="844"/>
      <c r="HU35" s="844"/>
      <c r="HV35" s="844"/>
      <c r="HW35" s="844"/>
      <c r="HX35" s="844"/>
      <c r="HY35" s="844"/>
      <c r="HZ35" s="844"/>
      <c r="IA35" s="844"/>
      <c r="IB35" s="844"/>
      <c r="IC35" s="844"/>
      <c r="ID35" s="844"/>
      <c r="IE35" s="844"/>
      <c r="IF35" s="844"/>
      <c r="IG35" s="844"/>
      <c r="IH35" s="844"/>
      <c r="II35" s="844"/>
      <c r="IJ35" s="844"/>
      <c r="IK35" s="844"/>
      <c r="IL35" s="844"/>
      <c r="IM35" s="844"/>
      <c r="IN35" s="844"/>
      <c r="IO35" s="844"/>
      <c r="IP35" s="844"/>
      <c r="IQ35" s="844"/>
      <c r="IR35" s="844"/>
      <c r="IS35" s="844"/>
      <c r="IT35" s="844"/>
      <c r="IU35" s="844"/>
      <c r="IV35" s="844"/>
    </row>
    <row r="36" spans="7:256">
      <c r="G36" s="844"/>
      <c r="H36" s="844"/>
      <c r="I36" s="844"/>
      <c r="J36" s="844"/>
      <c r="K36" s="844"/>
      <c r="L36" s="844"/>
      <c r="M36" s="844"/>
      <c r="N36" s="844"/>
      <c r="O36" s="844"/>
      <c r="P36" s="844"/>
      <c r="Q36" s="844"/>
      <c r="R36" s="844"/>
      <c r="S36" s="844"/>
      <c r="T36" s="844"/>
      <c r="U36" s="844"/>
      <c r="V36" s="844"/>
      <c r="W36" s="844"/>
      <c r="X36" s="844"/>
      <c r="Y36" s="844"/>
      <c r="Z36" s="844"/>
      <c r="AA36" s="844"/>
      <c r="AB36" s="844"/>
      <c r="AC36" s="844"/>
      <c r="AD36" s="844"/>
      <c r="AE36" s="844"/>
      <c r="AF36" s="844"/>
      <c r="AG36" s="844"/>
      <c r="AH36" s="844"/>
      <c r="AI36" s="844"/>
      <c r="AJ36" s="844"/>
      <c r="AK36" s="844"/>
      <c r="AL36" s="844"/>
      <c r="AM36" s="844"/>
      <c r="AN36" s="844"/>
      <c r="AO36" s="844"/>
      <c r="AP36" s="844"/>
      <c r="AQ36" s="844"/>
      <c r="AR36" s="844"/>
      <c r="AS36" s="844"/>
      <c r="AT36" s="844"/>
      <c r="AU36" s="844"/>
      <c r="AV36" s="844"/>
      <c r="AW36" s="844"/>
      <c r="AX36" s="844"/>
      <c r="AY36" s="844"/>
      <c r="AZ36" s="844"/>
      <c r="BA36" s="844"/>
      <c r="BB36" s="844"/>
      <c r="BC36" s="844"/>
      <c r="BD36" s="844"/>
      <c r="BE36" s="844"/>
      <c r="BF36" s="844"/>
      <c r="BG36" s="844"/>
      <c r="BH36" s="844"/>
      <c r="BI36" s="844"/>
      <c r="BJ36" s="844"/>
      <c r="BK36" s="844"/>
      <c r="BL36" s="844"/>
      <c r="BM36" s="844"/>
      <c r="BN36" s="844"/>
      <c r="BO36" s="844"/>
      <c r="BP36" s="844"/>
      <c r="BQ36" s="844"/>
      <c r="BR36" s="844"/>
      <c r="BS36" s="844"/>
      <c r="BT36" s="844"/>
      <c r="BU36" s="844"/>
      <c r="BV36" s="844"/>
      <c r="BW36" s="844"/>
      <c r="BX36" s="844"/>
      <c r="BY36" s="844"/>
      <c r="BZ36" s="844"/>
      <c r="CA36" s="844"/>
      <c r="CB36" s="844"/>
      <c r="CC36" s="844"/>
      <c r="CD36" s="844"/>
      <c r="CE36" s="844"/>
      <c r="CF36" s="844"/>
      <c r="CG36" s="844"/>
      <c r="CH36" s="844"/>
      <c r="CI36" s="844"/>
      <c r="CJ36" s="844"/>
      <c r="CK36" s="844"/>
      <c r="CL36" s="844"/>
      <c r="CM36" s="844"/>
      <c r="CN36" s="844"/>
      <c r="CO36" s="844"/>
      <c r="CP36" s="844"/>
      <c r="CQ36" s="844"/>
      <c r="CR36" s="844"/>
      <c r="CS36" s="844"/>
      <c r="CT36" s="844"/>
      <c r="CU36" s="844"/>
      <c r="CV36" s="844"/>
      <c r="CW36" s="844"/>
      <c r="CX36" s="844"/>
      <c r="CY36" s="844"/>
      <c r="CZ36" s="844"/>
      <c r="DA36" s="844"/>
      <c r="DB36" s="844"/>
      <c r="DC36" s="844"/>
      <c r="DD36" s="844"/>
      <c r="DE36" s="844"/>
      <c r="DF36" s="844"/>
      <c r="DG36" s="844"/>
      <c r="DH36" s="844"/>
      <c r="DI36" s="844"/>
      <c r="DJ36" s="844"/>
      <c r="DK36" s="844"/>
      <c r="DL36" s="844"/>
      <c r="DM36" s="844"/>
      <c r="DN36" s="844"/>
      <c r="DO36" s="844"/>
      <c r="DP36" s="844"/>
      <c r="DQ36" s="844"/>
      <c r="DR36" s="844"/>
      <c r="DS36" s="844"/>
      <c r="DT36" s="844"/>
      <c r="DU36" s="844"/>
      <c r="DV36" s="844"/>
      <c r="DW36" s="844"/>
      <c r="DX36" s="844"/>
      <c r="DY36" s="844"/>
      <c r="DZ36" s="844"/>
      <c r="EA36" s="844"/>
      <c r="EB36" s="844"/>
      <c r="EC36" s="844"/>
      <c r="ED36" s="844"/>
      <c r="EE36" s="844"/>
      <c r="EF36" s="844"/>
      <c r="EG36" s="844"/>
      <c r="EH36" s="844"/>
      <c r="EI36" s="844"/>
      <c r="EJ36" s="844"/>
      <c r="EK36" s="844"/>
      <c r="EL36" s="844"/>
      <c r="EM36" s="844"/>
      <c r="EN36" s="844"/>
      <c r="EO36" s="844"/>
      <c r="EP36" s="844"/>
      <c r="EQ36" s="844"/>
      <c r="ER36" s="844"/>
      <c r="ES36" s="844"/>
      <c r="ET36" s="844"/>
      <c r="EU36" s="844"/>
      <c r="EV36" s="844"/>
      <c r="EW36" s="844"/>
      <c r="EX36" s="844"/>
      <c r="EY36" s="844"/>
      <c r="EZ36" s="844"/>
      <c r="FA36" s="844"/>
      <c r="FB36" s="844"/>
      <c r="FC36" s="844"/>
      <c r="FD36" s="844"/>
      <c r="FE36" s="844"/>
      <c r="FF36" s="844"/>
      <c r="FG36" s="844"/>
      <c r="FH36" s="844"/>
      <c r="FI36" s="844"/>
      <c r="FJ36" s="844"/>
      <c r="FK36" s="844"/>
      <c r="FL36" s="844"/>
      <c r="FM36" s="844"/>
      <c r="FN36" s="844"/>
      <c r="FO36" s="844"/>
      <c r="FP36" s="844"/>
      <c r="FQ36" s="844"/>
      <c r="FR36" s="844"/>
      <c r="FS36" s="844"/>
      <c r="FT36" s="844"/>
      <c r="FU36" s="844"/>
      <c r="FV36" s="844"/>
      <c r="FW36" s="844"/>
      <c r="FX36" s="844"/>
      <c r="FY36" s="844"/>
      <c r="FZ36" s="844"/>
      <c r="GA36" s="844"/>
      <c r="GB36" s="844"/>
      <c r="GC36" s="844"/>
      <c r="GD36" s="844"/>
      <c r="GE36" s="844"/>
      <c r="GF36" s="844"/>
      <c r="GG36" s="844"/>
      <c r="GH36" s="844"/>
      <c r="GI36" s="844"/>
      <c r="GJ36" s="844"/>
      <c r="GK36" s="844"/>
      <c r="GL36" s="844"/>
      <c r="GM36" s="844"/>
      <c r="GN36" s="844"/>
      <c r="GO36" s="844"/>
      <c r="GP36" s="844"/>
      <c r="GQ36" s="844"/>
      <c r="GR36" s="844"/>
      <c r="GS36" s="844"/>
      <c r="GT36" s="844"/>
      <c r="GU36" s="844"/>
      <c r="GV36" s="844"/>
      <c r="GW36" s="844"/>
      <c r="GX36" s="844"/>
      <c r="GY36" s="844"/>
      <c r="GZ36" s="844"/>
      <c r="HA36" s="844"/>
      <c r="HB36" s="844"/>
      <c r="HC36" s="844"/>
      <c r="HD36" s="844"/>
      <c r="HE36" s="844"/>
      <c r="HF36" s="844"/>
      <c r="HG36" s="844"/>
      <c r="HH36" s="844"/>
      <c r="HI36" s="844"/>
      <c r="HJ36" s="844"/>
      <c r="HK36" s="844"/>
      <c r="HL36" s="844"/>
      <c r="HM36" s="844"/>
      <c r="HN36" s="844"/>
      <c r="HO36" s="844"/>
      <c r="HP36" s="844"/>
      <c r="HQ36" s="844"/>
      <c r="HR36" s="844"/>
      <c r="HS36" s="844"/>
      <c r="HT36" s="844"/>
      <c r="HU36" s="844"/>
      <c r="HV36" s="844"/>
      <c r="HW36" s="844"/>
      <c r="HX36" s="844"/>
      <c r="HY36" s="844"/>
      <c r="HZ36" s="844"/>
      <c r="IA36" s="844"/>
      <c r="IB36" s="844"/>
      <c r="IC36" s="844"/>
      <c r="ID36" s="844"/>
      <c r="IE36" s="844"/>
      <c r="IF36" s="844"/>
      <c r="IG36" s="844"/>
      <c r="IH36" s="844"/>
      <c r="II36" s="844"/>
      <c r="IJ36" s="844"/>
      <c r="IK36" s="844"/>
      <c r="IL36" s="844"/>
      <c r="IM36" s="844"/>
      <c r="IN36" s="844"/>
      <c r="IO36" s="844"/>
      <c r="IP36" s="844"/>
      <c r="IQ36" s="844"/>
      <c r="IR36" s="844"/>
      <c r="IS36" s="844"/>
      <c r="IT36" s="844"/>
      <c r="IU36" s="844"/>
      <c r="IV36" s="844"/>
    </row>
    <row r="37" spans="7:256" ht="16.5">
      <c r="G37" s="846"/>
      <c r="H37" s="846"/>
      <c r="I37" s="846"/>
      <c r="J37" s="846"/>
      <c r="K37" s="846"/>
      <c r="L37" s="846"/>
      <c r="M37" s="846"/>
      <c r="N37" s="846"/>
      <c r="O37" s="846"/>
      <c r="P37" s="846"/>
      <c r="Q37" s="846"/>
      <c r="R37" s="846"/>
      <c r="S37" s="846"/>
      <c r="T37" s="846"/>
      <c r="U37" s="846"/>
      <c r="V37" s="846"/>
      <c r="W37" s="846"/>
      <c r="X37" s="846"/>
      <c r="Y37" s="846"/>
      <c r="Z37" s="846"/>
      <c r="AA37" s="846"/>
      <c r="AB37" s="846"/>
      <c r="AC37" s="846"/>
      <c r="AD37" s="846"/>
      <c r="AE37" s="846"/>
      <c r="AF37" s="846"/>
      <c r="AG37" s="846"/>
      <c r="AH37" s="846"/>
      <c r="AI37" s="846"/>
      <c r="AJ37" s="846"/>
      <c r="AK37" s="846"/>
      <c r="AL37" s="846"/>
      <c r="AM37" s="846"/>
      <c r="AN37" s="846"/>
      <c r="AO37" s="846"/>
      <c r="AP37" s="846"/>
      <c r="AQ37" s="846"/>
      <c r="AR37" s="846"/>
      <c r="AS37" s="846"/>
      <c r="AT37" s="846"/>
      <c r="AU37" s="846"/>
      <c r="AV37" s="846"/>
      <c r="AW37" s="846"/>
      <c r="AX37" s="846"/>
      <c r="AY37" s="846"/>
      <c r="AZ37" s="846"/>
      <c r="BA37" s="846"/>
      <c r="BB37" s="846"/>
      <c r="BC37" s="846"/>
      <c r="BD37" s="846"/>
      <c r="BE37" s="846"/>
      <c r="BF37" s="846"/>
      <c r="BG37" s="846"/>
      <c r="BH37" s="846"/>
      <c r="BI37" s="846"/>
      <c r="BJ37" s="846"/>
      <c r="BK37" s="846"/>
      <c r="BL37" s="846"/>
      <c r="BM37" s="846"/>
      <c r="BN37" s="846"/>
      <c r="BO37" s="846"/>
      <c r="BP37" s="846"/>
      <c r="BQ37" s="846"/>
      <c r="BR37" s="846"/>
      <c r="BS37" s="846"/>
      <c r="BT37" s="846"/>
      <c r="BU37" s="846"/>
      <c r="BV37" s="846"/>
      <c r="BW37" s="846"/>
      <c r="BX37" s="846"/>
      <c r="BY37" s="846"/>
      <c r="BZ37" s="846"/>
      <c r="CA37" s="846"/>
      <c r="CB37" s="846"/>
      <c r="CC37" s="846"/>
      <c r="CD37" s="846"/>
      <c r="CE37" s="846"/>
      <c r="CF37" s="846"/>
      <c r="CG37" s="846"/>
      <c r="CH37" s="846"/>
      <c r="CI37" s="846"/>
      <c r="CJ37" s="846"/>
      <c r="CK37" s="846"/>
      <c r="CL37" s="846"/>
      <c r="CM37" s="846"/>
      <c r="CN37" s="846"/>
      <c r="CO37" s="846"/>
      <c r="CP37" s="846"/>
      <c r="CQ37" s="846"/>
      <c r="CR37" s="846"/>
      <c r="CS37" s="846"/>
      <c r="CT37" s="846"/>
      <c r="CU37" s="846"/>
      <c r="CV37" s="846"/>
      <c r="CW37" s="846"/>
      <c r="CX37" s="846"/>
      <c r="CY37" s="846"/>
      <c r="CZ37" s="846"/>
      <c r="DA37" s="846"/>
      <c r="DB37" s="846"/>
      <c r="DC37" s="846"/>
      <c r="DD37" s="846"/>
      <c r="DE37" s="846"/>
      <c r="DF37" s="846"/>
      <c r="DG37" s="846"/>
      <c r="DH37" s="846"/>
      <c r="DI37" s="846"/>
      <c r="DJ37" s="846"/>
      <c r="DK37" s="846"/>
      <c r="DL37" s="846"/>
      <c r="DM37" s="846"/>
      <c r="DN37" s="846"/>
      <c r="DO37" s="846"/>
      <c r="DP37" s="846"/>
      <c r="DQ37" s="846"/>
      <c r="DR37" s="846"/>
      <c r="DS37" s="846"/>
      <c r="DT37" s="846"/>
      <c r="DU37" s="846"/>
      <c r="DV37" s="846"/>
      <c r="DW37" s="846"/>
      <c r="DX37" s="846"/>
      <c r="DY37" s="846"/>
      <c r="DZ37" s="846"/>
      <c r="EA37" s="846"/>
      <c r="EB37" s="846"/>
      <c r="EC37" s="846"/>
      <c r="ED37" s="846"/>
      <c r="EE37" s="846"/>
      <c r="EF37" s="846"/>
      <c r="EG37" s="846"/>
      <c r="EH37" s="846"/>
      <c r="EI37" s="846"/>
      <c r="EJ37" s="846"/>
      <c r="EK37" s="846"/>
      <c r="EL37" s="846"/>
      <c r="EM37" s="846"/>
      <c r="EN37" s="846"/>
      <c r="EO37" s="846"/>
      <c r="EP37" s="846"/>
      <c r="EQ37" s="846"/>
      <c r="ER37" s="846"/>
      <c r="ES37" s="846"/>
      <c r="ET37" s="846"/>
      <c r="EU37" s="846"/>
      <c r="EV37" s="846"/>
      <c r="EW37" s="846"/>
      <c r="EX37" s="846"/>
      <c r="EY37" s="846"/>
      <c r="EZ37" s="846"/>
      <c r="FA37" s="846"/>
      <c r="FB37" s="846"/>
      <c r="FC37" s="846"/>
      <c r="FD37" s="846"/>
      <c r="FE37" s="846"/>
      <c r="FF37" s="846"/>
      <c r="FG37" s="846"/>
      <c r="FH37" s="846"/>
      <c r="FI37" s="846"/>
      <c r="FJ37" s="846"/>
      <c r="FK37" s="846"/>
      <c r="FL37" s="846"/>
      <c r="FM37" s="846"/>
      <c r="FN37" s="846"/>
      <c r="FO37" s="846"/>
      <c r="FP37" s="846"/>
      <c r="FQ37" s="846"/>
      <c r="FR37" s="846"/>
      <c r="FS37" s="846"/>
      <c r="FT37" s="846"/>
      <c r="FU37" s="846"/>
      <c r="FV37" s="846"/>
      <c r="FW37" s="846"/>
      <c r="FX37" s="846"/>
      <c r="FY37" s="846"/>
      <c r="FZ37" s="846"/>
      <c r="GA37" s="846"/>
      <c r="GB37" s="846"/>
      <c r="GC37" s="846"/>
      <c r="GD37" s="846"/>
      <c r="GE37" s="846"/>
      <c r="GF37" s="846"/>
      <c r="GG37" s="846"/>
      <c r="GH37" s="846"/>
      <c r="GI37" s="846"/>
      <c r="GJ37" s="846"/>
      <c r="GK37" s="846"/>
      <c r="GL37" s="846"/>
      <c r="GM37" s="846"/>
      <c r="GN37" s="846"/>
      <c r="GO37" s="846"/>
      <c r="GP37" s="846"/>
      <c r="GQ37" s="846"/>
      <c r="GR37" s="846"/>
      <c r="GS37" s="846"/>
      <c r="GT37" s="846"/>
      <c r="GU37" s="846"/>
      <c r="GV37" s="846"/>
      <c r="GW37" s="846"/>
      <c r="GX37" s="846"/>
      <c r="GY37" s="846"/>
      <c r="GZ37" s="846"/>
      <c r="HA37" s="846"/>
      <c r="HB37" s="846"/>
      <c r="HC37" s="846"/>
      <c r="HD37" s="846"/>
      <c r="HE37" s="846"/>
      <c r="HF37" s="846"/>
      <c r="HG37" s="846"/>
      <c r="HH37" s="846"/>
      <c r="HI37" s="846"/>
      <c r="HJ37" s="846"/>
      <c r="HK37" s="846"/>
      <c r="HL37" s="846"/>
      <c r="HM37" s="846"/>
      <c r="HN37" s="846"/>
      <c r="HO37" s="846"/>
      <c r="HP37" s="846"/>
      <c r="HQ37" s="846"/>
      <c r="HR37" s="846"/>
      <c r="HS37" s="846"/>
      <c r="HT37" s="846"/>
      <c r="HU37" s="846"/>
      <c r="HV37" s="846"/>
      <c r="HW37" s="846"/>
      <c r="HX37" s="846"/>
      <c r="HY37" s="846"/>
      <c r="HZ37" s="846"/>
      <c r="IA37" s="846"/>
      <c r="IB37" s="846"/>
      <c r="IC37" s="846"/>
      <c r="ID37" s="846"/>
      <c r="IE37" s="846"/>
      <c r="IF37" s="846"/>
      <c r="IG37" s="846"/>
      <c r="IH37" s="846"/>
      <c r="II37" s="846"/>
      <c r="IJ37" s="846"/>
      <c r="IK37" s="846"/>
      <c r="IL37" s="846"/>
      <c r="IM37" s="846"/>
      <c r="IN37" s="846"/>
      <c r="IO37" s="846"/>
      <c r="IP37" s="846"/>
      <c r="IQ37" s="846"/>
      <c r="IR37" s="846"/>
      <c r="IS37" s="846"/>
      <c r="IT37" s="846"/>
      <c r="IU37" s="846"/>
      <c r="IV37" s="846"/>
    </row>
    <row r="38" spans="7:256">
      <c r="G38" s="844"/>
      <c r="H38" s="844"/>
      <c r="I38" s="844"/>
      <c r="J38" s="844"/>
      <c r="K38" s="844"/>
      <c r="L38" s="844"/>
      <c r="M38" s="844"/>
      <c r="N38" s="844"/>
      <c r="O38" s="844"/>
      <c r="P38" s="844"/>
      <c r="Q38" s="844"/>
      <c r="R38" s="844"/>
      <c r="S38" s="844"/>
      <c r="T38" s="844"/>
      <c r="U38" s="844"/>
      <c r="V38" s="844"/>
      <c r="W38" s="844"/>
      <c r="X38" s="844"/>
      <c r="Y38" s="844"/>
      <c r="Z38" s="844"/>
      <c r="AA38" s="844"/>
      <c r="AB38" s="844"/>
      <c r="AC38" s="844"/>
      <c r="AD38" s="844"/>
      <c r="AE38" s="844"/>
      <c r="AF38" s="844"/>
      <c r="AG38" s="844"/>
      <c r="AH38" s="844"/>
      <c r="AI38" s="844"/>
      <c r="AJ38" s="844"/>
      <c r="AK38" s="844"/>
      <c r="AL38" s="844"/>
      <c r="AM38" s="844"/>
      <c r="AN38" s="844"/>
      <c r="AO38" s="844"/>
      <c r="AP38" s="844"/>
      <c r="AQ38" s="844"/>
      <c r="AR38" s="844"/>
      <c r="AS38" s="844"/>
      <c r="AT38" s="844"/>
      <c r="AU38" s="844"/>
      <c r="AV38" s="844"/>
      <c r="AW38" s="844"/>
      <c r="AX38" s="844"/>
      <c r="AY38" s="844"/>
      <c r="AZ38" s="844"/>
      <c r="BA38" s="844"/>
      <c r="BB38" s="844"/>
      <c r="BC38" s="844"/>
      <c r="BD38" s="844"/>
      <c r="BE38" s="844"/>
      <c r="BF38" s="844"/>
      <c r="BG38" s="844"/>
      <c r="BH38" s="844"/>
      <c r="BI38" s="844"/>
      <c r="BJ38" s="844"/>
      <c r="BK38" s="844"/>
      <c r="BL38" s="844"/>
      <c r="BM38" s="844"/>
      <c r="BN38" s="844"/>
      <c r="BO38" s="844"/>
      <c r="BP38" s="844"/>
      <c r="BQ38" s="844"/>
      <c r="BR38" s="844"/>
      <c r="BS38" s="844"/>
      <c r="BT38" s="844"/>
      <c r="BU38" s="844"/>
      <c r="BV38" s="844"/>
      <c r="BW38" s="844"/>
      <c r="BX38" s="844"/>
      <c r="BY38" s="844"/>
      <c r="BZ38" s="844"/>
      <c r="CA38" s="844"/>
      <c r="CB38" s="844"/>
      <c r="CC38" s="844"/>
      <c r="CD38" s="844"/>
      <c r="CE38" s="844"/>
      <c r="CF38" s="844"/>
      <c r="CG38" s="844"/>
      <c r="CH38" s="844"/>
      <c r="CI38" s="844"/>
      <c r="CJ38" s="844"/>
      <c r="CK38" s="844"/>
      <c r="CL38" s="844"/>
      <c r="CM38" s="844"/>
      <c r="CN38" s="844"/>
      <c r="CO38" s="844"/>
      <c r="CP38" s="844"/>
      <c r="CQ38" s="844"/>
      <c r="CR38" s="844"/>
      <c r="CS38" s="844"/>
      <c r="CT38" s="844"/>
      <c r="CU38" s="844"/>
      <c r="CV38" s="844"/>
      <c r="CW38" s="844"/>
      <c r="CX38" s="844"/>
      <c r="CY38" s="844"/>
      <c r="CZ38" s="844"/>
      <c r="DA38" s="844"/>
      <c r="DB38" s="844"/>
      <c r="DC38" s="844"/>
      <c r="DD38" s="844"/>
      <c r="DE38" s="844"/>
      <c r="DF38" s="844"/>
      <c r="DG38" s="844"/>
      <c r="DH38" s="844"/>
      <c r="DI38" s="844"/>
      <c r="DJ38" s="844"/>
      <c r="DK38" s="844"/>
      <c r="DL38" s="844"/>
      <c r="DM38" s="844"/>
      <c r="DN38" s="844"/>
      <c r="DO38" s="844"/>
      <c r="DP38" s="844"/>
      <c r="DQ38" s="844"/>
      <c r="DR38" s="844"/>
      <c r="DS38" s="844"/>
      <c r="DT38" s="844"/>
      <c r="DU38" s="844"/>
      <c r="DV38" s="844"/>
      <c r="DW38" s="844"/>
      <c r="DX38" s="844"/>
      <c r="DY38" s="844"/>
      <c r="DZ38" s="844"/>
      <c r="EA38" s="844"/>
      <c r="EB38" s="844"/>
      <c r="EC38" s="844"/>
      <c r="ED38" s="844"/>
      <c r="EE38" s="844"/>
      <c r="EF38" s="844"/>
      <c r="EG38" s="844"/>
      <c r="EH38" s="844"/>
      <c r="EI38" s="844"/>
      <c r="EJ38" s="844"/>
      <c r="EK38" s="844"/>
      <c r="EL38" s="844"/>
      <c r="EM38" s="844"/>
      <c r="EN38" s="844"/>
      <c r="EO38" s="844"/>
      <c r="EP38" s="844"/>
      <c r="EQ38" s="844"/>
      <c r="ER38" s="844"/>
      <c r="ES38" s="844"/>
      <c r="ET38" s="844"/>
      <c r="EU38" s="844"/>
      <c r="EV38" s="844"/>
      <c r="EW38" s="844"/>
      <c r="EX38" s="844"/>
      <c r="EY38" s="844"/>
      <c r="EZ38" s="844"/>
      <c r="FA38" s="844"/>
      <c r="FB38" s="844"/>
      <c r="FC38" s="844"/>
      <c r="FD38" s="844"/>
      <c r="FE38" s="844"/>
      <c r="FF38" s="844"/>
      <c r="FG38" s="844"/>
      <c r="FH38" s="844"/>
      <c r="FI38" s="844"/>
      <c r="FJ38" s="844"/>
      <c r="FK38" s="844"/>
      <c r="FL38" s="844"/>
      <c r="FM38" s="844"/>
      <c r="FN38" s="844"/>
      <c r="FO38" s="844"/>
      <c r="FP38" s="844"/>
      <c r="FQ38" s="844"/>
      <c r="FR38" s="844"/>
      <c r="FS38" s="844"/>
      <c r="FT38" s="844"/>
      <c r="FU38" s="844"/>
      <c r="FV38" s="844"/>
      <c r="FW38" s="844"/>
      <c r="FX38" s="844"/>
      <c r="FY38" s="844"/>
      <c r="FZ38" s="844"/>
      <c r="GA38" s="844"/>
      <c r="GB38" s="844"/>
      <c r="GC38" s="844"/>
      <c r="GD38" s="844"/>
      <c r="GE38" s="844"/>
      <c r="GF38" s="844"/>
      <c r="GG38" s="844"/>
      <c r="GH38" s="844"/>
      <c r="GI38" s="844"/>
      <c r="GJ38" s="844"/>
      <c r="GK38" s="844"/>
      <c r="GL38" s="844"/>
      <c r="GM38" s="844"/>
      <c r="GN38" s="844"/>
      <c r="GO38" s="844"/>
      <c r="GP38" s="844"/>
      <c r="GQ38" s="844"/>
      <c r="GR38" s="844"/>
      <c r="GS38" s="844"/>
      <c r="GT38" s="844"/>
      <c r="GU38" s="844"/>
      <c r="GV38" s="844"/>
      <c r="GW38" s="844"/>
      <c r="GX38" s="844"/>
      <c r="GY38" s="844"/>
      <c r="GZ38" s="844"/>
      <c r="HA38" s="844"/>
      <c r="HB38" s="844"/>
      <c r="HC38" s="844"/>
      <c r="HD38" s="844"/>
      <c r="HE38" s="844"/>
      <c r="HF38" s="844"/>
      <c r="HG38" s="844"/>
      <c r="HH38" s="844"/>
      <c r="HI38" s="844"/>
      <c r="HJ38" s="844"/>
      <c r="HK38" s="844"/>
      <c r="HL38" s="844"/>
      <c r="HM38" s="844"/>
      <c r="HN38" s="844"/>
      <c r="HO38" s="844"/>
      <c r="HP38" s="844"/>
      <c r="HQ38" s="844"/>
      <c r="HR38" s="844"/>
      <c r="HS38" s="844"/>
      <c r="HT38" s="844"/>
      <c r="HU38" s="844"/>
      <c r="HV38" s="844"/>
      <c r="HW38" s="844"/>
      <c r="HX38" s="844"/>
      <c r="HY38" s="844"/>
      <c r="HZ38" s="844"/>
      <c r="IA38" s="844"/>
      <c r="IB38" s="844"/>
      <c r="IC38" s="844"/>
      <c r="ID38" s="844"/>
      <c r="IE38" s="844"/>
      <c r="IF38" s="844"/>
      <c r="IG38" s="844"/>
      <c r="IH38" s="844"/>
      <c r="II38" s="844"/>
      <c r="IJ38" s="844"/>
      <c r="IK38" s="844"/>
      <c r="IL38" s="844"/>
      <c r="IM38" s="844"/>
      <c r="IN38" s="844"/>
      <c r="IO38" s="844"/>
      <c r="IP38" s="844"/>
      <c r="IQ38" s="844"/>
      <c r="IR38" s="844"/>
      <c r="IS38" s="844"/>
      <c r="IT38" s="844"/>
      <c r="IU38" s="844"/>
      <c r="IV38" s="844"/>
    </row>
    <row r="39" spans="7:256" ht="16.5">
      <c r="G39" s="847"/>
    </row>
    <row r="40" spans="7:256" ht="16.5">
      <c r="G40" s="847"/>
    </row>
    <row r="41" spans="7:256" ht="16.5">
      <c r="G41" s="847"/>
    </row>
    <row r="42" spans="7:256">
      <c r="G42" s="843"/>
    </row>
    <row r="43" spans="7:256" ht="16.5">
      <c r="G43" s="848"/>
      <c r="H43" s="815"/>
      <c r="I43" s="815"/>
      <c r="J43" s="815"/>
      <c r="K43" s="815"/>
      <c r="L43" s="815"/>
      <c r="M43" s="815"/>
      <c r="N43" s="815"/>
      <c r="O43" s="815"/>
      <c r="P43" s="815"/>
      <c r="Q43" s="815"/>
      <c r="R43" s="815"/>
      <c r="S43" s="815"/>
      <c r="T43" s="815"/>
      <c r="U43" s="815"/>
      <c r="V43" s="815"/>
      <c r="W43" s="815"/>
      <c r="X43" s="815"/>
      <c r="Y43" s="815"/>
      <c r="Z43" s="815"/>
      <c r="AA43" s="815"/>
      <c r="AB43" s="815"/>
      <c r="AC43" s="815"/>
      <c r="AD43" s="815"/>
      <c r="AE43" s="815"/>
      <c r="AF43" s="815"/>
      <c r="AG43" s="815"/>
      <c r="AH43" s="815"/>
      <c r="AI43" s="815"/>
      <c r="AJ43" s="815"/>
      <c r="AK43" s="815"/>
      <c r="AL43" s="815"/>
      <c r="AM43" s="815"/>
      <c r="AN43" s="815"/>
      <c r="AO43" s="815"/>
      <c r="AP43" s="815"/>
      <c r="AQ43" s="815"/>
      <c r="AR43" s="815"/>
      <c r="AS43" s="815"/>
      <c r="AT43" s="815"/>
      <c r="AU43" s="815"/>
      <c r="AV43" s="815"/>
      <c r="AW43" s="815"/>
      <c r="AX43" s="815"/>
      <c r="AY43" s="815"/>
      <c r="AZ43" s="815"/>
      <c r="BA43" s="815"/>
      <c r="BB43" s="815"/>
      <c r="BC43" s="815"/>
      <c r="BD43" s="815"/>
      <c r="BE43" s="815"/>
      <c r="BF43" s="815"/>
      <c r="BG43" s="815"/>
      <c r="BH43" s="815"/>
      <c r="BI43" s="815"/>
      <c r="BJ43" s="815"/>
      <c r="BK43" s="815"/>
      <c r="BL43" s="815"/>
      <c r="BM43" s="815"/>
      <c r="BN43" s="815"/>
      <c r="BO43" s="815"/>
      <c r="BP43" s="815"/>
      <c r="BQ43" s="815"/>
      <c r="BR43" s="815"/>
      <c r="BS43" s="815"/>
      <c r="BT43" s="815"/>
      <c r="BU43" s="815"/>
      <c r="BV43" s="815"/>
      <c r="BW43" s="815"/>
      <c r="BX43" s="815"/>
      <c r="BY43" s="815"/>
      <c r="BZ43" s="815"/>
      <c r="CA43" s="815"/>
      <c r="CB43" s="815"/>
      <c r="CC43" s="815"/>
      <c r="CD43" s="815"/>
      <c r="CE43" s="815"/>
      <c r="CF43" s="815"/>
      <c r="CG43" s="815"/>
      <c r="CH43" s="815"/>
      <c r="CI43" s="815"/>
      <c r="CJ43" s="815"/>
      <c r="CK43" s="815"/>
      <c r="CL43" s="815"/>
      <c r="CM43" s="815"/>
      <c r="CN43" s="815"/>
      <c r="CO43" s="815"/>
      <c r="CP43" s="815"/>
      <c r="CQ43" s="815"/>
      <c r="CR43" s="815"/>
      <c r="CS43" s="815"/>
      <c r="CT43" s="815"/>
      <c r="CU43" s="815"/>
      <c r="CV43" s="815"/>
      <c r="CW43" s="815"/>
      <c r="CX43" s="815"/>
      <c r="CY43" s="815"/>
      <c r="CZ43" s="815"/>
      <c r="DA43" s="815"/>
      <c r="DB43" s="815"/>
      <c r="DC43" s="815"/>
      <c r="DD43" s="815"/>
      <c r="DE43" s="815"/>
      <c r="DF43" s="815"/>
      <c r="DG43" s="815"/>
      <c r="DH43" s="815"/>
      <c r="DI43" s="815"/>
      <c r="DJ43" s="815"/>
      <c r="DK43" s="815"/>
      <c r="DL43" s="815"/>
      <c r="DM43" s="815"/>
      <c r="DN43" s="815"/>
      <c r="DO43" s="815"/>
      <c r="DP43" s="815"/>
      <c r="DQ43" s="815"/>
      <c r="DR43" s="815"/>
      <c r="DS43" s="815"/>
      <c r="DT43" s="815"/>
      <c r="DU43" s="815"/>
      <c r="DV43" s="815"/>
      <c r="DW43" s="815"/>
      <c r="DX43" s="815"/>
      <c r="DY43" s="815"/>
      <c r="DZ43" s="815"/>
      <c r="EA43" s="815"/>
      <c r="EB43" s="815"/>
      <c r="EC43" s="815"/>
      <c r="ED43" s="815"/>
      <c r="EE43" s="815"/>
      <c r="EF43" s="815"/>
      <c r="EG43" s="815"/>
      <c r="EH43" s="815"/>
      <c r="EI43" s="815"/>
      <c r="EJ43" s="815"/>
      <c r="EK43" s="815"/>
      <c r="EL43" s="815"/>
      <c r="EM43" s="815"/>
      <c r="EN43" s="815"/>
      <c r="EO43" s="815"/>
      <c r="EP43" s="815"/>
      <c r="EQ43" s="815"/>
      <c r="ER43" s="815"/>
      <c r="ES43" s="815"/>
      <c r="ET43" s="815"/>
      <c r="EU43" s="815"/>
      <c r="EV43" s="815"/>
      <c r="EW43" s="815"/>
      <c r="EX43" s="815"/>
      <c r="EY43" s="815"/>
      <c r="EZ43" s="815"/>
      <c r="FA43" s="815"/>
      <c r="FB43" s="815"/>
      <c r="FC43" s="815"/>
      <c r="FD43" s="815"/>
      <c r="FE43" s="815"/>
      <c r="FF43" s="815"/>
      <c r="FG43" s="815"/>
      <c r="FH43" s="815"/>
      <c r="FI43" s="815"/>
      <c r="FJ43" s="815"/>
      <c r="FK43" s="815"/>
      <c r="FL43" s="815"/>
      <c r="FM43" s="815"/>
      <c r="FN43" s="815"/>
      <c r="FO43" s="815"/>
      <c r="FP43" s="815"/>
      <c r="FQ43" s="815"/>
      <c r="FR43" s="815"/>
      <c r="FS43" s="815"/>
      <c r="FT43" s="815"/>
      <c r="FU43" s="815"/>
      <c r="FV43" s="815"/>
      <c r="FW43" s="815"/>
      <c r="FX43" s="815"/>
      <c r="FY43" s="815"/>
      <c r="FZ43" s="815"/>
      <c r="GA43" s="815"/>
      <c r="GB43" s="815"/>
      <c r="GC43" s="815"/>
      <c r="GD43" s="815"/>
      <c r="GE43" s="815"/>
      <c r="GF43" s="815"/>
      <c r="GG43" s="815"/>
      <c r="GH43" s="815"/>
      <c r="GI43" s="815"/>
      <c r="GJ43" s="815"/>
      <c r="GK43" s="815"/>
      <c r="GL43" s="815"/>
      <c r="GM43" s="815"/>
      <c r="GN43" s="815"/>
      <c r="GO43" s="815"/>
      <c r="GP43" s="815"/>
      <c r="GQ43" s="815"/>
      <c r="GR43" s="815"/>
      <c r="GS43" s="815"/>
      <c r="GT43" s="815"/>
      <c r="GU43" s="815"/>
      <c r="GV43" s="815"/>
      <c r="GW43" s="815"/>
      <c r="GX43" s="815"/>
      <c r="GY43" s="815"/>
      <c r="GZ43" s="815"/>
      <c r="HA43" s="815"/>
      <c r="HB43" s="815"/>
      <c r="HC43" s="815"/>
      <c r="HD43" s="815"/>
      <c r="HE43" s="815"/>
      <c r="HF43" s="815"/>
      <c r="HG43" s="815"/>
      <c r="HH43" s="815"/>
      <c r="HI43" s="815"/>
      <c r="HJ43" s="815"/>
      <c r="HK43" s="815"/>
      <c r="HL43" s="815"/>
      <c r="HM43" s="815"/>
      <c r="HN43" s="815"/>
      <c r="HO43" s="815"/>
      <c r="HP43" s="815"/>
      <c r="HQ43" s="815"/>
      <c r="HR43" s="815"/>
      <c r="HS43" s="815"/>
      <c r="HT43" s="815"/>
      <c r="HU43" s="815"/>
      <c r="HV43" s="815"/>
      <c r="HW43" s="815"/>
      <c r="HX43" s="815"/>
      <c r="HY43" s="815"/>
      <c r="HZ43" s="815"/>
      <c r="IA43" s="815"/>
      <c r="IB43" s="815"/>
      <c r="IC43" s="815"/>
      <c r="ID43" s="815"/>
      <c r="IE43" s="815"/>
      <c r="IF43" s="815"/>
      <c r="IG43" s="815"/>
      <c r="IH43" s="815"/>
      <c r="II43" s="815"/>
      <c r="IJ43" s="815"/>
      <c r="IK43" s="815"/>
      <c r="IL43" s="815"/>
      <c r="IM43" s="815"/>
      <c r="IN43" s="815"/>
      <c r="IO43" s="815"/>
      <c r="IP43" s="815"/>
      <c r="IQ43" s="815"/>
      <c r="IR43" s="815"/>
      <c r="IS43" s="815"/>
      <c r="IT43" s="815"/>
      <c r="IU43" s="815"/>
      <c r="IV43" s="815"/>
    </row>
  </sheetData>
  <customSheetViews>
    <customSheetView guid="{F38BD2F3-61EE-4B49-A7FC-8FB2B5BA6A2F}"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29B4069-9BED-4703-B114-D2D164877E8C}"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3"/>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4"/>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7"/>
      <c r="B2" s="338"/>
      <c r="C2" s="339"/>
      <c r="D2" s="340"/>
      <c r="E2" s="341"/>
      <c r="F2" s="385"/>
      <c r="G2" s="385"/>
      <c r="H2" s="321"/>
      <c r="I2" s="342"/>
    </row>
    <row r="3" spans="1:9" ht="16.5">
      <c r="A3" s="310"/>
      <c r="B3" s="311" t="s">
        <v>268</v>
      </c>
      <c r="C3" s="312"/>
      <c r="D3" s="313"/>
      <c r="E3" s="343"/>
      <c r="F3" s="385"/>
      <c r="G3" s="385"/>
      <c r="H3" s="344">
        <f>SUMIF(I1:I2,"Direct",H1:H2)</f>
        <v>0</v>
      </c>
      <c r="I3" s="314"/>
    </row>
    <row r="4" spans="1:9" ht="33">
      <c r="A4" s="310"/>
      <c r="B4" s="311" t="s">
        <v>269</v>
      </c>
      <c r="C4" s="312"/>
      <c r="D4" s="313"/>
      <c r="E4" s="343"/>
      <c r="F4" s="385"/>
      <c r="G4" s="385"/>
      <c r="H4" s="344">
        <f>SUMIF(J1:J2,"Bought-Out",H1:H2)</f>
        <v>0</v>
      </c>
      <c r="I4" s="314"/>
    </row>
    <row r="5" spans="1:9" ht="16.5">
      <c r="A5" s="315"/>
      <c r="B5" s="311" t="s">
        <v>270</v>
      </c>
      <c r="C5" s="316"/>
      <c r="D5" s="317"/>
      <c r="E5" s="318"/>
      <c r="F5" s="318"/>
      <c r="G5" s="318"/>
      <c r="H5" s="345">
        <f>H3+H4</f>
        <v>0</v>
      </c>
      <c r="I5" s="319"/>
    </row>
    <row r="6" spans="1:9" ht="16.5">
      <c r="A6" s="320"/>
      <c r="B6" s="1107" t="s">
        <v>271</v>
      </c>
      <c r="C6" s="1107"/>
      <c r="D6" s="1107"/>
      <c r="E6" s="321"/>
      <c r="F6" s="385"/>
      <c r="G6" s="385"/>
      <c r="H6" s="344" t="e">
        <f>'Sch-7'!#REF!</f>
        <v>#REF!</v>
      </c>
      <c r="I6" s="322"/>
    </row>
    <row r="7" spans="1:9" ht="17.25" thickBot="1">
      <c r="A7" s="323"/>
      <c r="B7" s="1108" t="s">
        <v>272</v>
      </c>
      <c r="C7" s="1108"/>
      <c r="D7" s="1108"/>
      <c r="E7" s="324"/>
      <c r="F7" s="324"/>
      <c r="G7" s="324"/>
      <c r="H7" s="346" t="e">
        <f>H5+H6</f>
        <v>#REF!</v>
      </c>
      <c r="I7" s="325"/>
    </row>
    <row r="8" spans="1:9" ht="16.5">
      <c r="A8" s="1109"/>
      <c r="B8" s="1109"/>
      <c r="C8" s="1109"/>
      <c r="D8" s="1109"/>
      <c r="E8" s="1109"/>
      <c r="F8" s="1109"/>
      <c r="G8" s="1109"/>
    </row>
    <row r="9" spans="1:9" ht="15.75">
      <c r="A9" s="4"/>
      <c r="B9" s="1110"/>
      <c r="C9" s="1110"/>
      <c r="D9" s="1110"/>
      <c r="E9" s="1110"/>
      <c r="F9" s="1110"/>
      <c r="G9" s="1110"/>
    </row>
    <row r="10" spans="1:9" ht="16.5">
      <c r="A10" s="326"/>
      <c r="B10" s="326"/>
      <c r="C10" s="326"/>
      <c r="D10" s="326"/>
      <c r="E10" s="326"/>
      <c r="F10" s="326"/>
      <c r="G10" s="326"/>
    </row>
    <row r="11" spans="1:9" ht="90" customHeight="1">
      <c r="A11" s="327" t="s">
        <v>273</v>
      </c>
      <c r="B11" s="1111" t="s">
        <v>274</v>
      </c>
      <c r="C11" s="1111"/>
      <c r="D11" s="1111"/>
      <c r="E11" s="1111"/>
      <c r="F11" s="1111"/>
      <c r="G11" s="1111"/>
      <c r="H11" s="1111"/>
      <c r="I11" s="1111"/>
    </row>
    <row r="12" spans="1:9" ht="116.25" customHeight="1">
      <c r="A12" s="328" t="s">
        <v>275</v>
      </c>
      <c r="B12" s="1112" t="s">
        <v>276</v>
      </c>
      <c r="C12" s="1112"/>
      <c r="D12" s="1112"/>
      <c r="E12" s="1112"/>
      <c r="F12" s="1112"/>
      <c r="G12" s="1112"/>
      <c r="H12" s="1112"/>
      <c r="I12" s="1112"/>
    </row>
    <row r="13" spans="1:9" ht="15.75">
      <c r="A13" s="328"/>
      <c r="B13" s="1112"/>
      <c r="C13" s="1112"/>
      <c r="D13" s="1112"/>
      <c r="E13" s="1112"/>
      <c r="F13" s="1112"/>
      <c r="G13" s="1112"/>
    </row>
    <row r="14" spans="1:9" ht="16.5">
      <c r="A14" s="329" t="s">
        <v>162</v>
      </c>
      <c r="B14" s="330" t="str">
        <f>'Names of Bidder'!D$27&amp;"-"&amp; 'Names of Bidder'!E$27&amp;"-" &amp;'Names of Bidder'!F$27</f>
        <v>--</v>
      </c>
      <c r="C14" s="331"/>
      <c r="D14" s="332"/>
      <c r="E14" s="3"/>
      <c r="F14" s="3"/>
      <c r="G14" s="333"/>
    </row>
    <row r="15" spans="1:9" ht="16.5">
      <c r="A15" s="329" t="s">
        <v>163</v>
      </c>
      <c r="B15" s="330" t="str">
        <f>IF('Names of Bidder'!D$28=0, "", 'Names of Bidder'!D$28)</f>
        <v/>
      </c>
      <c r="C15" s="3"/>
      <c r="D15" s="332" t="s">
        <v>144</v>
      </c>
      <c r="E15" s="333" t="str">
        <f>IF('Names of Bidder'!D$24=0, "", 'Names of Bidder'!D$24)</f>
        <v/>
      </c>
      <c r="F15" s="3"/>
      <c r="G15" s="330" t="str">
        <f>'[9]Names of Bidder'!I14&amp;"-"&amp; '[9]Names of Bidder'!J14&amp;"-" &amp;'[9]Names of Bidder'!K14</f>
        <v>--</v>
      </c>
    </row>
    <row r="16" spans="1:9" ht="16.5">
      <c r="A16" s="334"/>
      <c r="B16" s="335"/>
      <c r="C16" s="336"/>
      <c r="D16" s="332" t="s">
        <v>146</v>
      </c>
      <c r="E16" s="333" t="str">
        <f>IF('Names of Bidder'!D$25=0, "", 'Names of Bidder'!D$25)</f>
        <v/>
      </c>
      <c r="F16" s="336"/>
      <c r="G16" s="336"/>
    </row>
    <row r="18" spans="1:11">
      <c r="A18" t="s">
        <v>282</v>
      </c>
    </row>
    <row r="20" spans="1:11" ht="17.25" thickBot="1">
      <c r="A20" s="347"/>
      <c r="B20" s="348" t="s">
        <v>283</v>
      </c>
      <c r="C20" s="349"/>
      <c r="D20" s="348"/>
      <c r="E20" s="324"/>
      <c r="F20" s="324"/>
      <c r="G20" s="324"/>
      <c r="H20" s="350" t="s">
        <v>297</v>
      </c>
    </row>
    <row r="21" spans="1:11" ht="16.5" thickBot="1">
      <c r="A21" s="351"/>
      <c r="B21" s="1113"/>
      <c r="C21" s="1113"/>
      <c r="D21" s="1113"/>
      <c r="E21" s="1113"/>
      <c r="F21" s="1113"/>
    </row>
    <row r="22" spans="1:11" ht="15.75">
      <c r="A22" s="352"/>
      <c r="B22" s="1114"/>
      <c r="C22" s="1114"/>
      <c r="D22" s="1114"/>
      <c r="E22" s="1114"/>
      <c r="F22" s="1114"/>
    </row>
    <row r="23" spans="1:11" ht="16.5">
      <c r="A23" s="329" t="s">
        <v>162</v>
      </c>
      <c r="B23" s="330" t="s">
        <v>262</v>
      </c>
      <c r="C23" s="353"/>
      <c r="D23" s="332"/>
      <c r="E23" s="3"/>
      <c r="F23" s="3"/>
    </row>
    <row r="24" spans="1:11" ht="16.5">
      <c r="A24" s="329" t="s">
        <v>163</v>
      </c>
      <c r="B24" s="330" t="s">
        <v>263</v>
      </c>
      <c r="C24" s="4"/>
      <c r="D24" s="332" t="s">
        <v>144</v>
      </c>
      <c r="E24" s="333" t="s">
        <v>284</v>
      </c>
      <c r="F24" s="3"/>
    </row>
    <row r="25" spans="1:11" ht="16.5">
      <c r="A25" s="334"/>
      <c r="B25" s="335"/>
      <c r="C25" s="334"/>
      <c r="D25" s="332" t="s">
        <v>146</v>
      </c>
      <c r="E25" s="333" t="s">
        <v>285</v>
      </c>
      <c r="F25" s="336"/>
    </row>
    <row r="27" spans="1:11">
      <c r="A27" t="s">
        <v>286</v>
      </c>
    </row>
    <row r="29" spans="1:11" ht="16.5">
      <c r="A29" s="354"/>
      <c r="B29" s="355" t="s">
        <v>287</v>
      </c>
      <c r="C29" s="355"/>
      <c r="D29" s="355"/>
      <c r="E29" s="356"/>
      <c r="F29" s="356"/>
      <c r="G29" s="356"/>
      <c r="H29" s="356"/>
      <c r="I29" s="356"/>
      <c r="J29" s="356"/>
      <c r="K29" s="357" t="e">
        <f>SUM(#REF!)</f>
        <v>#REF!</v>
      </c>
    </row>
    <row r="30" spans="1:11" ht="15.75">
      <c r="A30" s="352"/>
      <c r="B30" s="1115"/>
      <c r="C30" s="1110"/>
      <c r="D30" s="1110"/>
      <c r="E30" s="1110"/>
      <c r="F30" s="1110"/>
      <c r="G30" s="1110"/>
    </row>
    <row r="31" spans="1:11" ht="16.5">
      <c r="A31" s="358" t="s">
        <v>162</v>
      </c>
      <c r="B31" s="359" t="s">
        <v>262</v>
      </c>
      <c r="C31" s="360"/>
      <c r="D31" s="361"/>
      <c r="E31" s="362"/>
      <c r="F31" s="362"/>
      <c r="G31" s="7"/>
    </row>
    <row r="32" spans="1:11" ht="16.5">
      <c r="A32" s="358" t="s">
        <v>163</v>
      </c>
      <c r="B32" s="359" t="s">
        <v>263</v>
      </c>
      <c r="C32" s="362"/>
      <c r="D32" s="361" t="s">
        <v>144</v>
      </c>
      <c r="E32" s="363" t="s">
        <v>284</v>
      </c>
      <c r="F32" s="362"/>
      <c r="G32" s="7"/>
    </row>
    <row r="33" spans="1:8" ht="16.5">
      <c r="A33" s="364"/>
      <c r="B33" s="365"/>
      <c r="C33" s="366"/>
      <c r="D33" s="361" t="s">
        <v>146</v>
      </c>
      <c r="E33" s="363" t="s">
        <v>285</v>
      </c>
      <c r="F33" s="366"/>
      <c r="G33" s="7"/>
    </row>
    <row r="35" spans="1:8">
      <c r="A35" t="s">
        <v>290</v>
      </c>
    </row>
    <row r="37" spans="1:8" ht="30">
      <c r="A37" s="367" t="s">
        <v>162</v>
      </c>
      <c r="B37" s="368" t="s">
        <v>260</v>
      </c>
      <c r="C37" s="369"/>
      <c r="D37" s="1030" t="s">
        <v>288</v>
      </c>
      <c r="E37" s="1030"/>
      <c r="F37" s="1116"/>
    </row>
    <row r="38" spans="1:8" ht="30">
      <c r="A38" s="367" t="s">
        <v>163</v>
      </c>
      <c r="B38" s="368" t="s">
        <v>261</v>
      </c>
      <c r="C38" s="24"/>
      <c r="D38" s="1030" t="s">
        <v>289</v>
      </c>
      <c r="E38" s="1030"/>
      <c r="F38" s="1116"/>
    </row>
    <row r="40" spans="1:8">
      <c r="A40" t="s">
        <v>291</v>
      </c>
    </row>
    <row r="42" spans="1:8" ht="30">
      <c r="A42" s="370"/>
      <c r="B42" s="371" t="s">
        <v>292</v>
      </c>
      <c r="C42" s="371"/>
      <c r="D42" s="371"/>
      <c r="E42" s="371"/>
      <c r="F42" s="371"/>
      <c r="G42" s="371"/>
      <c r="H42" s="372" t="s">
        <v>298</v>
      </c>
    </row>
    <row r="43" spans="1:8" ht="16.5">
      <c r="A43" s="373"/>
      <c r="B43" s="374"/>
      <c r="C43" s="374"/>
      <c r="D43" s="374"/>
      <c r="E43" s="374"/>
      <c r="F43" s="374"/>
      <c r="G43" s="375"/>
    </row>
    <row r="44" spans="1:8">
      <c r="A44" s="374"/>
      <c r="B44" s="374"/>
      <c r="C44" s="374"/>
      <c r="D44" s="374"/>
      <c r="E44" s="374"/>
      <c r="F44" s="374"/>
      <c r="G44" s="376"/>
    </row>
    <row r="45" spans="1:8">
      <c r="A45" s="1029"/>
      <c r="B45" s="1029"/>
      <c r="C45" s="1029"/>
      <c r="D45" s="1029"/>
      <c r="E45" s="1029"/>
      <c r="F45" s="1029"/>
      <c r="G45" s="1029"/>
    </row>
    <row r="46" spans="1:8">
      <c r="A46" s="377"/>
      <c r="B46" s="377"/>
      <c r="C46" s="1030"/>
      <c r="D46" s="1030"/>
      <c r="E46" s="1030"/>
      <c r="F46" s="1030"/>
      <c r="G46" s="1030"/>
    </row>
    <row r="47" spans="1:8">
      <c r="A47" s="378" t="s">
        <v>162</v>
      </c>
      <c r="B47" s="379" t="s">
        <v>262</v>
      </c>
      <c r="C47" s="1030" t="s">
        <v>293</v>
      </c>
      <c r="D47" s="1030"/>
      <c r="E47" s="1030"/>
      <c r="F47" s="1030"/>
      <c r="G47" s="1030"/>
    </row>
    <row r="48" spans="1:8">
      <c r="A48" s="378" t="s">
        <v>163</v>
      </c>
      <c r="B48" s="380" t="s">
        <v>263</v>
      </c>
      <c r="C48" s="1030" t="s">
        <v>294</v>
      </c>
      <c r="D48" s="1030"/>
      <c r="E48" s="1030"/>
      <c r="F48" s="1030"/>
      <c r="G48" s="1030"/>
    </row>
    <row r="49" spans="1:7" ht="16.5">
      <c r="A49" s="23"/>
      <c r="B49" s="22"/>
      <c r="C49" s="1030"/>
      <c r="D49" s="1030"/>
      <c r="E49" s="1030"/>
      <c r="F49" s="1030"/>
      <c r="G49" s="1030"/>
    </row>
    <row r="50" spans="1:7" ht="16.5">
      <c r="A50" s="23"/>
      <c r="B50" s="22"/>
      <c r="C50" s="381"/>
      <c r="D50" s="381"/>
      <c r="E50" s="381"/>
      <c r="F50" s="381"/>
      <c r="G50" s="381"/>
    </row>
    <row r="51" spans="1:7" ht="16.5">
      <c r="A51" s="382" t="s">
        <v>295</v>
      </c>
      <c r="B51" s="1032" t="s">
        <v>296</v>
      </c>
      <c r="C51" s="1032"/>
      <c r="D51" s="1032"/>
      <c r="E51" s="1032"/>
      <c r="F51" s="1032"/>
      <c r="G51" s="383"/>
    </row>
    <row r="52" spans="1:7" ht="16.5">
      <c r="A52" s="384"/>
      <c r="B52" s="26"/>
      <c r="C52" s="26"/>
      <c r="D52" s="26"/>
      <c r="E52" s="26"/>
      <c r="F52" s="26"/>
      <c r="G52" s="26"/>
    </row>
    <row r="60" spans="1:7">
      <c r="B60" t="s">
        <v>264</v>
      </c>
    </row>
    <row r="61" spans="1:7">
      <c r="B61" t="s">
        <v>265</v>
      </c>
    </row>
  </sheetData>
  <customSheetViews>
    <customSheetView guid="{F38BD2F3-61EE-4B49-A7FC-8FB2B5BA6A2F}" state="hidden">
      <selection activeCell="H42" sqref="H42"/>
      <pageMargins left="0.7" right="0.7" top="0.75" bottom="0.75" header="0.3" footer="0.3"/>
      <pageSetup orientation="portrait" r:id="rId1"/>
    </customSheetView>
    <customSheetView guid="{F1B559AA-B9AD-4E4C-B94A-ECBE5878008B}" state="hidden">
      <selection activeCell="H42" sqref="H42"/>
      <pageMargins left="0.7" right="0.7" top="0.75" bottom="0.75" header="0.3" footer="0.3"/>
      <pageSetup orientation="portrait" r:id="rId2"/>
    </customSheetView>
    <customSheetView guid="{755190E0-7BE9-48F9-BB5F-DF8E25D6736A}" state="hidden">
      <selection activeCell="H42" sqref="H42"/>
      <pageMargins left="0.7" right="0.7" top="0.75" bottom="0.75" header="0.3" footer="0.3"/>
      <pageSetup orientation="portrait" r:id="rId3"/>
    </customSheetView>
    <customSheetView guid="{CCA37BAE-906F-43D5-9FD9-B13563E4B9D7}"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4"/>
    </customSheetView>
    <customSheetView guid="{3FCD02EB-1C44-4646-B069-2B9945E67B1F}" state="hidden">
      <selection activeCell="H42" sqref="H42"/>
      <pageMargins left="0.7" right="0.7" top="0.75" bottom="0.75" header="0.3" footer="0.3"/>
      <pageSetup orientation="portrait" r:id="rId5"/>
    </customSheetView>
    <customSheetView guid="{267FF044-3C5D-4FEC-AC00-A7E30583F8BB}" state="hidden">
      <selection activeCell="H42" sqref="H42"/>
      <pageMargins left="0.7" right="0.7" top="0.75" bottom="0.75" header="0.3" footer="0.3"/>
      <pageSetup orientation="portrait" r:id="rId6"/>
    </customSheetView>
    <customSheetView guid="{A29B4069-9BED-4703-B114-D2D164877E8C}" state="hidden">
      <selection activeCell="H42" sqref="H42"/>
      <pageMargins left="0.7" right="0.7" top="0.75" bottom="0.75" header="0.3" footer="0.3"/>
      <pageSetup orientation="portrait" r:id="rId7"/>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8"/>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
  <sheetViews>
    <sheetView workbookViewId="0"/>
  </sheetViews>
  <sheetFormatPr defaultRowHeight="15"/>
  <sheetData/>
  <customSheetViews>
    <customSheetView guid="{F38BD2F3-61EE-4B49-A7FC-8FB2B5BA6A2F}" state="hidden">
      <pageMargins left="0.7" right="0.7" top="0.75" bottom="0.75" header="0.3" footer="0.3"/>
      <pageSetup orientation="portrait" r:id="rId1"/>
    </customSheetView>
    <customSheetView guid="{F1B559AA-B9AD-4E4C-B94A-ECBE5878008B}" state="hidden">
      <pageMargins left="0.7" right="0.7" top="0.75" bottom="0.75" header="0.3" footer="0.3"/>
      <pageSetup orientation="portrait" r:id="rId2"/>
    </customSheetView>
    <customSheetView guid="{755190E0-7BE9-48F9-BB5F-DF8E25D6736A}" state="hidden">
      <pageMargins left="0.7" right="0.7" top="0.75" bottom="0.75" header="0.3" footer="0.3"/>
      <pageSetup orientation="portrait" r:id="rId3"/>
    </customSheetView>
    <customSheetView guid="{CCA37BAE-906F-43D5-9FD9-B13563E4B9D7}"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4"/>
    </customSheetView>
    <customSheetView guid="{3FCD02EB-1C44-4646-B069-2B9945E67B1F}" state="hidden">
      <pageMargins left="0.7" right="0.7" top="0.75" bottom="0.75" header="0.3" footer="0.3"/>
      <pageSetup orientation="portrait" r:id="rId5"/>
    </customSheetView>
    <customSheetView guid="{267FF044-3C5D-4FEC-AC00-A7E30583F8BB}" state="hidden">
      <pageMargins left="0.7" right="0.7" top="0.75" bottom="0.75" header="0.3" footer="0.3"/>
      <pageSetup orientation="portrait" r:id="rId6"/>
    </customSheetView>
    <customSheetView guid="{A29B4069-9BED-4703-B114-D2D164877E8C}" state="hidden">
      <pageMargins left="0.7" right="0.7" top="0.75" bottom="0.75" header="0.3" footer="0.3"/>
      <pageSetup orientation="portrait" r:id="rId7"/>
    </customSheetView>
  </customSheetViews>
  <pageMargins left="0.7" right="0.7" top="0.75" bottom="0.75" header="0.3" footer="0.3"/>
  <pageSetup orientation="portrait" r:id="rId8"/>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A233"/>
  <sheetViews>
    <sheetView topLeftCell="P1" workbookViewId="0">
      <selection activeCell="DT28" sqref="DT28"/>
    </sheetView>
  </sheetViews>
  <sheetFormatPr defaultColWidth="9.140625" defaultRowHeight="12.75"/>
  <cols>
    <col min="1" max="1" width="5.140625" style="664" hidden="1" customWidth="1"/>
    <col min="2" max="2" width="13.28515625" style="664" hidden="1" customWidth="1"/>
    <col min="3" max="3" width="0" style="664" hidden="1" customWidth="1"/>
    <col min="4" max="4" width="10.28515625" style="664" hidden="1" customWidth="1"/>
    <col min="5" max="5" width="3.42578125" style="664" hidden="1" customWidth="1"/>
    <col min="6" max="6" width="5.5703125" style="664" hidden="1" customWidth="1"/>
    <col min="7" max="7" width="11.42578125" style="664" hidden="1" customWidth="1"/>
    <col min="8" max="8" width="0" style="664" hidden="1" customWidth="1"/>
    <col min="9" max="9" width="10" style="664" hidden="1" customWidth="1"/>
    <col min="10" max="10" width="3.28515625" style="664" hidden="1" customWidth="1"/>
    <col min="11" max="11" width="5" style="664" hidden="1" customWidth="1"/>
    <col min="12" max="12" width="11.28515625" style="664" hidden="1" customWidth="1"/>
    <col min="13" max="13" width="0" style="664" hidden="1" customWidth="1"/>
    <col min="14" max="14" width="10.28515625" style="664" hidden="1" customWidth="1"/>
    <col min="15" max="15" width="3.7109375" style="664" hidden="1" customWidth="1"/>
    <col min="16" max="16" width="6.42578125" style="664" customWidth="1"/>
    <col min="17" max="17" width="14.85546875" style="664" customWidth="1"/>
    <col min="18" max="18" width="9.140625" style="664" customWidth="1"/>
    <col min="19" max="19" width="12" style="664" customWidth="1"/>
    <col min="20" max="20" width="3.28515625" style="664" hidden="1" customWidth="1"/>
    <col min="21" max="21" width="6.140625" style="664" hidden="1" customWidth="1"/>
    <col min="22" max="22" width="8.5703125" style="664" hidden="1" customWidth="1"/>
    <col min="23" max="23" width="8.42578125" style="664" hidden="1" customWidth="1"/>
    <col min="24" max="24" width="8.85546875" style="664" hidden="1" customWidth="1"/>
    <col min="25" max="116" width="0" style="664" hidden="1" customWidth="1"/>
    <col min="117" max="16384" width="9.140625" style="664"/>
  </cols>
  <sheetData>
    <row r="1" spans="1:27" ht="13.5" thickBot="1">
      <c r="A1" s="1128" t="e">
        <v>#REF!</v>
      </c>
      <c r="B1" s="1129"/>
      <c r="C1" s="644"/>
      <c r="D1" s="645"/>
      <c r="E1" s="669"/>
      <c r="F1" s="1128">
        <v>0</v>
      </c>
      <c r="G1" s="1129"/>
      <c r="H1" s="644"/>
      <c r="I1" s="645"/>
      <c r="K1" s="1128" t="e">
        <v>#REF!</v>
      </c>
      <c r="L1" s="1129"/>
      <c r="M1" s="644"/>
      <c r="N1" s="645"/>
      <c r="P1" s="1128">
        <f>'Sch-6 (After Discount)'!D28</f>
        <v>0</v>
      </c>
      <c r="Q1" s="1129"/>
      <c r="R1" s="644"/>
      <c r="S1" s="645"/>
      <c r="U1" s="668" t="e">
        <v>#REF!</v>
      </c>
    </row>
    <row r="2" spans="1:27">
      <c r="A2" s="1123"/>
      <c r="B2" s="1124"/>
      <c r="C2" s="644"/>
      <c r="D2" s="645"/>
      <c r="E2" s="669"/>
      <c r="F2" s="646"/>
      <c r="G2" s="644"/>
      <c r="H2" s="644"/>
      <c r="I2" s="645"/>
      <c r="K2" s="646"/>
      <c r="L2" s="644"/>
      <c r="M2" s="644"/>
      <c r="N2" s="645"/>
      <c r="P2" s="646"/>
      <c r="Q2" s="644"/>
      <c r="R2" s="644"/>
      <c r="S2" s="645"/>
      <c r="U2" s="668" t="e">
        <v>#REF!</v>
      </c>
    </row>
    <row r="3" spans="1:27">
      <c r="A3" s="646"/>
      <c r="B3" s="647"/>
      <c r="C3" s="647"/>
      <c r="D3" s="648"/>
      <c r="E3" s="670"/>
      <c r="F3" s="646"/>
      <c r="G3" s="647"/>
      <c r="H3" s="647"/>
      <c r="I3" s="648"/>
      <c r="K3" s="646"/>
      <c r="L3" s="647"/>
      <c r="M3" s="647"/>
      <c r="N3" s="648"/>
      <c r="P3" s="646"/>
      <c r="Q3" s="647"/>
      <c r="R3" s="647"/>
      <c r="S3" s="648"/>
      <c r="U3" s="668" t="s">
        <v>465</v>
      </c>
    </row>
    <row r="4" spans="1:27" ht="66.75" customHeight="1" thickBot="1">
      <c r="A4" s="1125" t="e">
        <f>IF(OR((A1&gt;9999999999),(A1&lt;0)),"Invalid Entry - More than 1000 crore OR -ve value",IF(A1=0, "",+CONCATENATE(#REF!,B11,D11,B10,D10,B9,D9,B8,D8,B7,D7,B6," Only")))</f>
        <v>#REF!</v>
      </c>
      <c r="B4" s="1126"/>
      <c r="C4" s="1126"/>
      <c r="D4" s="1127"/>
      <c r="E4" s="671"/>
      <c r="F4" s="1125" t="str">
        <f>IF(OR((F1&gt;9999999999),(F1&lt;0)),"Invalid Entry - More than 1000 crore OR -ve value",IF(F1=0, "",+CONCATENATE(U1, G11,I11,G10,I10,G9,I9,G8,I8,G7,I7,G6," Only")))</f>
        <v/>
      </c>
      <c r="G4" s="1126"/>
      <c r="H4" s="1126"/>
      <c r="I4" s="1127"/>
      <c r="J4" s="671"/>
      <c r="K4" s="1125" t="e">
        <f>IF(OR((K1&gt;9999999999),(K1&lt;0)),"Invalid Entry - More than 1000 crore OR -ve value",IF(K1=0, "",+CONCATENATE(U2, L11,N11,L10,N10,L9,N9,L8,N8,L7,N7,L6," Only")))</f>
        <v>#REF!</v>
      </c>
      <c r="L4" s="1126"/>
      <c r="M4" s="1126"/>
      <c r="N4" s="1127"/>
      <c r="P4" s="1125" t="str">
        <f>IF(OR((P1&gt;9999999999),(P1&lt;0)),"Invalid Entry - More than 1000 crore OR -ve value",IF(P1=0, "",+CONCATENATE(U3, Q11,S11,Q10,S10,Q9,S9,Q8,S8,Q7,S7,Q6," Only")))</f>
        <v/>
      </c>
      <c r="Q4" s="1126"/>
      <c r="R4" s="1126"/>
      <c r="S4" s="1127"/>
      <c r="U4" s="1117" t="e">
        <f>VLOOKUP(1,T28:Y43,6,FALSE)</f>
        <v>#N/A</v>
      </c>
      <c r="V4" s="1117"/>
      <c r="W4" s="1117"/>
      <c r="X4" s="1117"/>
      <c r="Y4" s="1117"/>
      <c r="Z4" s="1117"/>
      <c r="AA4" s="1117"/>
    </row>
    <row r="5" spans="1:27" ht="18.75" customHeight="1" thickBot="1">
      <c r="A5" s="646"/>
      <c r="B5" s="647"/>
      <c r="C5" s="647"/>
      <c r="D5" s="648"/>
      <c r="E5" s="670"/>
      <c r="F5" s="646"/>
      <c r="G5" s="647"/>
      <c r="H5" s="647"/>
      <c r="I5" s="648"/>
      <c r="K5" s="646"/>
      <c r="L5" s="647"/>
      <c r="M5" s="647"/>
      <c r="N5" s="648"/>
      <c r="P5" s="646"/>
      <c r="Q5" s="647"/>
      <c r="R5" s="647"/>
      <c r="S5" s="648"/>
      <c r="U5" s="1118" t="e">
        <f>VLOOKUP(1,T8:Y23,6,FALSE)</f>
        <v>#N/A</v>
      </c>
      <c r="V5" s="1119"/>
      <c r="W5" s="1119"/>
      <c r="X5" s="1119"/>
      <c r="Y5" s="1119"/>
      <c r="Z5" s="1119"/>
      <c r="AA5" s="1120"/>
    </row>
    <row r="6" spans="1:27">
      <c r="A6" s="649" t="e">
        <f>-INT(A1/100)*100+ROUND(A1,0)</f>
        <v>#REF!</v>
      </c>
      <c r="B6" s="647" t="e">
        <f t="shared" ref="B6:B11" si="0">IF(A6=0,"",LOOKUP(A6,$A$13:$A$112,$B$13:$B$112))</f>
        <v>#REF!</v>
      </c>
      <c r="C6" s="647"/>
      <c r="D6" s="650"/>
      <c r="E6" s="670"/>
      <c r="F6" s="649">
        <f>-INT(F1/100)*100+ROUND(F1,0)</f>
        <v>0</v>
      </c>
      <c r="G6" s="647" t="str">
        <f t="shared" ref="G6:G11" si="1">IF(F6=0,"",LOOKUP(F6,$A$13:$A$112,$B$13:$B$112))</f>
        <v/>
      </c>
      <c r="H6" s="647"/>
      <c r="I6" s="650"/>
      <c r="K6" s="649" t="e">
        <f>-INT(K1/100)*100+ROUND(K1,0)</f>
        <v>#REF!</v>
      </c>
      <c r="L6" s="647" t="e">
        <f t="shared" ref="L6:L11" si="2">IF(K6=0,"",LOOKUP(K6,$A$13:$A$112,$B$13:$B$112))</f>
        <v>#REF!</v>
      </c>
      <c r="M6" s="647"/>
      <c r="N6" s="650"/>
      <c r="P6" s="649">
        <f>-INT(P1/100)*100+ROUND(P1,0)</f>
        <v>0</v>
      </c>
      <c r="Q6" s="647" t="str">
        <f t="shared" ref="Q6:Q11" si="3">IF(P6=0,"",LOOKUP(P6,$A$13:$A$112,$B$13:$B$112))</f>
        <v/>
      </c>
      <c r="R6" s="647"/>
      <c r="S6" s="650"/>
    </row>
    <row r="7" spans="1:27">
      <c r="A7" s="649" t="e">
        <f>-INT(A1/1000)*10+INT(A1/100)</f>
        <v>#REF!</v>
      </c>
      <c r="B7" s="647" t="e">
        <f t="shared" si="0"/>
        <v>#REF!</v>
      </c>
      <c r="C7" s="647"/>
      <c r="D7" s="650" t="e">
        <f>+IF(B7="",""," Hundred ")</f>
        <v>#REF!</v>
      </c>
      <c r="E7" s="670"/>
      <c r="F7" s="649">
        <f>-INT(F1/1000)*10+INT(F1/100)</f>
        <v>0</v>
      </c>
      <c r="G7" s="647" t="str">
        <f t="shared" si="1"/>
        <v/>
      </c>
      <c r="H7" s="647"/>
      <c r="I7" s="650" t="str">
        <f>+IF(G7="",""," Hundred ")</f>
        <v/>
      </c>
      <c r="K7" s="649" t="e">
        <f>-INT(K1/1000)*10+INT(K1/100)</f>
        <v>#REF!</v>
      </c>
      <c r="L7" s="647" t="e">
        <f t="shared" si="2"/>
        <v>#REF!</v>
      </c>
      <c r="M7" s="647"/>
      <c r="N7" s="650" t="e">
        <f>+IF(L7="",""," Hundred ")</f>
        <v>#REF!</v>
      </c>
      <c r="P7" s="649">
        <f>-INT(P1/1000)*10+INT(P1/100)</f>
        <v>0</v>
      </c>
      <c r="Q7" s="647" t="str">
        <f t="shared" si="3"/>
        <v/>
      </c>
      <c r="R7" s="647"/>
      <c r="S7" s="650" t="str">
        <f>+IF(Q7="",""," Hundred ")</f>
        <v/>
      </c>
    </row>
    <row r="8" spans="1:27">
      <c r="A8" s="649" t="e">
        <f>-INT(A1/100000)*100+INT(A1/1000)</f>
        <v>#REF!</v>
      </c>
      <c r="B8" s="647" t="e">
        <f t="shared" si="0"/>
        <v>#REF!</v>
      </c>
      <c r="C8" s="647"/>
      <c r="D8" s="650" t="e">
        <f>IF((B8=""),IF(C8="",""," Thousand ")," Thousand ")</f>
        <v>#REF!</v>
      </c>
      <c r="E8" s="670"/>
      <c r="F8" s="649">
        <f>-INT(F1/100000)*100+INT(F1/1000)</f>
        <v>0</v>
      </c>
      <c r="G8" s="647" t="str">
        <f t="shared" si="1"/>
        <v/>
      </c>
      <c r="H8" s="647"/>
      <c r="I8" s="650" t="str">
        <f>IF((G8=""),IF(H8="",""," Thousand ")," Thousand ")</f>
        <v/>
      </c>
      <c r="K8" s="649" t="e">
        <f>-INT(K1/100000)*100+INT(K1/1000)</f>
        <v>#REF!</v>
      </c>
      <c r="L8" s="647" t="e">
        <f t="shared" si="2"/>
        <v>#REF!</v>
      </c>
      <c r="M8" s="647"/>
      <c r="N8" s="650" t="e">
        <f>IF((L8=""),IF(M8="",""," Thousand ")," Thousand ")</f>
        <v>#REF!</v>
      </c>
      <c r="P8" s="649">
        <f>-INT(P1/100000)*100+INT(P1/1000)</f>
        <v>0</v>
      </c>
      <c r="Q8" s="647" t="str">
        <f t="shared" si="3"/>
        <v/>
      </c>
      <c r="R8" s="647"/>
      <c r="S8" s="650" t="str">
        <f>IF((Q8=""),IF(R8="",""," Thousand ")," Thousand ")</f>
        <v/>
      </c>
      <c r="T8" s="672" t="e">
        <f>IF(Y8="",0, 1)</f>
        <v>#REF!</v>
      </c>
      <c r="U8" s="664">
        <v>0</v>
      </c>
      <c r="V8" s="664">
        <v>0</v>
      </c>
      <c r="W8" s="664">
        <v>0</v>
      </c>
      <c r="X8" s="664">
        <v>0</v>
      </c>
      <c r="Y8" s="673" t="e">
        <f>IF(AND($A$1=0,$F$1=0,$K$1=0,$P$1=0)," Zero only", "")</f>
        <v>#REF!</v>
      </c>
      <c r="AA8" s="664" t="s">
        <v>466</v>
      </c>
    </row>
    <row r="9" spans="1:27">
      <c r="A9" s="649" t="e">
        <f>-INT(A1/10000000)*100+INT(A1/100000)</f>
        <v>#REF!</v>
      </c>
      <c r="B9" s="647" t="e">
        <f t="shared" si="0"/>
        <v>#REF!</v>
      </c>
      <c r="C9" s="647"/>
      <c r="D9" s="650" t="e">
        <f>IF((B9=""),IF(C9="",""," Lac ")," Lac ")</f>
        <v>#REF!</v>
      </c>
      <c r="E9" s="670"/>
      <c r="F9" s="649">
        <f>-INT(F1/10000000)*100+INT(F1/100000)</f>
        <v>0</v>
      </c>
      <c r="G9" s="647" t="str">
        <f t="shared" si="1"/>
        <v/>
      </c>
      <c r="H9" s="647"/>
      <c r="I9" s="650" t="str">
        <f>IF((G9=""),IF(H9="",""," Lac ")," Lac ")</f>
        <v/>
      </c>
      <c r="K9" s="649" t="e">
        <f>-INT(K1/10000000)*100+INT(K1/100000)</f>
        <v>#REF!</v>
      </c>
      <c r="L9" s="647" t="e">
        <f t="shared" si="2"/>
        <v>#REF!</v>
      </c>
      <c r="M9" s="647"/>
      <c r="N9" s="650" t="e">
        <f>IF((L9=""),IF(M9="",""," Lac ")," Lac ")</f>
        <v>#REF!</v>
      </c>
      <c r="P9" s="649">
        <f>-INT(P1/10000000)*100+INT(P1/100000)</f>
        <v>0</v>
      </c>
      <c r="Q9" s="647" t="str">
        <f t="shared" si="3"/>
        <v/>
      </c>
      <c r="R9" s="647"/>
      <c r="S9" s="650" t="str">
        <f>IF((Q9=""),IF(R9="",""," Lac ")," Lac ")</f>
        <v/>
      </c>
      <c r="T9" s="672" t="e">
        <f t="shared" ref="T9:T23" si="4">IF(Y9="",0, 1)</f>
        <v>#REF!</v>
      </c>
      <c r="U9" s="664">
        <v>0</v>
      </c>
      <c r="V9" s="664">
        <v>0</v>
      </c>
      <c r="W9" s="664">
        <v>0</v>
      </c>
      <c r="X9" s="664">
        <v>1</v>
      </c>
      <c r="Y9" s="674" t="e">
        <f>IF(AND($A$1=0,$F$1=0,$K$1=0,$P$1&gt;0),$P$4, "")</f>
        <v>#REF!</v>
      </c>
    </row>
    <row r="10" spans="1:27">
      <c r="A10" s="649" t="e">
        <f>-INT(A1/1000000000)*100+INT(A1/10000000)</f>
        <v>#REF!</v>
      </c>
      <c r="B10" s="651" t="e">
        <f t="shared" si="0"/>
        <v>#REF!</v>
      </c>
      <c r="C10" s="647"/>
      <c r="D10" s="650" t="e">
        <f>IF((B10=""),IF(C10="",""," Crore ")," Crore ")</f>
        <v>#REF!</v>
      </c>
      <c r="E10" s="670"/>
      <c r="F10" s="649">
        <f>-INT(F1/1000000000)*100+INT(F1/10000000)</f>
        <v>0</v>
      </c>
      <c r="G10" s="651" t="str">
        <f t="shared" si="1"/>
        <v/>
      </c>
      <c r="H10" s="647"/>
      <c r="I10" s="650" t="str">
        <f>IF((G10=""),IF(H10="",""," Crore ")," Crore ")</f>
        <v/>
      </c>
      <c r="K10" s="649" t="e">
        <f>-INT(K1/1000000000)*100+INT(K1/10000000)</f>
        <v>#REF!</v>
      </c>
      <c r="L10" s="651" t="e">
        <f t="shared" si="2"/>
        <v>#REF!</v>
      </c>
      <c r="M10" s="647"/>
      <c r="N10" s="650" t="e">
        <f>IF((L10=""),IF(M10="",""," Crore ")," Crore ")</f>
        <v>#REF!</v>
      </c>
      <c r="P10" s="649">
        <f>-INT(P1/1000000000)*100+INT(P1/10000000)</f>
        <v>0</v>
      </c>
      <c r="Q10" s="651" t="str">
        <f t="shared" si="3"/>
        <v/>
      </c>
      <c r="R10" s="647"/>
      <c r="S10" s="650" t="str">
        <f>IF((Q10=""),IF(R10="",""," Crore ")," Crore ")</f>
        <v/>
      </c>
      <c r="T10" s="672" t="e">
        <f t="shared" si="4"/>
        <v>#REF!</v>
      </c>
      <c r="U10" s="664">
        <v>0</v>
      </c>
      <c r="V10" s="664">
        <v>0</v>
      </c>
      <c r="W10" s="664">
        <v>1</v>
      </c>
      <c r="X10" s="664">
        <v>0</v>
      </c>
      <c r="Y10" s="674" t="e">
        <f>IF(AND($A$1=0,$F$1=0,$K$1&gt;0,$P$1=0),$K$4, "")</f>
        <v>#REF!</v>
      </c>
    </row>
    <row r="11" spans="1:27">
      <c r="A11" s="652" t="e">
        <f>-INT(A1/10000000000)*1000+INT(A1/1000000000)</f>
        <v>#REF!</v>
      </c>
      <c r="B11" s="651" t="e">
        <f t="shared" si="0"/>
        <v>#REF!</v>
      </c>
      <c r="C11" s="647"/>
      <c r="D11" s="650" t="e">
        <f>IF((B11=""),IF(C11="",""," Hundred ")," Hundred ")</f>
        <v>#REF!</v>
      </c>
      <c r="E11" s="670"/>
      <c r="F11" s="652">
        <f>-INT(F1/10000000000)*1000+INT(F1/1000000000)</f>
        <v>0</v>
      </c>
      <c r="G11" s="651" t="str">
        <f t="shared" si="1"/>
        <v/>
      </c>
      <c r="H11" s="647"/>
      <c r="I11" s="650" t="str">
        <f>IF((G11=""),IF(H11="",""," Hundred ")," Hundred ")</f>
        <v/>
      </c>
      <c r="K11" s="652" t="e">
        <f>-INT(K1/10000000000)*1000+INT(K1/1000000000)</f>
        <v>#REF!</v>
      </c>
      <c r="L11" s="651" t="e">
        <f t="shared" si="2"/>
        <v>#REF!</v>
      </c>
      <c r="M11" s="647"/>
      <c r="N11" s="650" t="e">
        <f>IF((L11=""),IF(M11="",""," Hundred ")," Hundred ")</f>
        <v>#REF!</v>
      </c>
      <c r="P11" s="652">
        <f>-INT(P1/10000000000)*1000+INT(P1/1000000000)</f>
        <v>0</v>
      </c>
      <c r="Q11" s="651" t="str">
        <f t="shared" si="3"/>
        <v/>
      </c>
      <c r="R11" s="647"/>
      <c r="S11" s="650" t="str">
        <f>IF((Q11=""),IF(R11="",""," Hundred ")," Hundred ")</f>
        <v/>
      </c>
      <c r="T11" s="672" t="e">
        <f t="shared" si="4"/>
        <v>#REF!</v>
      </c>
      <c r="U11" s="664">
        <v>0</v>
      </c>
      <c r="V11" s="664">
        <v>0</v>
      </c>
      <c r="W11" s="664">
        <v>1</v>
      </c>
      <c r="X11" s="664">
        <v>1</v>
      </c>
      <c r="Y11" s="674" t="e">
        <f>IF(AND($A$1=0,$F$1=0,$K$1&gt;0,$P$1&gt;0),$K$4&amp;$AA$8&amp;$P$4, "")</f>
        <v>#REF!</v>
      </c>
    </row>
    <row r="12" spans="1:27">
      <c r="A12" s="653"/>
      <c r="B12" s="647"/>
      <c r="C12" s="647"/>
      <c r="D12" s="648"/>
      <c r="E12" s="670"/>
      <c r="F12" s="653"/>
      <c r="G12" s="647"/>
      <c r="H12" s="647"/>
      <c r="I12" s="648"/>
      <c r="K12" s="653"/>
      <c r="L12" s="647"/>
      <c r="M12" s="647"/>
      <c r="N12" s="648"/>
      <c r="P12" s="653"/>
      <c r="Q12" s="647"/>
      <c r="R12" s="647"/>
      <c r="S12" s="648"/>
      <c r="T12" s="672" t="e">
        <f t="shared" si="4"/>
        <v>#REF!</v>
      </c>
      <c r="U12" s="664">
        <v>0</v>
      </c>
      <c r="V12" s="664">
        <v>1</v>
      </c>
      <c r="W12" s="664">
        <v>0</v>
      </c>
      <c r="X12" s="664">
        <v>0</v>
      </c>
      <c r="Y12" s="674" t="e">
        <f>IF(AND($A$1=0,$F$1&gt;0,$K$1=0,$P$1=0),$F$4, "")</f>
        <v>#REF!</v>
      </c>
    </row>
    <row r="13" spans="1:27">
      <c r="A13" s="654">
        <v>1</v>
      </c>
      <c r="B13" s="655" t="s">
        <v>365</v>
      </c>
      <c r="C13" s="647"/>
      <c r="D13" s="648"/>
      <c r="E13" s="670"/>
      <c r="F13" s="654">
        <v>1</v>
      </c>
      <c r="G13" s="655" t="s">
        <v>365</v>
      </c>
      <c r="H13" s="647"/>
      <c r="I13" s="648"/>
      <c r="K13" s="654">
        <v>1</v>
      </c>
      <c r="L13" s="655" t="s">
        <v>365</v>
      </c>
      <c r="M13" s="647"/>
      <c r="N13" s="648"/>
      <c r="P13" s="654">
        <v>1</v>
      </c>
      <c r="Q13" s="655" t="s">
        <v>365</v>
      </c>
      <c r="R13" s="647"/>
      <c r="S13" s="648"/>
      <c r="T13" s="672" t="e">
        <f t="shared" si="4"/>
        <v>#REF!</v>
      </c>
      <c r="U13" s="664">
        <v>0</v>
      </c>
      <c r="V13" s="664">
        <v>1</v>
      </c>
      <c r="W13" s="664">
        <v>0</v>
      </c>
      <c r="X13" s="664">
        <v>1</v>
      </c>
      <c r="Y13" s="674" t="e">
        <f>IF(AND($A$1=0,$F$1&gt;0,$K$1=0,$P$1&gt;0),$F$4&amp;$AA$8&amp;$P$4, "")</f>
        <v>#REF!</v>
      </c>
    </row>
    <row r="14" spans="1:27">
      <c r="A14" s="654">
        <v>2</v>
      </c>
      <c r="B14" s="655" t="s">
        <v>366</v>
      </c>
      <c r="C14" s="647"/>
      <c r="D14" s="648"/>
      <c r="E14" s="670"/>
      <c r="F14" s="654">
        <v>2</v>
      </c>
      <c r="G14" s="655" t="s">
        <v>366</v>
      </c>
      <c r="H14" s="647"/>
      <c r="I14" s="648"/>
      <c r="K14" s="654">
        <v>2</v>
      </c>
      <c r="L14" s="655" t="s">
        <v>366</v>
      </c>
      <c r="M14" s="647"/>
      <c r="N14" s="648"/>
      <c r="P14" s="654">
        <v>2</v>
      </c>
      <c r="Q14" s="655" t="s">
        <v>366</v>
      </c>
      <c r="R14" s="647"/>
      <c r="S14" s="648"/>
      <c r="T14" s="672" t="e">
        <f t="shared" si="4"/>
        <v>#REF!</v>
      </c>
      <c r="U14" s="664">
        <v>0</v>
      </c>
      <c r="V14" s="664">
        <v>1</v>
      </c>
      <c r="W14" s="664">
        <v>1</v>
      </c>
      <c r="X14" s="664">
        <v>0</v>
      </c>
      <c r="Y14" s="674" t="e">
        <f>IF(AND($A$1=0,$F$1&gt;0,$K$1&gt;0,$P$1=0),$F$4&amp;$AA$8&amp;$K$4, "")</f>
        <v>#REF!</v>
      </c>
    </row>
    <row r="15" spans="1:27">
      <c r="A15" s="654">
        <v>3</v>
      </c>
      <c r="B15" s="655" t="s">
        <v>367</v>
      </c>
      <c r="C15" s="647"/>
      <c r="D15" s="648"/>
      <c r="E15" s="670"/>
      <c r="F15" s="654">
        <v>3</v>
      </c>
      <c r="G15" s="655" t="s">
        <v>367</v>
      </c>
      <c r="H15" s="647"/>
      <c r="I15" s="648"/>
      <c r="K15" s="654">
        <v>3</v>
      </c>
      <c r="L15" s="655" t="s">
        <v>367</v>
      </c>
      <c r="M15" s="647"/>
      <c r="N15" s="648"/>
      <c r="P15" s="654">
        <v>3</v>
      </c>
      <c r="Q15" s="655" t="s">
        <v>367</v>
      </c>
      <c r="R15" s="647"/>
      <c r="S15" s="648"/>
      <c r="T15" s="672" t="e">
        <f t="shared" si="4"/>
        <v>#REF!</v>
      </c>
      <c r="U15" s="664">
        <v>0</v>
      </c>
      <c r="V15" s="664">
        <v>1</v>
      </c>
      <c r="W15" s="664">
        <v>1</v>
      </c>
      <c r="X15" s="664">
        <v>1</v>
      </c>
      <c r="Y15" s="675" t="e">
        <f>IF(AND($A$1=0,$F$1&gt;0,$K$1&gt;0,$P$1&gt;0),$F$4&amp;$AA$8&amp;$K$4&amp;$AA$8&amp;$P$4, "")</f>
        <v>#REF!</v>
      </c>
    </row>
    <row r="16" spans="1:27">
      <c r="A16" s="654">
        <v>4</v>
      </c>
      <c r="B16" s="655" t="s">
        <v>368</v>
      </c>
      <c r="C16" s="647"/>
      <c r="D16" s="648"/>
      <c r="E16" s="670"/>
      <c r="F16" s="654">
        <v>4</v>
      </c>
      <c r="G16" s="655" t="s">
        <v>368</v>
      </c>
      <c r="H16" s="647"/>
      <c r="I16" s="648"/>
      <c r="K16" s="654">
        <v>4</v>
      </c>
      <c r="L16" s="655" t="s">
        <v>368</v>
      </c>
      <c r="M16" s="647"/>
      <c r="N16" s="648"/>
      <c r="P16" s="654">
        <v>4</v>
      </c>
      <c r="Q16" s="655" t="s">
        <v>368</v>
      </c>
      <c r="R16" s="647"/>
      <c r="S16" s="648"/>
      <c r="T16" s="672" t="e">
        <f t="shared" si="4"/>
        <v>#REF!</v>
      </c>
      <c r="U16" s="664">
        <v>1</v>
      </c>
      <c r="V16" s="664">
        <v>0</v>
      </c>
      <c r="W16" s="664">
        <v>0</v>
      </c>
      <c r="X16" s="664">
        <v>0</v>
      </c>
      <c r="Y16" s="673" t="e">
        <f>IF(AND($A$1&gt;0,$F$1=0,$K$1=0,$P$1=0), $A$4, "")</f>
        <v>#REF!</v>
      </c>
    </row>
    <row r="17" spans="1:27">
      <c r="A17" s="654">
        <v>5</v>
      </c>
      <c r="B17" s="655" t="s">
        <v>369</v>
      </c>
      <c r="C17" s="647"/>
      <c r="D17" s="648"/>
      <c r="E17" s="670"/>
      <c r="F17" s="654">
        <v>5</v>
      </c>
      <c r="G17" s="655" t="s">
        <v>369</v>
      </c>
      <c r="H17" s="647"/>
      <c r="I17" s="648"/>
      <c r="K17" s="654">
        <v>5</v>
      </c>
      <c r="L17" s="655" t="s">
        <v>369</v>
      </c>
      <c r="M17" s="647"/>
      <c r="N17" s="648"/>
      <c r="P17" s="654">
        <v>5</v>
      </c>
      <c r="Q17" s="655" t="s">
        <v>369</v>
      </c>
      <c r="R17" s="647"/>
      <c r="S17" s="648"/>
      <c r="T17" s="672" t="e">
        <f t="shared" si="4"/>
        <v>#REF!</v>
      </c>
      <c r="U17" s="664">
        <v>1</v>
      </c>
      <c r="V17" s="664">
        <v>0</v>
      </c>
      <c r="W17" s="664">
        <v>0</v>
      </c>
      <c r="X17" s="664">
        <v>1</v>
      </c>
      <c r="Y17" s="674" t="e">
        <f>IF(AND($A$1&gt;0,$F$1=0,$K$1=0,$P$1&gt;0),$A$4&amp;$AA$8&amp;$P$4, "")</f>
        <v>#REF!</v>
      </c>
    </row>
    <row r="18" spans="1:27">
      <c r="A18" s="654">
        <v>6</v>
      </c>
      <c r="B18" s="655" t="s">
        <v>370</v>
      </c>
      <c r="C18" s="647"/>
      <c r="D18" s="648"/>
      <c r="E18" s="670"/>
      <c r="F18" s="654">
        <v>6</v>
      </c>
      <c r="G18" s="655" t="s">
        <v>370</v>
      </c>
      <c r="H18" s="647"/>
      <c r="I18" s="648"/>
      <c r="K18" s="654">
        <v>6</v>
      </c>
      <c r="L18" s="655" t="s">
        <v>370</v>
      </c>
      <c r="M18" s="647"/>
      <c r="N18" s="648"/>
      <c r="P18" s="654">
        <v>6</v>
      </c>
      <c r="Q18" s="655" t="s">
        <v>370</v>
      </c>
      <c r="R18" s="647"/>
      <c r="S18" s="648"/>
      <c r="T18" s="672" t="e">
        <f t="shared" si="4"/>
        <v>#REF!</v>
      </c>
      <c r="U18" s="664">
        <v>1</v>
      </c>
      <c r="V18" s="664">
        <v>0</v>
      </c>
      <c r="W18" s="664">
        <v>1</v>
      </c>
      <c r="X18" s="664">
        <v>0</v>
      </c>
      <c r="Y18" s="674" t="e">
        <f>IF(AND($A$1&gt;0,$F$1=0,$K$1&gt;0,$P$1=0),$A$4&amp;$AA$8&amp;$K$4, "")</f>
        <v>#REF!</v>
      </c>
    </row>
    <row r="19" spans="1:27">
      <c r="A19" s="654">
        <v>7</v>
      </c>
      <c r="B19" s="655" t="s">
        <v>371</v>
      </c>
      <c r="C19" s="647"/>
      <c r="D19" s="648"/>
      <c r="E19" s="670"/>
      <c r="F19" s="654">
        <v>7</v>
      </c>
      <c r="G19" s="655" t="s">
        <v>371</v>
      </c>
      <c r="H19" s="647"/>
      <c r="I19" s="648"/>
      <c r="K19" s="654">
        <v>7</v>
      </c>
      <c r="L19" s="655" t="s">
        <v>371</v>
      </c>
      <c r="M19" s="647"/>
      <c r="N19" s="648"/>
      <c r="P19" s="654">
        <v>7</v>
      </c>
      <c r="Q19" s="655" t="s">
        <v>371</v>
      </c>
      <c r="R19" s="647"/>
      <c r="S19" s="648"/>
      <c r="T19" s="672" t="e">
        <f t="shared" si="4"/>
        <v>#REF!</v>
      </c>
      <c r="U19" s="664">
        <v>1</v>
      </c>
      <c r="V19" s="664">
        <v>0</v>
      </c>
      <c r="W19" s="664">
        <v>1</v>
      </c>
      <c r="X19" s="664">
        <v>1</v>
      </c>
      <c r="Y19" s="674" t="e">
        <f>IF(AND($A$1&gt;0,$F$1=0,$K$1&gt;0,$P$1&gt;0),$A$4&amp;$AA$8&amp;$K$4&amp;$AA$8&amp;$P$4, "")</f>
        <v>#REF!</v>
      </c>
    </row>
    <row r="20" spans="1:27">
      <c r="A20" s="654">
        <v>8</v>
      </c>
      <c r="B20" s="655" t="s">
        <v>372</v>
      </c>
      <c r="C20" s="647"/>
      <c r="D20" s="648"/>
      <c r="E20" s="670"/>
      <c r="F20" s="654">
        <v>8</v>
      </c>
      <c r="G20" s="655" t="s">
        <v>372</v>
      </c>
      <c r="H20" s="647"/>
      <c r="I20" s="648"/>
      <c r="K20" s="654">
        <v>8</v>
      </c>
      <c r="L20" s="655" t="s">
        <v>372</v>
      </c>
      <c r="M20" s="647"/>
      <c r="N20" s="648"/>
      <c r="P20" s="654">
        <v>8</v>
      </c>
      <c r="Q20" s="655" t="s">
        <v>372</v>
      </c>
      <c r="R20" s="647"/>
      <c r="S20" s="648"/>
      <c r="T20" s="672" t="e">
        <f t="shared" si="4"/>
        <v>#REF!</v>
      </c>
      <c r="U20" s="664">
        <v>1</v>
      </c>
      <c r="V20" s="664">
        <v>1</v>
      </c>
      <c r="W20" s="664">
        <v>0</v>
      </c>
      <c r="X20" s="664">
        <v>0</v>
      </c>
      <c r="Y20" s="674" t="e">
        <f>IF(AND($A$1&gt;0,$F$1&gt;0,$K$1=0,$P$1=0),$A$4&amp;$AA$8&amp;$F$4, "")</f>
        <v>#REF!</v>
      </c>
    </row>
    <row r="21" spans="1:27">
      <c r="A21" s="654">
        <v>9</v>
      </c>
      <c r="B21" s="655" t="s">
        <v>373</v>
      </c>
      <c r="C21" s="647"/>
      <c r="D21" s="648"/>
      <c r="E21" s="670"/>
      <c r="F21" s="654">
        <v>9</v>
      </c>
      <c r="G21" s="655" t="s">
        <v>373</v>
      </c>
      <c r="H21" s="647"/>
      <c r="I21" s="648"/>
      <c r="K21" s="654">
        <v>9</v>
      </c>
      <c r="L21" s="655" t="s">
        <v>373</v>
      </c>
      <c r="M21" s="647"/>
      <c r="N21" s="648"/>
      <c r="P21" s="654">
        <v>9</v>
      </c>
      <c r="Q21" s="655" t="s">
        <v>373</v>
      </c>
      <c r="R21" s="647"/>
      <c r="S21" s="648"/>
      <c r="T21" s="672" t="e">
        <f t="shared" si="4"/>
        <v>#REF!</v>
      </c>
      <c r="U21" s="664">
        <v>1</v>
      </c>
      <c r="V21" s="664">
        <v>1</v>
      </c>
      <c r="W21" s="664">
        <v>0</v>
      </c>
      <c r="X21" s="664">
        <v>1</v>
      </c>
      <c r="Y21" s="674" t="e">
        <f>IF(AND($A$1&gt;0,$F$1&gt;0,$K$1=0,$P$1&gt;0),$A$4&amp;$AA$8&amp;$F$4&amp;$AA$8&amp;$P$4, "")</f>
        <v>#REF!</v>
      </c>
    </row>
    <row r="22" spans="1:27">
      <c r="A22" s="654">
        <v>10</v>
      </c>
      <c r="B22" s="655" t="s">
        <v>374</v>
      </c>
      <c r="C22" s="647"/>
      <c r="D22" s="648"/>
      <c r="E22" s="670"/>
      <c r="F22" s="654">
        <v>10</v>
      </c>
      <c r="G22" s="655" t="s">
        <v>374</v>
      </c>
      <c r="H22" s="647"/>
      <c r="I22" s="648"/>
      <c r="K22" s="654">
        <v>10</v>
      </c>
      <c r="L22" s="655" t="s">
        <v>374</v>
      </c>
      <c r="M22" s="647"/>
      <c r="N22" s="648"/>
      <c r="P22" s="654">
        <v>10</v>
      </c>
      <c r="Q22" s="655" t="s">
        <v>374</v>
      </c>
      <c r="R22" s="647"/>
      <c r="S22" s="648"/>
      <c r="T22" s="672" t="e">
        <f t="shared" si="4"/>
        <v>#REF!</v>
      </c>
      <c r="U22" s="664">
        <v>1</v>
      </c>
      <c r="V22" s="664">
        <v>1</v>
      </c>
      <c r="W22" s="664">
        <v>1</v>
      </c>
      <c r="X22" s="664">
        <v>0</v>
      </c>
      <c r="Y22" s="674" t="e">
        <f>IF(AND($A$1&gt;0,$F$1&gt;0,$K$1&gt;0,$P$1=0),$A$4&amp;$AA$8&amp;$F$4&amp;$AA$8&amp;$K$4, "")</f>
        <v>#REF!</v>
      </c>
    </row>
    <row r="23" spans="1:27">
      <c r="A23" s="654">
        <v>11</v>
      </c>
      <c r="B23" s="655" t="s">
        <v>375</v>
      </c>
      <c r="C23" s="647"/>
      <c r="D23" s="648"/>
      <c r="E23" s="670"/>
      <c r="F23" s="654">
        <v>11</v>
      </c>
      <c r="G23" s="655" t="s">
        <v>375</v>
      </c>
      <c r="H23" s="647"/>
      <c r="I23" s="648"/>
      <c r="K23" s="654">
        <v>11</v>
      </c>
      <c r="L23" s="655" t="s">
        <v>375</v>
      </c>
      <c r="M23" s="647"/>
      <c r="N23" s="648"/>
      <c r="P23" s="654">
        <v>11</v>
      </c>
      <c r="Q23" s="655" t="s">
        <v>375</v>
      </c>
      <c r="R23" s="647"/>
      <c r="S23" s="648"/>
      <c r="T23" s="672" t="e">
        <f t="shared" si="4"/>
        <v>#REF!</v>
      </c>
      <c r="U23" s="664">
        <v>1</v>
      </c>
      <c r="V23" s="664">
        <v>1</v>
      </c>
      <c r="W23" s="664">
        <v>1</v>
      </c>
      <c r="X23" s="664">
        <v>1</v>
      </c>
      <c r="Y23" s="675" t="e">
        <f>IF(AND($A$1&gt;0,$F$1&gt;0,$K$1&gt;0,$P$1&gt;0),$A$4&amp;$AA$8&amp;$F$4&amp;$AA$8&amp;$K$4&amp;$AA$8&amp;$P$4, "")</f>
        <v>#REF!</v>
      </c>
    </row>
    <row r="24" spans="1:27">
      <c r="A24" s="654">
        <v>12</v>
      </c>
      <c r="B24" s="655" t="s">
        <v>376</v>
      </c>
      <c r="C24" s="647"/>
      <c r="D24" s="648"/>
      <c r="E24" s="670"/>
      <c r="F24" s="654">
        <v>12</v>
      </c>
      <c r="G24" s="655" t="s">
        <v>376</v>
      </c>
      <c r="H24" s="647"/>
      <c r="I24" s="648"/>
      <c r="K24" s="654">
        <v>12</v>
      </c>
      <c r="L24" s="655" t="s">
        <v>376</v>
      </c>
      <c r="M24" s="647"/>
      <c r="N24" s="648"/>
      <c r="P24" s="654">
        <v>12</v>
      </c>
      <c r="Q24" s="655" t="s">
        <v>376</v>
      </c>
      <c r="R24" s="647"/>
      <c r="S24" s="648"/>
    </row>
    <row r="25" spans="1:27">
      <c r="A25" s="654">
        <v>13</v>
      </c>
      <c r="B25" s="655" t="s">
        <v>377</v>
      </c>
      <c r="C25" s="647"/>
      <c r="D25" s="648"/>
      <c r="E25" s="670"/>
      <c r="F25" s="654">
        <v>13</v>
      </c>
      <c r="G25" s="655" t="s">
        <v>377</v>
      </c>
      <c r="H25" s="647"/>
      <c r="I25" s="648"/>
      <c r="K25" s="654">
        <v>13</v>
      </c>
      <c r="L25" s="655" t="s">
        <v>377</v>
      </c>
      <c r="M25" s="647"/>
      <c r="N25" s="648"/>
      <c r="P25" s="654">
        <v>13</v>
      </c>
      <c r="Q25" s="655" t="s">
        <v>377</v>
      </c>
      <c r="R25" s="647"/>
      <c r="S25" s="648"/>
    </row>
    <row r="26" spans="1:27">
      <c r="A26" s="654">
        <v>14</v>
      </c>
      <c r="B26" s="655" t="s">
        <v>378</v>
      </c>
      <c r="C26" s="647"/>
      <c r="D26" s="648"/>
      <c r="E26" s="670"/>
      <c r="F26" s="654">
        <v>14</v>
      </c>
      <c r="G26" s="655" t="s">
        <v>378</v>
      </c>
      <c r="H26" s="647"/>
      <c r="I26" s="648"/>
      <c r="K26" s="654">
        <v>14</v>
      </c>
      <c r="L26" s="655" t="s">
        <v>378</v>
      </c>
      <c r="M26" s="647"/>
      <c r="N26" s="648"/>
      <c r="P26" s="654">
        <v>14</v>
      </c>
      <c r="Q26" s="655" t="s">
        <v>378</v>
      </c>
      <c r="R26" s="647"/>
      <c r="S26" s="648"/>
    </row>
    <row r="27" spans="1:27">
      <c r="A27" s="654">
        <v>15</v>
      </c>
      <c r="B27" s="655" t="s">
        <v>379</v>
      </c>
      <c r="C27" s="647"/>
      <c r="D27" s="648"/>
      <c r="E27" s="670"/>
      <c r="F27" s="654">
        <v>15</v>
      </c>
      <c r="G27" s="655" t="s">
        <v>379</v>
      </c>
      <c r="H27" s="647"/>
      <c r="I27" s="648"/>
      <c r="K27" s="654">
        <v>15</v>
      </c>
      <c r="L27" s="655" t="s">
        <v>379</v>
      </c>
      <c r="M27" s="647"/>
      <c r="N27" s="648"/>
      <c r="P27" s="654">
        <v>15</v>
      </c>
      <c r="Q27" s="655" t="s">
        <v>379</v>
      </c>
      <c r="R27" s="647"/>
      <c r="S27" s="648"/>
    </row>
    <row r="28" spans="1:27">
      <c r="A28" s="654">
        <v>16</v>
      </c>
      <c r="B28" s="655" t="s">
        <v>380</v>
      </c>
      <c r="C28" s="647"/>
      <c r="D28" s="648"/>
      <c r="E28" s="670"/>
      <c r="F28" s="654">
        <v>16</v>
      </c>
      <c r="G28" s="655" t="s">
        <v>380</v>
      </c>
      <c r="H28" s="647"/>
      <c r="I28" s="648"/>
      <c r="K28" s="654">
        <v>16</v>
      </c>
      <c r="L28" s="655" t="s">
        <v>380</v>
      </c>
      <c r="M28" s="647"/>
      <c r="N28" s="648"/>
      <c r="P28" s="654">
        <v>16</v>
      </c>
      <c r="Q28" s="655" t="s">
        <v>380</v>
      </c>
      <c r="R28" s="647"/>
      <c r="S28" s="648"/>
      <c r="T28" s="672" t="e">
        <f>IF(Y28="",0, 1)</f>
        <v>#REF!</v>
      </c>
      <c r="U28" s="664">
        <v>0</v>
      </c>
      <c r="V28" s="664">
        <v>0</v>
      </c>
      <c r="W28" s="664">
        <v>0</v>
      </c>
      <c r="X28" s="664">
        <v>0</v>
      </c>
      <c r="Y28" s="673" t="e">
        <f>IF(AND($A$1=0,$F$1=0,$K$1=0,$P$1=0)," 0/-", "")</f>
        <v>#REF!</v>
      </c>
      <c r="AA28" s="664" t="s">
        <v>467</v>
      </c>
    </row>
    <row r="29" spans="1:27">
      <c r="A29" s="654">
        <v>17</v>
      </c>
      <c r="B29" s="655" t="s">
        <v>381</v>
      </c>
      <c r="C29" s="647"/>
      <c r="D29" s="648"/>
      <c r="E29" s="670"/>
      <c r="F29" s="654">
        <v>17</v>
      </c>
      <c r="G29" s="655" t="s">
        <v>381</v>
      </c>
      <c r="H29" s="647"/>
      <c r="I29" s="648"/>
      <c r="K29" s="654">
        <v>17</v>
      </c>
      <c r="L29" s="655" t="s">
        <v>381</v>
      </c>
      <c r="M29" s="647"/>
      <c r="N29" s="648"/>
      <c r="P29" s="654">
        <v>17</v>
      </c>
      <c r="Q29" s="655" t="s">
        <v>381</v>
      </c>
      <c r="R29" s="647"/>
      <c r="S29" s="648"/>
      <c r="T29" s="672" t="e">
        <f t="shared" ref="T29:T43" si="5">IF(Y29="",0, 1)</f>
        <v>#REF!</v>
      </c>
      <c r="U29" s="664">
        <v>0</v>
      </c>
      <c r="V29" s="664">
        <v>0</v>
      </c>
      <c r="W29" s="664">
        <v>0</v>
      </c>
      <c r="X29" s="664">
        <v>1</v>
      </c>
      <c r="Y29" s="674" t="e">
        <f>IF(AND($A$1=0,$F$1=0,$K$1=0,$P$1&gt;0),$U$3&amp;$P$1&amp;$AA$30, "")</f>
        <v>#REF!</v>
      </c>
      <c r="AA29" s="664" t="s">
        <v>468</v>
      </c>
    </row>
    <row r="30" spans="1:27">
      <c r="A30" s="654">
        <v>18</v>
      </c>
      <c r="B30" s="655" t="s">
        <v>382</v>
      </c>
      <c r="C30" s="647"/>
      <c r="D30" s="648"/>
      <c r="E30" s="670"/>
      <c r="F30" s="654">
        <v>18</v>
      </c>
      <c r="G30" s="655" t="s">
        <v>382</v>
      </c>
      <c r="H30" s="647"/>
      <c r="I30" s="648"/>
      <c r="K30" s="654">
        <v>18</v>
      </c>
      <c r="L30" s="655" t="s">
        <v>382</v>
      </c>
      <c r="M30" s="647"/>
      <c r="N30" s="648"/>
      <c r="P30" s="654">
        <v>18</v>
      </c>
      <c r="Q30" s="655" t="s">
        <v>382</v>
      </c>
      <c r="R30" s="647"/>
      <c r="S30" s="648"/>
      <c r="T30" s="672" t="e">
        <f t="shared" si="5"/>
        <v>#REF!</v>
      </c>
      <c r="U30" s="664">
        <v>0</v>
      </c>
      <c r="V30" s="664">
        <v>0</v>
      </c>
      <c r="W30" s="664">
        <v>1</v>
      </c>
      <c r="X30" s="664">
        <v>0</v>
      </c>
      <c r="Y30" s="674" t="e">
        <f>IF(AND($A$1=0,$F$1=0,$K$1&gt;0,$P$1=0),$U$2&amp;$K$1&amp;$AA$30, "")</f>
        <v>#REF!</v>
      </c>
      <c r="AA30" s="664" t="s">
        <v>469</v>
      </c>
    </row>
    <row r="31" spans="1:27">
      <c r="A31" s="654">
        <v>19</v>
      </c>
      <c r="B31" s="655" t="s">
        <v>383</v>
      </c>
      <c r="C31" s="647"/>
      <c r="D31" s="648"/>
      <c r="E31" s="670"/>
      <c r="F31" s="654">
        <v>19</v>
      </c>
      <c r="G31" s="655" t="s">
        <v>383</v>
      </c>
      <c r="H31" s="647"/>
      <c r="I31" s="648"/>
      <c r="K31" s="654">
        <v>19</v>
      </c>
      <c r="L31" s="655" t="s">
        <v>383</v>
      </c>
      <c r="M31" s="647"/>
      <c r="N31" s="648"/>
      <c r="P31" s="654">
        <v>19</v>
      </c>
      <c r="Q31" s="655" t="s">
        <v>383</v>
      </c>
      <c r="R31" s="647"/>
      <c r="S31" s="648"/>
      <c r="T31" s="672" t="e">
        <f t="shared" si="5"/>
        <v>#REF!</v>
      </c>
      <c r="U31" s="664">
        <v>0</v>
      </c>
      <c r="V31" s="664">
        <v>0</v>
      </c>
      <c r="W31" s="664">
        <v>1</v>
      </c>
      <c r="X31" s="664">
        <v>1</v>
      </c>
      <c r="Y31" s="674" t="e">
        <f>IF(AND($A$1=0,$F$1=0,$K$1&gt;0,$P$1&gt;0),$U$2&amp;$K$1&amp;$AA$29&amp;$U$3&amp;$P$1&amp;$AA$30, "")</f>
        <v>#REF!</v>
      </c>
    </row>
    <row r="32" spans="1:27">
      <c r="A32" s="654">
        <v>20</v>
      </c>
      <c r="B32" s="655" t="s">
        <v>384</v>
      </c>
      <c r="C32" s="647"/>
      <c r="D32" s="648"/>
      <c r="E32" s="670"/>
      <c r="F32" s="654">
        <v>20</v>
      </c>
      <c r="G32" s="655" t="s">
        <v>384</v>
      </c>
      <c r="H32" s="647"/>
      <c r="I32" s="648"/>
      <c r="K32" s="654">
        <v>20</v>
      </c>
      <c r="L32" s="655" t="s">
        <v>384</v>
      </c>
      <c r="M32" s="647"/>
      <c r="N32" s="648"/>
      <c r="P32" s="654">
        <v>20</v>
      </c>
      <c r="Q32" s="655" t="s">
        <v>384</v>
      </c>
      <c r="R32" s="647"/>
      <c r="S32" s="648"/>
      <c r="T32" s="672" t="e">
        <f t="shared" si="5"/>
        <v>#REF!</v>
      </c>
      <c r="U32" s="664">
        <v>0</v>
      </c>
      <c r="V32" s="664">
        <v>1</v>
      </c>
      <c r="W32" s="664">
        <v>0</v>
      </c>
      <c r="X32" s="664">
        <v>0</v>
      </c>
      <c r="Y32" s="674" t="e">
        <f>IF(AND($A$1=0,$F$1&gt;0,$K$1=0,$P$1=0),$U$1&amp;$F$1&amp;$AA$30, "")</f>
        <v>#REF!</v>
      </c>
    </row>
    <row r="33" spans="1:25">
      <c r="A33" s="654">
        <v>21</v>
      </c>
      <c r="B33" s="655" t="s">
        <v>385</v>
      </c>
      <c r="C33" s="647"/>
      <c r="D33" s="648"/>
      <c r="E33" s="670"/>
      <c r="F33" s="654">
        <v>21</v>
      </c>
      <c r="G33" s="655" t="s">
        <v>385</v>
      </c>
      <c r="H33" s="647"/>
      <c r="I33" s="648"/>
      <c r="K33" s="654">
        <v>21</v>
      </c>
      <c r="L33" s="655" t="s">
        <v>385</v>
      </c>
      <c r="M33" s="647"/>
      <c r="N33" s="648"/>
      <c r="P33" s="654">
        <v>21</v>
      </c>
      <c r="Q33" s="655" t="s">
        <v>385</v>
      </c>
      <c r="R33" s="647"/>
      <c r="S33" s="648"/>
      <c r="T33" s="672" t="e">
        <f t="shared" si="5"/>
        <v>#REF!</v>
      </c>
      <c r="U33" s="664">
        <v>0</v>
      </c>
      <c r="V33" s="664">
        <v>1</v>
      </c>
      <c r="W33" s="664">
        <v>0</v>
      </c>
      <c r="X33" s="664">
        <v>1</v>
      </c>
      <c r="Y33" s="674" t="e">
        <f>IF(AND($A$1=0,$F$1&gt;0,$K$1=0,$P$1&gt;0),$U$1&amp;$F$1&amp;$AA$29&amp;$U$3&amp;$P$1&amp;$AA$30, "")</f>
        <v>#REF!</v>
      </c>
    </row>
    <row r="34" spans="1:25">
      <c r="A34" s="654">
        <v>22</v>
      </c>
      <c r="B34" s="655" t="s">
        <v>386</v>
      </c>
      <c r="C34" s="647"/>
      <c r="D34" s="648"/>
      <c r="E34" s="670"/>
      <c r="F34" s="654">
        <v>22</v>
      </c>
      <c r="G34" s="655" t="s">
        <v>386</v>
      </c>
      <c r="H34" s="647"/>
      <c r="I34" s="648"/>
      <c r="K34" s="654">
        <v>22</v>
      </c>
      <c r="L34" s="655" t="s">
        <v>386</v>
      </c>
      <c r="M34" s="647"/>
      <c r="N34" s="648"/>
      <c r="P34" s="654">
        <v>22</v>
      </c>
      <c r="Q34" s="655" t="s">
        <v>386</v>
      </c>
      <c r="R34" s="647"/>
      <c r="S34" s="648"/>
      <c r="T34" s="672" t="e">
        <f t="shared" si="5"/>
        <v>#REF!</v>
      </c>
      <c r="U34" s="664">
        <v>0</v>
      </c>
      <c r="V34" s="664">
        <v>1</v>
      </c>
      <c r="W34" s="664">
        <v>1</v>
      </c>
      <c r="X34" s="664">
        <v>0</v>
      </c>
      <c r="Y34" s="674" t="e">
        <f>IF(AND($A$1=0,$F$1&gt;0,$K$1&gt;0,$P$1=0),$U$1&amp;$F$1&amp;$AA$29&amp;$U$2&amp;$K$1, "")</f>
        <v>#REF!</v>
      </c>
    </row>
    <row r="35" spans="1:25">
      <c r="A35" s="654">
        <v>23</v>
      </c>
      <c r="B35" s="655" t="s">
        <v>387</v>
      </c>
      <c r="C35" s="647"/>
      <c r="D35" s="648"/>
      <c r="E35" s="670"/>
      <c r="F35" s="654">
        <v>23</v>
      </c>
      <c r="G35" s="655" t="s">
        <v>387</v>
      </c>
      <c r="H35" s="647"/>
      <c r="I35" s="648"/>
      <c r="K35" s="654">
        <v>23</v>
      </c>
      <c r="L35" s="655" t="s">
        <v>387</v>
      </c>
      <c r="M35" s="647"/>
      <c r="N35" s="648"/>
      <c r="P35" s="654">
        <v>23</v>
      </c>
      <c r="Q35" s="655" t="s">
        <v>387</v>
      </c>
      <c r="R35" s="647"/>
      <c r="S35" s="648"/>
      <c r="T35" s="672" t="e">
        <f t="shared" si="5"/>
        <v>#REF!</v>
      </c>
      <c r="U35" s="664">
        <v>0</v>
      </c>
      <c r="V35" s="664">
        <v>1</v>
      </c>
      <c r="W35" s="664">
        <v>1</v>
      </c>
      <c r="X35" s="664">
        <v>1</v>
      </c>
      <c r="Y35" s="675" t="e">
        <f>IF(AND($A$1=0,$F$1&gt;0,$K$1&gt;0,$P$1&gt;0),$U$1&amp;$F$1&amp;$AA$29&amp;$U$2&amp;$K$1&amp;$AA$29&amp;$U$3&amp;$P$1&amp;$AA$30, "")</f>
        <v>#REF!</v>
      </c>
    </row>
    <row r="36" spans="1:25">
      <c r="A36" s="654">
        <v>24</v>
      </c>
      <c r="B36" s="655" t="s">
        <v>388</v>
      </c>
      <c r="C36" s="647"/>
      <c r="D36" s="648"/>
      <c r="E36" s="670"/>
      <c r="F36" s="654">
        <v>24</v>
      </c>
      <c r="G36" s="655" t="s">
        <v>388</v>
      </c>
      <c r="H36" s="647"/>
      <c r="I36" s="648"/>
      <c r="K36" s="654">
        <v>24</v>
      </c>
      <c r="L36" s="655" t="s">
        <v>388</v>
      </c>
      <c r="M36" s="647"/>
      <c r="N36" s="648"/>
      <c r="P36" s="654">
        <v>24</v>
      </c>
      <c r="Q36" s="655" t="s">
        <v>388</v>
      </c>
      <c r="R36" s="647"/>
      <c r="S36" s="648"/>
      <c r="T36" s="672" t="e">
        <f t="shared" si="5"/>
        <v>#REF!</v>
      </c>
      <c r="U36" s="664">
        <v>1</v>
      </c>
      <c r="V36" s="664">
        <v>0</v>
      </c>
      <c r="W36" s="664">
        <v>0</v>
      </c>
      <c r="X36" s="664">
        <v>0</v>
      </c>
      <c r="Y36" s="673" t="e">
        <f>IF(AND($A$1&gt;0,$F$1=0,$K$1=0,$P$1=0),#REF!&amp; $A$1&amp;$AA$30, "")</f>
        <v>#REF!</v>
      </c>
    </row>
    <row r="37" spans="1:25">
      <c r="A37" s="654">
        <v>25</v>
      </c>
      <c r="B37" s="655" t="s">
        <v>389</v>
      </c>
      <c r="C37" s="647"/>
      <c r="D37" s="648"/>
      <c r="E37" s="670"/>
      <c r="F37" s="654">
        <v>25</v>
      </c>
      <c r="G37" s="655" t="s">
        <v>389</v>
      </c>
      <c r="H37" s="647"/>
      <c r="I37" s="648"/>
      <c r="K37" s="654">
        <v>25</v>
      </c>
      <c r="L37" s="655" t="s">
        <v>389</v>
      </c>
      <c r="M37" s="647"/>
      <c r="N37" s="648"/>
      <c r="P37" s="654">
        <v>25</v>
      </c>
      <c r="Q37" s="655" t="s">
        <v>389</v>
      </c>
      <c r="R37" s="647"/>
      <c r="S37" s="648"/>
      <c r="T37" s="672" t="e">
        <f t="shared" si="5"/>
        <v>#REF!</v>
      </c>
      <c r="U37" s="664">
        <v>1</v>
      </c>
      <c r="V37" s="664">
        <v>0</v>
      </c>
      <c r="W37" s="664">
        <v>0</v>
      </c>
      <c r="X37" s="664">
        <v>1</v>
      </c>
      <c r="Y37" s="674" t="e">
        <f>IF(AND($A$1&gt;0,$F$1=0,$K$1=0,$P$1&gt;0),#REF!&amp;$A$1&amp;$AA$29&amp;$U$3&amp;$P$1&amp;$AA$30, "")</f>
        <v>#REF!</v>
      </c>
    </row>
    <row r="38" spans="1:25">
      <c r="A38" s="654">
        <v>26</v>
      </c>
      <c r="B38" s="655" t="s">
        <v>390</v>
      </c>
      <c r="C38" s="647"/>
      <c r="D38" s="648"/>
      <c r="E38" s="670"/>
      <c r="F38" s="654">
        <v>26</v>
      </c>
      <c r="G38" s="655" t="s">
        <v>390</v>
      </c>
      <c r="H38" s="647"/>
      <c r="I38" s="648"/>
      <c r="K38" s="654">
        <v>26</v>
      </c>
      <c r="L38" s="655" t="s">
        <v>390</v>
      </c>
      <c r="M38" s="647"/>
      <c r="N38" s="648"/>
      <c r="P38" s="654">
        <v>26</v>
      </c>
      <c r="Q38" s="655" t="s">
        <v>390</v>
      </c>
      <c r="R38" s="647"/>
      <c r="S38" s="648"/>
      <c r="T38" s="672" t="e">
        <f t="shared" si="5"/>
        <v>#REF!</v>
      </c>
      <c r="U38" s="664">
        <v>1</v>
      </c>
      <c r="V38" s="664">
        <v>0</v>
      </c>
      <c r="W38" s="664">
        <v>1</v>
      </c>
      <c r="X38" s="664">
        <v>0</v>
      </c>
      <c r="Y38" s="674" t="e">
        <f>IF(AND($A$1&gt;0,$F$1=0,$K$1&gt;0,$P$1=0),#REF!&amp;$A$1&amp;$AA$29&amp;$U$2&amp;$K$1, "")</f>
        <v>#REF!</v>
      </c>
    </row>
    <row r="39" spans="1:25">
      <c r="A39" s="654">
        <v>27</v>
      </c>
      <c r="B39" s="655" t="s">
        <v>391</v>
      </c>
      <c r="C39" s="647"/>
      <c r="D39" s="648"/>
      <c r="E39" s="670"/>
      <c r="F39" s="654">
        <v>27</v>
      </c>
      <c r="G39" s="655" t="s">
        <v>391</v>
      </c>
      <c r="H39" s="647"/>
      <c r="I39" s="648"/>
      <c r="K39" s="654">
        <v>27</v>
      </c>
      <c r="L39" s="655" t="s">
        <v>391</v>
      </c>
      <c r="M39" s="647"/>
      <c r="N39" s="648"/>
      <c r="P39" s="654">
        <v>27</v>
      </c>
      <c r="Q39" s="655" t="s">
        <v>391</v>
      </c>
      <c r="R39" s="647"/>
      <c r="S39" s="648"/>
      <c r="T39" s="672" t="e">
        <f t="shared" si="5"/>
        <v>#REF!</v>
      </c>
      <c r="U39" s="664">
        <v>1</v>
      </c>
      <c r="V39" s="664">
        <v>0</v>
      </c>
      <c r="W39" s="664">
        <v>1</v>
      </c>
      <c r="X39" s="664">
        <v>1</v>
      </c>
      <c r="Y39" s="674" t="e">
        <f>IF(AND($A$1&gt;0,$F$1=0,$K$1&gt;0,$P$1&gt;0),#REF!&amp;$A$1&amp;$AA$29&amp;$U$2&amp;$K$1&amp;$AA$29&amp;$U$3&amp;$P$1&amp;$AA$30, "")</f>
        <v>#REF!</v>
      </c>
    </row>
    <row r="40" spans="1:25">
      <c r="A40" s="654">
        <v>28</v>
      </c>
      <c r="B40" s="655" t="s">
        <v>392</v>
      </c>
      <c r="C40" s="647"/>
      <c r="D40" s="648"/>
      <c r="E40" s="670"/>
      <c r="F40" s="654">
        <v>28</v>
      </c>
      <c r="G40" s="655" t="s">
        <v>392</v>
      </c>
      <c r="H40" s="647"/>
      <c r="I40" s="648"/>
      <c r="K40" s="654">
        <v>28</v>
      </c>
      <c r="L40" s="655" t="s">
        <v>392</v>
      </c>
      <c r="M40" s="647"/>
      <c r="N40" s="648"/>
      <c r="P40" s="654">
        <v>28</v>
      </c>
      <c r="Q40" s="655" t="s">
        <v>392</v>
      </c>
      <c r="R40" s="647"/>
      <c r="S40" s="648"/>
      <c r="T40" s="672" t="e">
        <f t="shared" si="5"/>
        <v>#REF!</v>
      </c>
      <c r="U40" s="664">
        <v>1</v>
      </c>
      <c r="V40" s="664">
        <v>1</v>
      </c>
      <c r="W40" s="664">
        <v>0</v>
      </c>
      <c r="X40" s="664">
        <v>0</v>
      </c>
      <c r="Y40" s="674" t="e">
        <f>IF(AND($A$1&gt;0,$F$1&gt;0,$K$1=0,$P$1=0),#REF!&amp;$A$1&amp;$AA$29&amp;$U$1&amp;$F$1, "")</f>
        <v>#REF!</v>
      </c>
    </row>
    <row r="41" spans="1:25">
      <c r="A41" s="654">
        <v>29</v>
      </c>
      <c r="B41" s="655" t="s">
        <v>393</v>
      </c>
      <c r="C41" s="647"/>
      <c r="D41" s="648"/>
      <c r="E41" s="670"/>
      <c r="F41" s="654">
        <v>29</v>
      </c>
      <c r="G41" s="655" t="s">
        <v>393</v>
      </c>
      <c r="H41" s="647"/>
      <c r="I41" s="648"/>
      <c r="K41" s="654">
        <v>29</v>
      </c>
      <c r="L41" s="655" t="s">
        <v>393</v>
      </c>
      <c r="M41" s="647"/>
      <c r="N41" s="648"/>
      <c r="P41" s="654">
        <v>29</v>
      </c>
      <c r="Q41" s="655" t="s">
        <v>393</v>
      </c>
      <c r="R41" s="647"/>
      <c r="S41" s="648"/>
      <c r="T41" s="672" t="e">
        <f t="shared" si="5"/>
        <v>#REF!</v>
      </c>
      <c r="U41" s="664">
        <v>1</v>
      </c>
      <c r="V41" s="664">
        <v>1</v>
      </c>
      <c r="W41" s="664">
        <v>0</v>
      </c>
      <c r="X41" s="664">
        <v>1</v>
      </c>
      <c r="Y41" s="674" t="e">
        <f>IF(AND($A$1&gt;0,$F$1&gt;0,$K$1=0,$P$1&gt;0),#REF!&amp;$A$1&amp;$AA$29&amp;$U$1&amp;$F$1&amp;$AA$29&amp;$U$3&amp;$P$1&amp;$AA$30, "")</f>
        <v>#REF!</v>
      </c>
    </row>
    <row r="42" spans="1:25">
      <c r="A42" s="654">
        <v>30</v>
      </c>
      <c r="B42" s="655" t="s">
        <v>394</v>
      </c>
      <c r="C42" s="647"/>
      <c r="D42" s="648"/>
      <c r="E42" s="670"/>
      <c r="F42" s="654">
        <v>30</v>
      </c>
      <c r="G42" s="655" t="s">
        <v>394</v>
      </c>
      <c r="H42" s="647"/>
      <c r="I42" s="648"/>
      <c r="K42" s="654">
        <v>30</v>
      </c>
      <c r="L42" s="655" t="s">
        <v>394</v>
      </c>
      <c r="M42" s="647"/>
      <c r="N42" s="648"/>
      <c r="P42" s="654">
        <v>30</v>
      </c>
      <c r="Q42" s="655" t="s">
        <v>394</v>
      </c>
      <c r="R42" s="647"/>
      <c r="S42" s="648"/>
      <c r="T42" s="672" t="e">
        <f t="shared" si="5"/>
        <v>#REF!</v>
      </c>
      <c r="U42" s="664">
        <v>1</v>
      </c>
      <c r="V42" s="664">
        <v>1</v>
      </c>
      <c r="W42" s="664">
        <v>1</v>
      </c>
      <c r="X42" s="664">
        <v>0</v>
      </c>
      <c r="Y42" s="674" t="e">
        <f>IF(AND($A$1&gt;0,$F$1&gt;0,$K$1&gt;0,$P$1=0),#REF!&amp;$A$1&amp;$AA$29&amp;$U$1&amp;$F$1&amp;$AA$29&amp;$U$2&amp;$K$1, "")</f>
        <v>#REF!</v>
      </c>
    </row>
    <row r="43" spans="1:25">
      <c r="A43" s="654">
        <v>31</v>
      </c>
      <c r="B43" s="655" t="s">
        <v>395</v>
      </c>
      <c r="C43" s="647"/>
      <c r="D43" s="648"/>
      <c r="E43" s="670"/>
      <c r="F43" s="654">
        <v>31</v>
      </c>
      <c r="G43" s="655" t="s">
        <v>395</v>
      </c>
      <c r="H43" s="647"/>
      <c r="I43" s="648"/>
      <c r="K43" s="654">
        <v>31</v>
      </c>
      <c r="L43" s="655" t="s">
        <v>395</v>
      </c>
      <c r="M43" s="647"/>
      <c r="N43" s="648"/>
      <c r="P43" s="654">
        <v>31</v>
      </c>
      <c r="Q43" s="655" t="s">
        <v>395</v>
      </c>
      <c r="R43" s="647"/>
      <c r="S43" s="648"/>
      <c r="T43" s="672" t="e">
        <f t="shared" si="5"/>
        <v>#REF!</v>
      </c>
      <c r="U43" s="664">
        <v>1</v>
      </c>
      <c r="V43" s="664">
        <v>1</v>
      </c>
      <c r="W43" s="664">
        <v>1</v>
      </c>
      <c r="X43" s="664">
        <v>1</v>
      </c>
      <c r="Y43" s="675" t="e">
        <f>IF(AND($A$1&gt;0,$F$1&gt;0,$K$1&gt;0,$P$1&gt;0),#REF!&amp;$A$1&amp;$AA$29&amp;$U$1&amp;$F$1&amp;$AA$29&amp;$U$2&amp;$K$1&amp;$AA$29&amp;$U$3&amp;$P$1&amp;$AA$30, "")</f>
        <v>#REF!</v>
      </c>
    </row>
    <row r="44" spans="1:25">
      <c r="A44" s="654">
        <v>32</v>
      </c>
      <c r="B44" s="655" t="s">
        <v>396</v>
      </c>
      <c r="C44" s="647"/>
      <c r="D44" s="648"/>
      <c r="E44" s="670"/>
      <c r="F44" s="654">
        <v>32</v>
      </c>
      <c r="G44" s="655" t="s">
        <v>396</v>
      </c>
      <c r="H44" s="647"/>
      <c r="I44" s="648"/>
      <c r="K44" s="654">
        <v>32</v>
      </c>
      <c r="L44" s="655" t="s">
        <v>396</v>
      </c>
      <c r="M44" s="647"/>
      <c r="N44" s="648"/>
      <c r="P44" s="654">
        <v>32</v>
      </c>
      <c r="Q44" s="655" t="s">
        <v>396</v>
      </c>
      <c r="R44" s="647"/>
      <c r="S44" s="648"/>
    </row>
    <row r="45" spans="1:25">
      <c r="A45" s="654">
        <v>33</v>
      </c>
      <c r="B45" s="655" t="s">
        <v>397</v>
      </c>
      <c r="C45" s="647"/>
      <c r="D45" s="648"/>
      <c r="E45" s="670"/>
      <c r="F45" s="654">
        <v>33</v>
      </c>
      <c r="G45" s="655" t="s">
        <v>397</v>
      </c>
      <c r="H45" s="647"/>
      <c r="I45" s="648"/>
      <c r="K45" s="654">
        <v>33</v>
      </c>
      <c r="L45" s="655" t="s">
        <v>397</v>
      </c>
      <c r="M45" s="647"/>
      <c r="N45" s="648"/>
      <c r="P45" s="654">
        <v>33</v>
      </c>
      <c r="Q45" s="655" t="s">
        <v>397</v>
      </c>
      <c r="R45" s="647"/>
      <c r="S45" s="648"/>
    </row>
    <row r="46" spans="1:25">
      <c r="A46" s="654">
        <v>34</v>
      </c>
      <c r="B46" s="655" t="s">
        <v>398</v>
      </c>
      <c r="C46" s="647"/>
      <c r="D46" s="648"/>
      <c r="E46" s="670"/>
      <c r="F46" s="654">
        <v>34</v>
      </c>
      <c r="G46" s="655" t="s">
        <v>398</v>
      </c>
      <c r="H46" s="647"/>
      <c r="I46" s="648"/>
      <c r="K46" s="654">
        <v>34</v>
      </c>
      <c r="L46" s="655" t="s">
        <v>398</v>
      </c>
      <c r="M46" s="647"/>
      <c r="N46" s="648"/>
      <c r="P46" s="654">
        <v>34</v>
      </c>
      <c r="Q46" s="655" t="s">
        <v>398</v>
      </c>
      <c r="R46" s="647"/>
      <c r="S46" s="648"/>
    </row>
    <row r="47" spans="1:25">
      <c r="A47" s="654">
        <v>35</v>
      </c>
      <c r="B47" s="655" t="s">
        <v>399</v>
      </c>
      <c r="C47" s="647"/>
      <c r="D47" s="648"/>
      <c r="E47" s="670"/>
      <c r="F47" s="654">
        <v>35</v>
      </c>
      <c r="G47" s="655" t="s">
        <v>399</v>
      </c>
      <c r="H47" s="647"/>
      <c r="I47" s="648"/>
      <c r="K47" s="654">
        <v>35</v>
      </c>
      <c r="L47" s="655" t="s">
        <v>399</v>
      </c>
      <c r="M47" s="647"/>
      <c r="N47" s="648"/>
      <c r="P47" s="654">
        <v>35</v>
      </c>
      <c r="Q47" s="655" t="s">
        <v>399</v>
      </c>
      <c r="R47" s="647"/>
      <c r="S47" s="648"/>
    </row>
    <row r="48" spans="1:25">
      <c r="A48" s="654">
        <v>36</v>
      </c>
      <c r="B48" s="655" t="s">
        <v>400</v>
      </c>
      <c r="C48" s="647"/>
      <c r="D48" s="648"/>
      <c r="E48" s="670"/>
      <c r="F48" s="654">
        <v>36</v>
      </c>
      <c r="G48" s="655" t="s">
        <v>400</v>
      </c>
      <c r="H48" s="647"/>
      <c r="I48" s="648"/>
      <c r="K48" s="654">
        <v>36</v>
      </c>
      <c r="L48" s="655" t="s">
        <v>400</v>
      </c>
      <c r="M48" s="647"/>
      <c r="N48" s="648"/>
      <c r="P48" s="654">
        <v>36</v>
      </c>
      <c r="Q48" s="655" t="s">
        <v>400</v>
      </c>
      <c r="R48" s="647"/>
      <c r="S48" s="648"/>
    </row>
    <row r="49" spans="1:19">
      <c r="A49" s="654">
        <v>37</v>
      </c>
      <c r="B49" s="655" t="s">
        <v>401</v>
      </c>
      <c r="C49" s="647"/>
      <c r="D49" s="648"/>
      <c r="E49" s="670"/>
      <c r="F49" s="654">
        <v>37</v>
      </c>
      <c r="G49" s="655" t="s">
        <v>401</v>
      </c>
      <c r="H49" s="647"/>
      <c r="I49" s="648"/>
      <c r="K49" s="654">
        <v>37</v>
      </c>
      <c r="L49" s="655" t="s">
        <v>401</v>
      </c>
      <c r="M49" s="647"/>
      <c r="N49" s="648"/>
      <c r="P49" s="654">
        <v>37</v>
      </c>
      <c r="Q49" s="655" t="s">
        <v>401</v>
      </c>
      <c r="R49" s="647"/>
      <c r="S49" s="648"/>
    </row>
    <row r="50" spans="1:19">
      <c r="A50" s="654">
        <v>38</v>
      </c>
      <c r="B50" s="655" t="s">
        <v>402</v>
      </c>
      <c r="C50" s="647"/>
      <c r="D50" s="648"/>
      <c r="E50" s="670"/>
      <c r="F50" s="654">
        <v>38</v>
      </c>
      <c r="G50" s="655" t="s">
        <v>402</v>
      </c>
      <c r="H50" s="647"/>
      <c r="I50" s="648"/>
      <c r="K50" s="654">
        <v>38</v>
      </c>
      <c r="L50" s="655" t="s">
        <v>402</v>
      </c>
      <c r="M50" s="647"/>
      <c r="N50" s="648"/>
      <c r="P50" s="654">
        <v>38</v>
      </c>
      <c r="Q50" s="655" t="s">
        <v>402</v>
      </c>
      <c r="R50" s="647"/>
      <c r="S50" s="648"/>
    </row>
    <row r="51" spans="1:19">
      <c r="A51" s="654">
        <v>39</v>
      </c>
      <c r="B51" s="655" t="s">
        <v>403</v>
      </c>
      <c r="C51" s="647"/>
      <c r="D51" s="648"/>
      <c r="E51" s="670"/>
      <c r="F51" s="654">
        <v>39</v>
      </c>
      <c r="G51" s="655" t="s">
        <v>403</v>
      </c>
      <c r="H51" s="647"/>
      <c r="I51" s="648"/>
      <c r="K51" s="654">
        <v>39</v>
      </c>
      <c r="L51" s="655" t="s">
        <v>403</v>
      </c>
      <c r="M51" s="647"/>
      <c r="N51" s="648"/>
      <c r="P51" s="654">
        <v>39</v>
      </c>
      <c r="Q51" s="655" t="s">
        <v>403</v>
      </c>
      <c r="R51" s="647"/>
      <c r="S51" s="648"/>
    </row>
    <row r="52" spans="1:19">
      <c r="A52" s="654">
        <v>40</v>
      </c>
      <c r="B52" s="655" t="s">
        <v>404</v>
      </c>
      <c r="C52" s="647"/>
      <c r="D52" s="648"/>
      <c r="E52" s="670"/>
      <c r="F52" s="654">
        <v>40</v>
      </c>
      <c r="G52" s="655" t="s">
        <v>404</v>
      </c>
      <c r="H52" s="647"/>
      <c r="I52" s="648"/>
      <c r="K52" s="654">
        <v>40</v>
      </c>
      <c r="L52" s="655" t="s">
        <v>404</v>
      </c>
      <c r="M52" s="647"/>
      <c r="N52" s="648"/>
      <c r="P52" s="654">
        <v>40</v>
      </c>
      <c r="Q52" s="655" t="s">
        <v>404</v>
      </c>
      <c r="R52" s="647"/>
      <c r="S52" s="648"/>
    </row>
    <row r="53" spans="1:19">
      <c r="A53" s="654">
        <v>41</v>
      </c>
      <c r="B53" s="655" t="s">
        <v>405</v>
      </c>
      <c r="C53" s="647"/>
      <c r="D53" s="648"/>
      <c r="E53" s="670"/>
      <c r="F53" s="654">
        <v>41</v>
      </c>
      <c r="G53" s="655" t="s">
        <v>405</v>
      </c>
      <c r="H53" s="647"/>
      <c r="I53" s="648"/>
      <c r="K53" s="654">
        <v>41</v>
      </c>
      <c r="L53" s="655" t="s">
        <v>405</v>
      </c>
      <c r="M53" s="647"/>
      <c r="N53" s="648"/>
      <c r="P53" s="654">
        <v>41</v>
      </c>
      <c r="Q53" s="655" t="s">
        <v>405</v>
      </c>
      <c r="R53" s="647"/>
      <c r="S53" s="648"/>
    </row>
    <row r="54" spans="1:19">
      <c r="A54" s="654">
        <v>42</v>
      </c>
      <c r="B54" s="655" t="s">
        <v>406</v>
      </c>
      <c r="C54" s="647"/>
      <c r="D54" s="648"/>
      <c r="E54" s="670"/>
      <c r="F54" s="654">
        <v>42</v>
      </c>
      <c r="G54" s="655" t="s">
        <v>406</v>
      </c>
      <c r="H54" s="647"/>
      <c r="I54" s="648"/>
      <c r="K54" s="654">
        <v>42</v>
      </c>
      <c r="L54" s="655" t="s">
        <v>406</v>
      </c>
      <c r="M54" s="647"/>
      <c r="N54" s="648"/>
      <c r="P54" s="654">
        <v>42</v>
      </c>
      <c r="Q54" s="655" t="s">
        <v>406</v>
      </c>
      <c r="R54" s="647"/>
      <c r="S54" s="648"/>
    </row>
    <row r="55" spans="1:19">
      <c r="A55" s="654">
        <v>43</v>
      </c>
      <c r="B55" s="655" t="s">
        <v>407</v>
      </c>
      <c r="C55" s="647"/>
      <c r="D55" s="648"/>
      <c r="E55" s="670"/>
      <c r="F55" s="654">
        <v>43</v>
      </c>
      <c r="G55" s="655" t="s">
        <v>407</v>
      </c>
      <c r="H55" s="647"/>
      <c r="I55" s="648"/>
      <c r="K55" s="654">
        <v>43</v>
      </c>
      <c r="L55" s="655" t="s">
        <v>407</v>
      </c>
      <c r="M55" s="647"/>
      <c r="N55" s="648"/>
      <c r="P55" s="654">
        <v>43</v>
      </c>
      <c r="Q55" s="655" t="s">
        <v>407</v>
      </c>
      <c r="R55" s="647"/>
      <c r="S55" s="648"/>
    </row>
    <row r="56" spans="1:19">
      <c r="A56" s="654">
        <v>44</v>
      </c>
      <c r="B56" s="655" t="s">
        <v>408</v>
      </c>
      <c r="C56" s="647"/>
      <c r="D56" s="648"/>
      <c r="E56" s="670"/>
      <c r="F56" s="654">
        <v>44</v>
      </c>
      <c r="G56" s="655" t="s">
        <v>408</v>
      </c>
      <c r="H56" s="647"/>
      <c r="I56" s="648"/>
      <c r="K56" s="654">
        <v>44</v>
      </c>
      <c r="L56" s="655" t="s">
        <v>408</v>
      </c>
      <c r="M56" s="647"/>
      <c r="N56" s="648"/>
      <c r="P56" s="654">
        <v>44</v>
      </c>
      <c r="Q56" s="655" t="s">
        <v>408</v>
      </c>
      <c r="R56" s="647"/>
      <c r="S56" s="648"/>
    </row>
    <row r="57" spans="1:19">
      <c r="A57" s="654">
        <v>45</v>
      </c>
      <c r="B57" s="655" t="s">
        <v>409</v>
      </c>
      <c r="C57" s="647"/>
      <c r="D57" s="648"/>
      <c r="E57" s="670"/>
      <c r="F57" s="654">
        <v>45</v>
      </c>
      <c r="G57" s="655" t="s">
        <v>409</v>
      </c>
      <c r="H57" s="647"/>
      <c r="I57" s="648"/>
      <c r="K57" s="654">
        <v>45</v>
      </c>
      <c r="L57" s="655" t="s">
        <v>409</v>
      </c>
      <c r="M57" s="647"/>
      <c r="N57" s="648"/>
      <c r="P57" s="654">
        <v>45</v>
      </c>
      <c r="Q57" s="655" t="s">
        <v>409</v>
      </c>
      <c r="R57" s="647"/>
      <c r="S57" s="648"/>
    </row>
    <row r="58" spans="1:19">
      <c r="A58" s="654">
        <v>46</v>
      </c>
      <c r="B58" s="655" t="s">
        <v>410</v>
      </c>
      <c r="C58" s="647"/>
      <c r="D58" s="648"/>
      <c r="E58" s="670"/>
      <c r="F58" s="654">
        <v>46</v>
      </c>
      <c r="G58" s="655" t="s">
        <v>410</v>
      </c>
      <c r="H58" s="647"/>
      <c r="I58" s="648"/>
      <c r="K58" s="654">
        <v>46</v>
      </c>
      <c r="L58" s="655" t="s">
        <v>410</v>
      </c>
      <c r="M58" s="647"/>
      <c r="N58" s="648"/>
      <c r="P58" s="654">
        <v>46</v>
      </c>
      <c r="Q58" s="655" t="s">
        <v>410</v>
      </c>
      <c r="R58" s="647"/>
      <c r="S58" s="648"/>
    </row>
    <row r="59" spans="1:19">
      <c r="A59" s="654">
        <v>47</v>
      </c>
      <c r="B59" s="655" t="s">
        <v>411</v>
      </c>
      <c r="C59" s="647"/>
      <c r="D59" s="648"/>
      <c r="E59" s="670"/>
      <c r="F59" s="654">
        <v>47</v>
      </c>
      <c r="G59" s="655" t="s">
        <v>411</v>
      </c>
      <c r="H59" s="647"/>
      <c r="I59" s="648"/>
      <c r="K59" s="654">
        <v>47</v>
      </c>
      <c r="L59" s="655" t="s">
        <v>411</v>
      </c>
      <c r="M59" s="647"/>
      <c r="N59" s="648"/>
      <c r="P59" s="654">
        <v>47</v>
      </c>
      <c r="Q59" s="655" t="s">
        <v>411</v>
      </c>
      <c r="R59" s="647"/>
      <c r="S59" s="648"/>
    </row>
    <row r="60" spans="1:19">
      <c r="A60" s="654">
        <v>48</v>
      </c>
      <c r="B60" s="655" t="s">
        <v>412</v>
      </c>
      <c r="C60" s="647"/>
      <c r="D60" s="648"/>
      <c r="E60" s="670"/>
      <c r="F60" s="654">
        <v>48</v>
      </c>
      <c r="G60" s="655" t="s">
        <v>412</v>
      </c>
      <c r="H60" s="647"/>
      <c r="I60" s="648"/>
      <c r="K60" s="654">
        <v>48</v>
      </c>
      <c r="L60" s="655" t="s">
        <v>412</v>
      </c>
      <c r="M60" s="647"/>
      <c r="N60" s="648"/>
      <c r="P60" s="654">
        <v>48</v>
      </c>
      <c r="Q60" s="655" t="s">
        <v>412</v>
      </c>
      <c r="R60" s="647"/>
      <c r="S60" s="648"/>
    </row>
    <row r="61" spans="1:19">
      <c r="A61" s="654">
        <v>49</v>
      </c>
      <c r="B61" s="655" t="s">
        <v>413</v>
      </c>
      <c r="C61" s="647"/>
      <c r="D61" s="648"/>
      <c r="E61" s="670"/>
      <c r="F61" s="654">
        <v>49</v>
      </c>
      <c r="G61" s="655" t="s">
        <v>413</v>
      </c>
      <c r="H61" s="647"/>
      <c r="I61" s="648"/>
      <c r="K61" s="654">
        <v>49</v>
      </c>
      <c r="L61" s="655" t="s">
        <v>413</v>
      </c>
      <c r="M61" s="647"/>
      <c r="N61" s="648"/>
      <c r="P61" s="654">
        <v>49</v>
      </c>
      <c r="Q61" s="655" t="s">
        <v>413</v>
      </c>
      <c r="R61" s="647"/>
      <c r="S61" s="648"/>
    </row>
    <row r="62" spans="1:19">
      <c r="A62" s="654">
        <v>50</v>
      </c>
      <c r="B62" s="655" t="s">
        <v>414</v>
      </c>
      <c r="C62" s="647"/>
      <c r="D62" s="648"/>
      <c r="E62" s="670"/>
      <c r="F62" s="654">
        <v>50</v>
      </c>
      <c r="G62" s="655" t="s">
        <v>414</v>
      </c>
      <c r="H62" s="647"/>
      <c r="I62" s="648"/>
      <c r="K62" s="654">
        <v>50</v>
      </c>
      <c r="L62" s="655" t="s">
        <v>414</v>
      </c>
      <c r="M62" s="647"/>
      <c r="N62" s="648"/>
      <c r="P62" s="654">
        <v>50</v>
      </c>
      <c r="Q62" s="655" t="s">
        <v>414</v>
      </c>
      <c r="R62" s="647"/>
      <c r="S62" s="648"/>
    </row>
    <row r="63" spans="1:19">
      <c r="A63" s="654">
        <v>51</v>
      </c>
      <c r="B63" s="655" t="s">
        <v>415</v>
      </c>
      <c r="C63" s="647"/>
      <c r="D63" s="648"/>
      <c r="E63" s="670"/>
      <c r="F63" s="654">
        <v>51</v>
      </c>
      <c r="G63" s="655" t="s">
        <v>415</v>
      </c>
      <c r="H63" s="647"/>
      <c r="I63" s="648"/>
      <c r="K63" s="654">
        <v>51</v>
      </c>
      <c r="L63" s="655" t="s">
        <v>415</v>
      </c>
      <c r="M63" s="647"/>
      <c r="N63" s="648"/>
      <c r="P63" s="654">
        <v>51</v>
      </c>
      <c r="Q63" s="655" t="s">
        <v>415</v>
      </c>
      <c r="R63" s="647"/>
      <c r="S63" s="648"/>
    </row>
    <row r="64" spans="1:19">
      <c r="A64" s="654">
        <v>52</v>
      </c>
      <c r="B64" s="655" t="s">
        <v>416</v>
      </c>
      <c r="C64" s="647"/>
      <c r="D64" s="648"/>
      <c r="E64" s="670"/>
      <c r="F64" s="654">
        <v>52</v>
      </c>
      <c r="G64" s="655" t="s">
        <v>416</v>
      </c>
      <c r="H64" s="647"/>
      <c r="I64" s="648"/>
      <c r="K64" s="654">
        <v>52</v>
      </c>
      <c r="L64" s="655" t="s">
        <v>416</v>
      </c>
      <c r="M64" s="647"/>
      <c r="N64" s="648"/>
      <c r="P64" s="654">
        <v>52</v>
      </c>
      <c r="Q64" s="655" t="s">
        <v>416</v>
      </c>
      <c r="R64" s="647"/>
      <c r="S64" s="648"/>
    </row>
    <row r="65" spans="1:19">
      <c r="A65" s="654">
        <v>53</v>
      </c>
      <c r="B65" s="655" t="s">
        <v>417</v>
      </c>
      <c r="C65" s="647"/>
      <c r="D65" s="648"/>
      <c r="E65" s="670"/>
      <c r="F65" s="654">
        <v>53</v>
      </c>
      <c r="G65" s="655" t="s">
        <v>417</v>
      </c>
      <c r="H65" s="647"/>
      <c r="I65" s="648"/>
      <c r="K65" s="654">
        <v>53</v>
      </c>
      <c r="L65" s="655" t="s">
        <v>417</v>
      </c>
      <c r="M65" s="647"/>
      <c r="N65" s="648"/>
      <c r="P65" s="654">
        <v>53</v>
      </c>
      <c r="Q65" s="655" t="s">
        <v>417</v>
      </c>
      <c r="R65" s="647"/>
      <c r="S65" s="648"/>
    </row>
    <row r="66" spans="1:19">
      <c r="A66" s="654">
        <v>54</v>
      </c>
      <c r="B66" s="655" t="s">
        <v>418</v>
      </c>
      <c r="C66" s="647"/>
      <c r="D66" s="648"/>
      <c r="E66" s="670"/>
      <c r="F66" s="654">
        <v>54</v>
      </c>
      <c r="G66" s="655" t="s">
        <v>418</v>
      </c>
      <c r="H66" s="647"/>
      <c r="I66" s="648"/>
      <c r="K66" s="654">
        <v>54</v>
      </c>
      <c r="L66" s="655" t="s">
        <v>418</v>
      </c>
      <c r="M66" s="647"/>
      <c r="N66" s="648"/>
      <c r="P66" s="654">
        <v>54</v>
      </c>
      <c r="Q66" s="655" t="s">
        <v>418</v>
      </c>
      <c r="R66" s="647"/>
      <c r="S66" s="648"/>
    </row>
    <row r="67" spans="1:19">
      <c r="A67" s="654">
        <v>55</v>
      </c>
      <c r="B67" s="655" t="s">
        <v>419</v>
      </c>
      <c r="C67" s="647"/>
      <c r="D67" s="648"/>
      <c r="E67" s="670"/>
      <c r="F67" s="654">
        <v>55</v>
      </c>
      <c r="G67" s="655" t="s">
        <v>419</v>
      </c>
      <c r="H67" s="647"/>
      <c r="I67" s="648"/>
      <c r="K67" s="654">
        <v>55</v>
      </c>
      <c r="L67" s="655" t="s">
        <v>419</v>
      </c>
      <c r="M67" s="647"/>
      <c r="N67" s="648"/>
      <c r="P67" s="654">
        <v>55</v>
      </c>
      <c r="Q67" s="655" t="s">
        <v>419</v>
      </c>
      <c r="R67" s="647"/>
      <c r="S67" s="648"/>
    </row>
    <row r="68" spans="1:19">
      <c r="A68" s="654">
        <v>56</v>
      </c>
      <c r="B68" s="655" t="s">
        <v>420</v>
      </c>
      <c r="C68" s="647"/>
      <c r="D68" s="648"/>
      <c r="E68" s="670"/>
      <c r="F68" s="654">
        <v>56</v>
      </c>
      <c r="G68" s="655" t="s">
        <v>420</v>
      </c>
      <c r="H68" s="647"/>
      <c r="I68" s="648"/>
      <c r="K68" s="654">
        <v>56</v>
      </c>
      <c r="L68" s="655" t="s">
        <v>420</v>
      </c>
      <c r="M68" s="647"/>
      <c r="N68" s="648"/>
      <c r="P68" s="654">
        <v>56</v>
      </c>
      <c r="Q68" s="655" t="s">
        <v>420</v>
      </c>
      <c r="R68" s="647"/>
      <c r="S68" s="648"/>
    </row>
    <row r="69" spans="1:19">
      <c r="A69" s="654">
        <v>57</v>
      </c>
      <c r="B69" s="655" t="s">
        <v>421</v>
      </c>
      <c r="C69" s="647"/>
      <c r="D69" s="648"/>
      <c r="E69" s="670"/>
      <c r="F69" s="654">
        <v>57</v>
      </c>
      <c r="G69" s="655" t="s">
        <v>421</v>
      </c>
      <c r="H69" s="647"/>
      <c r="I69" s="648"/>
      <c r="K69" s="654">
        <v>57</v>
      </c>
      <c r="L69" s="655" t="s">
        <v>421</v>
      </c>
      <c r="M69" s="647"/>
      <c r="N69" s="648"/>
      <c r="P69" s="654">
        <v>57</v>
      </c>
      <c r="Q69" s="655" t="s">
        <v>421</v>
      </c>
      <c r="R69" s="647"/>
      <c r="S69" s="648"/>
    </row>
    <row r="70" spans="1:19">
      <c r="A70" s="654">
        <v>58</v>
      </c>
      <c r="B70" s="655" t="s">
        <v>422</v>
      </c>
      <c r="C70" s="647"/>
      <c r="D70" s="648"/>
      <c r="E70" s="670"/>
      <c r="F70" s="654">
        <v>58</v>
      </c>
      <c r="G70" s="655" t="s">
        <v>422</v>
      </c>
      <c r="H70" s="647"/>
      <c r="I70" s="648"/>
      <c r="K70" s="654">
        <v>58</v>
      </c>
      <c r="L70" s="655" t="s">
        <v>422</v>
      </c>
      <c r="M70" s="647"/>
      <c r="N70" s="648"/>
      <c r="P70" s="654">
        <v>58</v>
      </c>
      <c r="Q70" s="655" t="s">
        <v>422</v>
      </c>
      <c r="R70" s="647"/>
      <c r="S70" s="648"/>
    </row>
    <row r="71" spans="1:19">
      <c r="A71" s="654">
        <v>59</v>
      </c>
      <c r="B71" s="655" t="s">
        <v>423</v>
      </c>
      <c r="C71" s="647"/>
      <c r="D71" s="648"/>
      <c r="E71" s="670"/>
      <c r="F71" s="654">
        <v>59</v>
      </c>
      <c r="G71" s="655" t="s">
        <v>423</v>
      </c>
      <c r="H71" s="647"/>
      <c r="I71" s="648"/>
      <c r="K71" s="654">
        <v>59</v>
      </c>
      <c r="L71" s="655" t="s">
        <v>423</v>
      </c>
      <c r="M71" s="647"/>
      <c r="N71" s="648"/>
      <c r="P71" s="654">
        <v>59</v>
      </c>
      <c r="Q71" s="655" t="s">
        <v>423</v>
      </c>
      <c r="R71" s="647"/>
      <c r="S71" s="648"/>
    </row>
    <row r="72" spans="1:19">
      <c r="A72" s="654">
        <v>60</v>
      </c>
      <c r="B72" s="655" t="s">
        <v>424</v>
      </c>
      <c r="C72" s="647"/>
      <c r="D72" s="648"/>
      <c r="E72" s="670"/>
      <c r="F72" s="654">
        <v>60</v>
      </c>
      <c r="G72" s="655" t="s">
        <v>424</v>
      </c>
      <c r="H72" s="647"/>
      <c r="I72" s="648"/>
      <c r="K72" s="654">
        <v>60</v>
      </c>
      <c r="L72" s="655" t="s">
        <v>424</v>
      </c>
      <c r="M72" s="647"/>
      <c r="N72" s="648"/>
      <c r="P72" s="654">
        <v>60</v>
      </c>
      <c r="Q72" s="655" t="s">
        <v>424</v>
      </c>
      <c r="R72" s="647"/>
      <c r="S72" s="648"/>
    </row>
    <row r="73" spans="1:19">
      <c r="A73" s="654">
        <v>61</v>
      </c>
      <c r="B73" s="655" t="s">
        <v>425</v>
      </c>
      <c r="C73" s="647"/>
      <c r="D73" s="648"/>
      <c r="E73" s="670"/>
      <c r="F73" s="654">
        <v>61</v>
      </c>
      <c r="G73" s="655" t="s">
        <v>425</v>
      </c>
      <c r="H73" s="647"/>
      <c r="I73" s="648"/>
      <c r="K73" s="654">
        <v>61</v>
      </c>
      <c r="L73" s="655" t="s">
        <v>425</v>
      </c>
      <c r="M73" s="647"/>
      <c r="N73" s="648"/>
      <c r="P73" s="654">
        <v>61</v>
      </c>
      <c r="Q73" s="655" t="s">
        <v>425</v>
      </c>
      <c r="R73" s="647"/>
      <c r="S73" s="648"/>
    </row>
    <row r="74" spans="1:19">
      <c r="A74" s="654">
        <v>62</v>
      </c>
      <c r="B74" s="655" t="s">
        <v>426</v>
      </c>
      <c r="C74" s="647"/>
      <c r="D74" s="648"/>
      <c r="E74" s="670"/>
      <c r="F74" s="654">
        <v>62</v>
      </c>
      <c r="G74" s="655" t="s">
        <v>426</v>
      </c>
      <c r="H74" s="647"/>
      <c r="I74" s="648"/>
      <c r="K74" s="654">
        <v>62</v>
      </c>
      <c r="L74" s="655" t="s">
        <v>426</v>
      </c>
      <c r="M74" s="647"/>
      <c r="N74" s="648"/>
      <c r="P74" s="654">
        <v>62</v>
      </c>
      <c r="Q74" s="655" t="s">
        <v>426</v>
      </c>
      <c r="R74" s="647"/>
      <c r="S74" s="648"/>
    </row>
    <row r="75" spans="1:19">
      <c r="A75" s="654">
        <v>63</v>
      </c>
      <c r="B75" s="656" t="s">
        <v>427</v>
      </c>
      <c r="C75" s="647"/>
      <c r="D75" s="648"/>
      <c r="E75" s="670"/>
      <c r="F75" s="654">
        <v>63</v>
      </c>
      <c r="G75" s="656" t="s">
        <v>427</v>
      </c>
      <c r="H75" s="647"/>
      <c r="I75" s="648"/>
      <c r="K75" s="654">
        <v>63</v>
      </c>
      <c r="L75" s="656" t="s">
        <v>427</v>
      </c>
      <c r="M75" s="647"/>
      <c r="N75" s="648"/>
      <c r="P75" s="654">
        <v>63</v>
      </c>
      <c r="Q75" s="656" t="s">
        <v>427</v>
      </c>
      <c r="R75" s="647"/>
      <c r="S75" s="648"/>
    </row>
    <row r="76" spans="1:19">
      <c r="A76" s="654">
        <v>64</v>
      </c>
      <c r="B76" s="656" t="s">
        <v>428</v>
      </c>
      <c r="C76" s="647"/>
      <c r="D76" s="648"/>
      <c r="E76" s="670"/>
      <c r="F76" s="654">
        <v>64</v>
      </c>
      <c r="G76" s="656" t="s">
        <v>428</v>
      </c>
      <c r="H76" s="647"/>
      <c r="I76" s="648"/>
      <c r="K76" s="654">
        <v>64</v>
      </c>
      <c r="L76" s="656" t="s">
        <v>428</v>
      </c>
      <c r="M76" s="647"/>
      <c r="N76" s="648"/>
      <c r="P76" s="654">
        <v>64</v>
      </c>
      <c r="Q76" s="656" t="s">
        <v>428</v>
      </c>
      <c r="R76" s="647"/>
      <c r="S76" s="648"/>
    </row>
    <row r="77" spans="1:19">
      <c r="A77" s="654">
        <v>65</v>
      </c>
      <c r="B77" s="656" t="s">
        <v>429</v>
      </c>
      <c r="C77" s="647"/>
      <c r="D77" s="648"/>
      <c r="E77" s="670"/>
      <c r="F77" s="654">
        <v>65</v>
      </c>
      <c r="G77" s="656" t="s">
        <v>429</v>
      </c>
      <c r="H77" s="647"/>
      <c r="I77" s="648"/>
      <c r="K77" s="654">
        <v>65</v>
      </c>
      <c r="L77" s="656" t="s">
        <v>429</v>
      </c>
      <c r="M77" s="647"/>
      <c r="N77" s="648"/>
      <c r="P77" s="654">
        <v>65</v>
      </c>
      <c r="Q77" s="656" t="s">
        <v>429</v>
      </c>
      <c r="R77" s="647"/>
      <c r="S77" s="648"/>
    </row>
    <row r="78" spans="1:19">
      <c r="A78" s="654">
        <v>66</v>
      </c>
      <c r="B78" s="656" t="s">
        <v>430</v>
      </c>
      <c r="C78" s="647"/>
      <c r="D78" s="648"/>
      <c r="E78" s="670"/>
      <c r="F78" s="654">
        <v>66</v>
      </c>
      <c r="G78" s="656" t="s">
        <v>430</v>
      </c>
      <c r="H78" s="647"/>
      <c r="I78" s="648"/>
      <c r="K78" s="654">
        <v>66</v>
      </c>
      <c r="L78" s="656" t="s">
        <v>430</v>
      </c>
      <c r="M78" s="647"/>
      <c r="N78" s="648"/>
      <c r="P78" s="654">
        <v>66</v>
      </c>
      <c r="Q78" s="656" t="s">
        <v>430</v>
      </c>
      <c r="R78" s="647"/>
      <c r="S78" s="648"/>
    </row>
    <row r="79" spans="1:19">
      <c r="A79" s="654">
        <v>67</v>
      </c>
      <c r="B79" s="656" t="s">
        <v>431</v>
      </c>
      <c r="C79" s="647"/>
      <c r="D79" s="648"/>
      <c r="E79" s="670"/>
      <c r="F79" s="654">
        <v>67</v>
      </c>
      <c r="G79" s="656" t="s">
        <v>431</v>
      </c>
      <c r="H79" s="647"/>
      <c r="I79" s="648"/>
      <c r="K79" s="654">
        <v>67</v>
      </c>
      <c r="L79" s="656" t="s">
        <v>431</v>
      </c>
      <c r="M79" s="647"/>
      <c r="N79" s="648"/>
      <c r="P79" s="654">
        <v>67</v>
      </c>
      <c r="Q79" s="656" t="s">
        <v>431</v>
      </c>
      <c r="R79" s="647"/>
      <c r="S79" s="648"/>
    </row>
    <row r="80" spans="1:19">
      <c r="A80" s="654">
        <v>68</v>
      </c>
      <c r="B80" s="656" t="s">
        <v>432</v>
      </c>
      <c r="C80" s="647"/>
      <c r="D80" s="648"/>
      <c r="E80" s="670"/>
      <c r="F80" s="654">
        <v>68</v>
      </c>
      <c r="G80" s="656" t="s">
        <v>432</v>
      </c>
      <c r="H80" s="647"/>
      <c r="I80" s="648"/>
      <c r="K80" s="654">
        <v>68</v>
      </c>
      <c r="L80" s="656" t="s">
        <v>432</v>
      </c>
      <c r="M80" s="647"/>
      <c r="N80" s="648"/>
      <c r="P80" s="654">
        <v>68</v>
      </c>
      <c r="Q80" s="656" t="s">
        <v>432</v>
      </c>
      <c r="R80" s="647"/>
      <c r="S80" s="648"/>
    </row>
    <row r="81" spans="1:19">
      <c r="A81" s="654">
        <v>69</v>
      </c>
      <c r="B81" s="656" t="s">
        <v>433</v>
      </c>
      <c r="C81" s="647"/>
      <c r="D81" s="648"/>
      <c r="E81" s="670"/>
      <c r="F81" s="654">
        <v>69</v>
      </c>
      <c r="G81" s="656" t="s">
        <v>433</v>
      </c>
      <c r="H81" s="647"/>
      <c r="I81" s="648"/>
      <c r="K81" s="654">
        <v>69</v>
      </c>
      <c r="L81" s="656" t="s">
        <v>433</v>
      </c>
      <c r="M81" s="647"/>
      <c r="N81" s="648"/>
      <c r="P81" s="654">
        <v>69</v>
      </c>
      <c r="Q81" s="656" t="s">
        <v>433</v>
      </c>
      <c r="R81" s="647"/>
      <c r="S81" s="648"/>
    </row>
    <row r="82" spans="1:19">
      <c r="A82" s="654">
        <v>70</v>
      </c>
      <c r="B82" s="656" t="s">
        <v>434</v>
      </c>
      <c r="C82" s="647"/>
      <c r="D82" s="648"/>
      <c r="E82" s="670"/>
      <c r="F82" s="654">
        <v>70</v>
      </c>
      <c r="G82" s="656" t="s">
        <v>434</v>
      </c>
      <c r="H82" s="647"/>
      <c r="I82" s="648"/>
      <c r="K82" s="654">
        <v>70</v>
      </c>
      <c r="L82" s="656" t="s">
        <v>434</v>
      </c>
      <c r="M82" s="647"/>
      <c r="N82" s="648"/>
      <c r="P82" s="654">
        <v>70</v>
      </c>
      <c r="Q82" s="656" t="s">
        <v>434</v>
      </c>
      <c r="R82" s="647"/>
      <c r="S82" s="648"/>
    </row>
    <row r="83" spans="1:19">
      <c r="A83" s="654">
        <v>71</v>
      </c>
      <c r="B83" s="656" t="s">
        <v>435</v>
      </c>
      <c r="C83" s="647"/>
      <c r="D83" s="648"/>
      <c r="E83" s="670"/>
      <c r="F83" s="654">
        <v>71</v>
      </c>
      <c r="G83" s="656" t="s">
        <v>435</v>
      </c>
      <c r="H83" s="647"/>
      <c r="I83" s="648"/>
      <c r="K83" s="654">
        <v>71</v>
      </c>
      <c r="L83" s="656" t="s">
        <v>435</v>
      </c>
      <c r="M83" s="647"/>
      <c r="N83" s="648"/>
      <c r="P83" s="654">
        <v>71</v>
      </c>
      <c r="Q83" s="656" t="s">
        <v>435</v>
      </c>
      <c r="R83" s="647"/>
      <c r="S83" s="648"/>
    </row>
    <row r="84" spans="1:19">
      <c r="A84" s="654">
        <v>72</v>
      </c>
      <c r="B84" s="656" t="s">
        <v>436</v>
      </c>
      <c r="C84" s="647"/>
      <c r="D84" s="648"/>
      <c r="E84" s="670"/>
      <c r="F84" s="654">
        <v>72</v>
      </c>
      <c r="G84" s="656" t="s">
        <v>436</v>
      </c>
      <c r="H84" s="647"/>
      <c r="I84" s="648"/>
      <c r="K84" s="654">
        <v>72</v>
      </c>
      <c r="L84" s="656" t="s">
        <v>436</v>
      </c>
      <c r="M84" s="647"/>
      <c r="N84" s="648"/>
      <c r="P84" s="654">
        <v>72</v>
      </c>
      <c r="Q84" s="656" t="s">
        <v>436</v>
      </c>
      <c r="R84" s="647"/>
      <c r="S84" s="648"/>
    </row>
    <row r="85" spans="1:19">
      <c r="A85" s="654">
        <v>73</v>
      </c>
      <c r="B85" s="656" t="s">
        <v>437</v>
      </c>
      <c r="C85" s="647"/>
      <c r="D85" s="648"/>
      <c r="E85" s="670"/>
      <c r="F85" s="654">
        <v>73</v>
      </c>
      <c r="G85" s="656" t="s">
        <v>437</v>
      </c>
      <c r="H85" s="647"/>
      <c r="I85" s="648"/>
      <c r="K85" s="654">
        <v>73</v>
      </c>
      <c r="L85" s="656" t="s">
        <v>437</v>
      </c>
      <c r="M85" s="647"/>
      <c r="N85" s="648"/>
      <c r="P85" s="654">
        <v>73</v>
      </c>
      <c r="Q85" s="656" t="s">
        <v>437</v>
      </c>
      <c r="R85" s="647"/>
      <c r="S85" s="648"/>
    </row>
    <row r="86" spans="1:19">
      <c r="A86" s="654">
        <v>74</v>
      </c>
      <c r="B86" s="656" t="s">
        <v>438</v>
      </c>
      <c r="C86" s="647"/>
      <c r="D86" s="648"/>
      <c r="E86" s="670"/>
      <c r="F86" s="654">
        <v>74</v>
      </c>
      <c r="G86" s="656" t="s">
        <v>438</v>
      </c>
      <c r="H86" s="647"/>
      <c r="I86" s="648"/>
      <c r="K86" s="654">
        <v>74</v>
      </c>
      <c r="L86" s="656" t="s">
        <v>438</v>
      </c>
      <c r="M86" s="647"/>
      <c r="N86" s="648"/>
      <c r="P86" s="654">
        <v>74</v>
      </c>
      <c r="Q86" s="656" t="s">
        <v>438</v>
      </c>
      <c r="R86" s="647"/>
      <c r="S86" s="648"/>
    </row>
    <row r="87" spans="1:19">
      <c r="A87" s="654">
        <v>75</v>
      </c>
      <c r="B87" s="656" t="s">
        <v>439</v>
      </c>
      <c r="C87" s="647"/>
      <c r="D87" s="648"/>
      <c r="E87" s="670"/>
      <c r="F87" s="654">
        <v>75</v>
      </c>
      <c r="G87" s="656" t="s">
        <v>439</v>
      </c>
      <c r="H87" s="647"/>
      <c r="I87" s="648"/>
      <c r="K87" s="654">
        <v>75</v>
      </c>
      <c r="L87" s="656" t="s">
        <v>439</v>
      </c>
      <c r="M87" s="647"/>
      <c r="N87" s="648"/>
      <c r="P87" s="654">
        <v>75</v>
      </c>
      <c r="Q87" s="656" t="s">
        <v>439</v>
      </c>
      <c r="R87" s="647"/>
      <c r="S87" s="648"/>
    </row>
    <row r="88" spans="1:19">
      <c r="A88" s="654">
        <v>76</v>
      </c>
      <c r="B88" s="656" t="s">
        <v>440</v>
      </c>
      <c r="C88" s="647"/>
      <c r="D88" s="648"/>
      <c r="E88" s="670"/>
      <c r="F88" s="654">
        <v>76</v>
      </c>
      <c r="G88" s="656" t="s">
        <v>440</v>
      </c>
      <c r="H88" s="647"/>
      <c r="I88" s="648"/>
      <c r="K88" s="654">
        <v>76</v>
      </c>
      <c r="L88" s="656" t="s">
        <v>440</v>
      </c>
      <c r="M88" s="647"/>
      <c r="N88" s="648"/>
      <c r="P88" s="654">
        <v>76</v>
      </c>
      <c r="Q88" s="656" t="s">
        <v>440</v>
      </c>
      <c r="R88" s="647"/>
      <c r="S88" s="648"/>
    </row>
    <row r="89" spans="1:19">
      <c r="A89" s="654">
        <v>77</v>
      </c>
      <c r="B89" s="656" t="s">
        <v>441</v>
      </c>
      <c r="C89" s="647"/>
      <c r="D89" s="648"/>
      <c r="E89" s="670"/>
      <c r="F89" s="654">
        <v>77</v>
      </c>
      <c r="G89" s="656" t="s">
        <v>441</v>
      </c>
      <c r="H89" s="647"/>
      <c r="I89" s="648"/>
      <c r="K89" s="654">
        <v>77</v>
      </c>
      <c r="L89" s="656" t="s">
        <v>441</v>
      </c>
      <c r="M89" s="647"/>
      <c r="N89" s="648"/>
      <c r="P89" s="654">
        <v>77</v>
      </c>
      <c r="Q89" s="656" t="s">
        <v>441</v>
      </c>
      <c r="R89" s="647"/>
      <c r="S89" s="648"/>
    </row>
    <row r="90" spans="1:19">
      <c r="A90" s="654">
        <v>78</v>
      </c>
      <c r="B90" s="656" t="s">
        <v>442</v>
      </c>
      <c r="C90" s="647"/>
      <c r="D90" s="648"/>
      <c r="E90" s="670"/>
      <c r="F90" s="654">
        <v>78</v>
      </c>
      <c r="G90" s="656" t="s">
        <v>442</v>
      </c>
      <c r="H90" s="647"/>
      <c r="I90" s="648"/>
      <c r="K90" s="654">
        <v>78</v>
      </c>
      <c r="L90" s="656" t="s">
        <v>442</v>
      </c>
      <c r="M90" s="647"/>
      <c r="N90" s="648"/>
      <c r="P90" s="654">
        <v>78</v>
      </c>
      <c r="Q90" s="656" t="s">
        <v>442</v>
      </c>
      <c r="R90" s="647"/>
      <c r="S90" s="648"/>
    </row>
    <row r="91" spans="1:19">
      <c r="A91" s="654">
        <v>79</v>
      </c>
      <c r="B91" s="656" t="s">
        <v>443</v>
      </c>
      <c r="C91" s="647"/>
      <c r="D91" s="648"/>
      <c r="E91" s="670"/>
      <c r="F91" s="654">
        <v>79</v>
      </c>
      <c r="G91" s="656" t="s">
        <v>443</v>
      </c>
      <c r="H91" s="647"/>
      <c r="I91" s="648"/>
      <c r="K91" s="654">
        <v>79</v>
      </c>
      <c r="L91" s="656" t="s">
        <v>443</v>
      </c>
      <c r="M91" s="647"/>
      <c r="N91" s="648"/>
      <c r="P91" s="654">
        <v>79</v>
      </c>
      <c r="Q91" s="656" t="s">
        <v>443</v>
      </c>
      <c r="R91" s="647"/>
      <c r="S91" s="648"/>
    </row>
    <row r="92" spans="1:19">
      <c r="A92" s="654">
        <v>80</v>
      </c>
      <c r="B92" s="656" t="s">
        <v>444</v>
      </c>
      <c r="C92" s="647"/>
      <c r="D92" s="648"/>
      <c r="E92" s="670"/>
      <c r="F92" s="654">
        <v>80</v>
      </c>
      <c r="G92" s="656" t="s">
        <v>444</v>
      </c>
      <c r="H92" s="647"/>
      <c r="I92" s="648"/>
      <c r="K92" s="654">
        <v>80</v>
      </c>
      <c r="L92" s="656" t="s">
        <v>444</v>
      </c>
      <c r="M92" s="647"/>
      <c r="N92" s="648"/>
      <c r="P92" s="654">
        <v>80</v>
      </c>
      <c r="Q92" s="656" t="s">
        <v>444</v>
      </c>
      <c r="R92" s="647"/>
      <c r="S92" s="648"/>
    </row>
    <row r="93" spans="1:19">
      <c r="A93" s="654">
        <v>81</v>
      </c>
      <c r="B93" s="656" t="s">
        <v>445</v>
      </c>
      <c r="C93" s="647"/>
      <c r="D93" s="648"/>
      <c r="E93" s="670"/>
      <c r="F93" s="654">
        <v>81</v>
      </c>
      <c r="G93" s="656" t="s">
        <v>445</v>
      </c>
      <c r="H93" s="647"/>
      <c r="I93" s="648"/>
      <c r="K93" s="654">
        <v>81</v>
      </c>
      <c r="L93" s="656" t="s">
        <v>445</v>
      </c>
      <c r="M93" s="647"/>
      <c r="N93" s="648"/>
      <c r="P93" s="654">
        <v>81</v>
      </c>
      <c r="Q93" s="656" t="s">
        <v>445</v>
      </c>
      <c r="R93" s="647"/>
      <c r="S93" s="648"/>
    </row>
    <row r="94" spans="1:19">
      <c r="A94" s="654">
        <v>82</v>
      </c>
      <c r="B94" s="656" t="s">
        <v>446</v>
      </c>
      <c r="C94" s="647"/>
      <c r="D94" s="648"/>
      <c r="E94" s="670"/>
      <c r="F94" s="654">
        <v>82</v>
      </c>
      <c r="G94" s="656" t="s">
        <v>446</v>
      </c>
      <c r="H94" s="647"/>
      <c r="I94" s="648"/>
      <c r="K94" s="654">
        <v>82</v>
      </c>
      <c r="L94" s="656" t="s">
        <v>446</v>
      </c>
      <c r="M94" s="647"/>
      <c r="N94" s="648"/>
      <c r="P94" s="654">
        <v>82</v>
      </c>
      <c r="Q94" s="656" t="s">
        <v>446</v>
      </c>
      <c r="R94" s="647"/>
      <c r="S94" s="648"/>
    </row>
    <row r="95" spans="1:19">
      <c r="A95" s="654">
        <v>83</v>
      </c>
      <c r="B95" s="656" t="s">
        <v>447</v>
      </c>
      <c r="C95" s="647"/>
      <c r="D95" s="648"/>
      <c r="E95" s="670"/>
      <c r="F95" s="654">
        <v>83</v>
      </c>
      <c r="G95" s="656" t="s">
        <v>447</v>
      </c>
      <c r="H95" s="647"/>
      <c r="I95" s="648"/>
      <c r="K95" s="654">
        <v>83</v>
      </c>
      <c r="L95" s="656" t="s">
        <v>447</v>
      </c>
      <c r="M95" s="647"/>
      <c r="N95" s="648"/>
      <c r="P95" s="654">
        <v>83</v>
      </c>
      <c r="Q95" s="656" t="s">
        <v>447</v>
      </c>
      <c r="R95" s="647"/>
      <c r="S95" s="648"/>
    </row>
    <row r="96" spans="1:19">
      <c r="A96" s="654">
        <v>84</v>
      </c>
      <c r="B96" s="656" t="s">
        <v>448</v>
      </c>
      <c r="C96" s="647"/>
      <c r="D96" s="648"/>
      <c r="E96" s="670"/>
      <c r="F96" s="654">
        <v>84</v>
      </c>
      <c r="G96" s="656" t="s">
        <v>448</v>
      </c>
      <c r="H96" s="647"/>
      <c r="I96" s="648"/>
      <c r="K96" s="654">
        <v>84</v>
      </c>
      <c r="L96" s="656" t="s">
        <v>448</v>
      </c>
      <c r="M96" s="647"/>
      <c r="N96" s="648"/>
      <c r="P96" s="654">
        <v>84</v>
      </c>
      <c r="Q96" s="656" t="s">
        <v>448</v>
      </c>
      <c r="R96" s="647"/>
      <c r="S96" s="648"/>
    </row>
    <row r="97" spans="1:19">
      <c r="A97" s="654">
        <v>85</v>
      </c>
      <c r="B97" s="656" t="s">
        <v>449</v>
      </c>
      <c r="C97" s="647"/>
      <c r="D97" s="648"/>
      <c r="E97" s="670"/>
      <c r="F97" s="654">
        <v>85</v>
      </c>
      <c r="G97" s="656" t="s">
        <v>449</v>
      </c>
      <c r="H97" s="647"/>
      <c r="I97" s="648"/>
      <c r="K97" s="654">
        <v>85</v>
      </c>
      <c r="L97" s="656" t="s">
        <v>449</v>
      </c>
      <c r="M97" s="647"/>
      <c r="N97" s="648"/>
      <c r="P97" s="654">
        <v>85</v>
      </c>
      <c r="Q97" s="656" t="s">
        <v>449</v>
      </c>
      <c r="R97" s="647"/>
      <c r="S97" s="648"/>
    </row>
    <row r="98" spans="1:19">
      <c r="A98" s="654">
        <v>86</v>
      </c>
      <c r="B98" s="656" t="s">
        <v>450</v>
      </c>
      <c r="C98" s="647"/>
      <c r="D98" s="648"/>
      <c r="E98" s="670"/>
      <c r="F98" s="654">
        <v>86</v>
      </c>
      <c r="G98" s="656" t="s">
        <v>450</v>
      </c>
      <c r="H98" s="647"/>
      <c r="I98" s="648"/>
      <c r="K98" s="654">
        <v>86</v>
      </c>
      <c r="L98" s="656" t="s">
        <v>450</v>
      </c>
      <c r="M98" s="647"/>
      <c r="N98" s="648"/>
      <c r="P98" s="654">
        <v>86</v>
      </c>
      <c r="Q98" s="656" t="s">
        <v>450</v>
      </c>
      <c r="R98" s="647"/>
      <c r="S98" s="648"/>
    </row>
    <row r="99" spans="1:19">
      <c r="A99" s="654">
        <v>87</v>
      </c>
      <c r="B99" s="656" t="s">
        <v>451</v>
      </c>
      <c r="C99" s="647"/>
      <c r="D99" s="648"/>
      <c r="E99" s="670"/>
      <c r="F99" s="654">
        <v>87</v>
      </c>
      <c r="G99" s="656" t="s">
        <v>451</v>
      </c>
      <c r="H99" s="647"/>
      <c r="I99" s="648"/>
      <c r="K99" s="654">
        <v>87</v>
      </c>
      <c r="L99" s="656" t="s">
        <v>451</v>
      </c>
      <c r="M99" s="647"/>
      <c r="N99" s="648"/>
      <c r="P99" s="654">
        <v>87</v>
      </c>
      <c r="Q99" s="656" t="s">
        <v>451</v>
      </c>
      <c r="R99" s="647"/>
      <c r="S99" s="648"/>
    </row>
    <row r="100" spans="1:19">
      <c r="A100" s="654">
        <v>88</v>
      </c>
      <c r="B100" s="656" t="s">
        <v>452</v>
      </c>
      <c r="C100" s="647"/>
      <c r="D100" s="648"/>
      <c r="E100" s="670"/>
      <c r="F100" s="654">
        <v>88</v>
      </c>
      <c r="G100" s="656" t="s">
        <v>452</v>
      </c>
      <c r="H100" s="647"/>
      <c r="I100" s="648"/>
      <c r="K100" s="654">
        <v>88</v>
      </c>
      <c r="L100" s="656" t="s">
        <v>452</v>
      </c>
      <c r="M100" s="647"/>
      <c r="N100" s="648"/>
      <c r="P100" s="654">
        <v>88</v>
      </c>
      <c r="Q100" s="656" t="s">
        <v>452</v>
      </c>
      <c r="R100" s="647"/>
      <c r="S100" s="648"/>
    </row>
    <row r="101" spans="1:19">
      <c r="A101" s="654">
        <v>89</v>
      </c>
      <c r="B101" s="656" t="s">
        <v>453</v>
      </c>
      <c r="C101" s="647"/>
      <c r="D101" s="648"/>
      <c r="E101" s="670"/>
      <c r="F101" s="654">
        <v>89</v>
      </c>
      <c r="G101" s="656" t="s">
        <v>453</v>
      </c>
      <c r="H101" s="647"/>
      <c r="I101" s="648"/>
      <c r="K101" s="654">
        <v>89</v>
      </c>
      <c r="L101" s="656" t="s">
        <v>453</v>
      </c>
      <c r="M101" s="647"/>
      <c r="N101" s="648"/>
      <c r="P101" s="654">
        <v>89</v>
      </c>
      <c r="Q101" s="656" t="s">
        <v>453</v>
      </c>
      <c r="R101" s="647"/>
      <c r="S101" s="648"/>
    </row>
    <row r="102" spans="1:19">
      <c r="A102" s="654">
        <v>90</v>
      </c>
      <c r="B102" s="656" t="s">
        <v>454</v>
      </c>
      <c r="C102" s="647"/>
      <c r="D102" s="648"/>
      <c r="E102" s="670"/>
      <c r="F102" s="654">
        <v>90</v>
      </c>
      <c r="G102" s="656" t="s">
        <v>454</v>
      </c>
      <c r="H102" s="647"/>
      <c r="I102" s="648"/>
      <c r="K102" s="654">
        <v>90</v>
      </c>
      <c r="L102" s="656" t="s">
        <v>454</v>
      </c>
      <c r="M102" s="647"/>
      <c r="N102" s="648"/>
      <c r="P102" s="654">
        <v>90</v>
      </c>
      <c r="Q102" s="656" t="s">
        <v>454</v>
      </c>
      <c r="R102" s="647"/>
      <c r="S102" s="648"/>
    </row>
    <row r="103" spans="1:19">
      <c r="A103" s="654">
        <v>91</v>
      </c>
      <c r="B103" s="656" t="s">
        <v>455</v>
      </c>
      <c r="C103" s="647"/>
      <c r="D103" s="648"/>
      <c r="E103" s="670"/>
      <c r="F103" s="654">
        <v>91</v>
      </c>
      <c r="G103" s="656" t="s">
        <v>455</v>
      </c>
      <c r="H103" s="647"/>
      <c r="I103" s="648"/>
      <c r="K103" s="654">
        <v>91</v>
      </c>
      <c r="L103" s="656" t="s">
        <v>455</v>
      </c>
      <c r="M103" s="647"/>
      <c r="N103" s="648"/>
      <c r="P103" s="654">
        <v>91</v>
      </c>
      <c r="Q103" s="656" t="s">
        <v>455</v>
      </c>
      <c r="R103" s="647"/>
      <c r="S103" s="648"/>
    </row>
    <row r="104" spans="1:19">
      <c r="A104" s="654">
        <v>92</v>
      </c>
      <c r="B104" s="656" t="s">
        <v>456</v>
      </c>
      <c r="C104" s="647"/>
      <c r="D104" s="648"/>
      <c r="E104" s="670"/>
      <c r="F104" s="654">
        <v>92</v>
      </c>
      <c r="G104" s="656" t="s">
        <v>456</v>
      </c>
      <c r="H104" s="647"/>
      <c r="I104" s="648"/>
      <c r="K104" s="654">
        <v>92</v>
      </c>
      <c r="L104" s="656" t="s">
        <v>456</v>
      </c>
      <c r="M104" s="647"/>
      <c r="N104" s="648"/>
      <c r="P104" s="654">
        <v>92</v>
      </c>
      <c r="Q104" s="656" t="s">
        <v>456</v>
      </c>
      <c r="R104" s="647"/>
      <c r="S104" s="648"/>
    </row>
    <row r="105" spans="1:19">
      <c r="A105" s="654">
        <v>93</v>
      </c>
      <c r="B105" s="656" t="s">
        <v>457</v>
      </c>
      <c r="C105" s="647"/>
      <c r="D105" s="648"/>
      <c r="E105" s="670"/>
      <c r="F105" s="654">
        <v>93</v>
      </c>
      <c r="G105" s="656" t="s">
        <v>457</v>
      </c>
      <c r="H105" s="647"/>
      <c r="I105" s="648"/>
      <c r="K105" s="654">
        <v>93</v>
      </c>
      <c r="L105" s="656" t="s">
        <v>457</v>
      </c>
      <c r="M105" s="647"/>
      <c r="N105" s="648"/>
      <c r="P105" s="654">
        <v>93</v>
      </c>
      <c r="Q105" s="656" t="s">
        <v>457</v>
      </c>
      <c r="R105" s="647"/>
      <c r="S105" s="648"/>
    </row>
    <row r="106" spans="1:19">
      <c r="A106" s="654">
        <v>94</v>
      </c>
      <c r="B106" s="656" t="s">
        <v>458</v>
      </c>
      <c r="C106" s="647"/>
      <c r="D106" s="648"/>
      <c r="E106" s="670"/>
      <c r="F106" s="654">
        <v>94</v>
      </c>
      <c r="G106" s="656" t="s">
        <v>458</v>
      </c>
      <c r="H106" s="647"/>
      <c r="I106" s="648"/>
      <c r="K106" s="654">
        <v>94</v>
      </c>
      <c r="L106" s="656" t="s">
        <v>458</v>
      </c>
      <c r="M106" s="647"/>
      <c r="N106" s="648"/>
      <c r="P106" s="654">
        <v>94</v>
      </c>
      <c r="Q106" s="656" t="s">
        <v>458</v>
      </c>
      <c r="R106" s="647"/>
      <c r="S106" s="648"/>
    </row>
    <row r="107" spans="1:19">
      <c r="A107" s="654">
        <v>95</v>
      </c>
      <c r="B107" s="656" t="s">
        <v>459</v>
      </c>
      <c r="C107" s="647"/>
      <c r="D107" s="648"/>
      <c r="E107" s="670"/>
      <c r="F107" s="654">
        <v>95</v>
      </c>
      <c r="G107" s="656" t="s">
        <v>459</v>
      </c>
      <c r="H107" s="647"/>
      <c r="I107" s="648"/>
      <c r="K107" s="654">
        <v>95</v>
      </c>
      <c r="L107" s="656" t="s">
        <v>459</v>
      </c>
      <c r="M107" s="647"/>
      <c r="N107" s="648"/>
      <c r="P107" s="654">
        <v>95</v>
      </c>
      <c r="Q107" s="656" t="s">
        <v>459</v>
      </c>
      <c r="R107" s="647"/>
      <c r="S107" s="648"/>
    </row>
    <row r="108" spans="1:19">
      <c r="A108" s="654">
        <v>96</v>
      </c>
      <c r="B108" s="656" t="s">
        <v>460</v>
      </c>
      <c r="C108" s="647"/>
      <c r="D108" s="648"/>
      <c r="E108" s="670"/>
      <c r="F108" s="654">
        <v>96</v>
      </c>
      <c r="G108" s="656" t="s">
        <v>460</v>
      </c>
      <c r="H108" s="647"/>
      <c r="I108" s="648"/>
      <c r="K108" s="654">
        <v>96</v>
      </c>
      <c r="L108" s="656" t="s">
        <v>460</v>
      </c>
      <c r="M108" s="647"/>
      <c r="N108" s="648"/>
      <c r="P108" s="654">
        <v>96</v>
      </c>
      <c r="Q108" s="656" t="s">
        <v>460</v>
      </c>
      <c r="R108" s="647"/>
      <c r="S108" s="648"/>
    </row>
    <row r="109" spans="1:19">
      <c r="A109" s="654">
        <v>97</v>
      </c>
      <c r="B109" s="656" t="s">
        <v>461</v>
      </c>
      <c r="C109" s="647"/>
      <c r="D109" s="648"/>
      <c r="E109" s="670"/>
      <c r="F109" s="654">
        <v>97</v>
      </c>
      <c r="G109" s="656" t="s">
        <v>461</v>
      </c>
      <c r="H109" s="647"/>
      <c r="I109" s="648"/>
      <c r="K109" s="654">
        <v>97</v>
      </c>
      <c r="L109" s="656" t="s">
        <v>461</v>
      </c>
      <c r="M109" s="647"/>
      <c r="N109" s="648"/>
      <c r="P109" s="654">
        <v>97</v>
      </c>
      <c r="Q109" s="656" t="s">
        <v>461</v>
      </c>
      <c r="R109" s="647"/>
      <c r="S109" s="648"/>
    </row>
    <row r="110" spans="1:19">
      <c r="A110" s="654">
        <v>98</v>
      </c>
      <c r="B110" s="656" t="s">
        <v>462</v>
      </c>
      <c r="C110" s="647"/>
      <c r="D110" s="648"/>
      <c r="E110" s="670"/>
      <c r="F110" s="654">
        <v>98</v>
      </c>
      <c r="G110" s="656" t="s">
        <v>462</v>
      </c>
      <c r="H110" s="647"/>
      <c r="I110" s="648"/>
      <c r="K110" s="654">
        <v>98</v>
      </c>
      <c r="L110" s="656" t="s">
        <v>462</v>
      </c>
      <c r="M110" s="647"/>
      <c r="N110" s="648"/>
      <c r="P110" s="654">
        <v>98</v>
      </c>
      <c r="Q110" s="656" t="s">
        <v>462</v>
      </c>
      <c r="R110" s="647"/>
      <c r="S110" s="648"/>
    </row>
    <row r="111" spans="1:19">
      <c r="A111" s="654">
        <v>99</v>
      </c>
      <c r="B111" s="656" t="s">
        <v>463</v>
      </c>
      <c r="C111" s="647"/>
      <c r="D111" s="648"/>
      <c r="E111" s="670"/>
      <c r="F111" s="654">
        <v>99</v>
      </c>
      <c r="G111" s="656" t="s">
        <v>463</v>
      </c>
      <c r="H111" s="647"/>
      <c r="I111" s="648"/>
      <c r="K111" s="654">
        <v>99</v>
      </c>
      <c r="L111" s="656" t="s">
        <v>463</v>
      </c>
      <c r="M111" s="647"/>
      <c r="N111" s="648"/>
      <c r="P111" s="654">
        <v>99</v>
      </c>
      <c r="Q111" s="656" t="s">
        <v>463</v>
      </c>
      <c r="R111" s="647"/>
      <c r="S111" s="648"/>
    </row>
    <row r="112" spans="1:19" ht="13.5" thickBot="1">
      <c r="A112" s="657">
        <v>100</v>
      </c>
      <c r="B112" s="658" t="s">
        <v>464</v>
      </c>
      <c r="C112" s="659"/>
      <c r="D112" s="660"/>
      <c r="E112" s="670"/>
      <c r="F112" s="657">
        <v>100</v>
      </c>
      <c r="G112" s="658" t="s">
        <v>464</v>
      </c>
      <c r="H112" s="659"/>
      <c r="I112" s="660"/>
      <c r="K112" s="657">
        <v>100</v>
      </c>
      <c r="L112" s="658" t="s">
        <v>464</v>
      </c>
      <c r="M112" s="659"/>
      <c r="N112" s="660"/>
      <c r="P112" s="657">
        <v>100</v>
      </c>
      <c r="Q112" s="658" t="s">
        <v>464</v>
      </c>
      <c r="R112" s="659"/>
      <c r="S112" s="660"/>
    </row>
    <row r="118" spans="1:4">
      <c r="A118" s="676" t="s">
        <v>470</v>
      </c>
    </row>
    <row r="119" spans="1:4" ht="13.5" thickBot="1"/>
    <row r="120" spans="1:4" ht="13.5" thickBot="1">
      <c r="A120" s="661"/>
      <c r="B120" s="662"/>
      <c r="C120" s="662"/>
      <c r="D120" s="663"/>
    </row>
    <row r="121" spans="1:4" ht="13.5" thickBot="1">
      <c r="A121" s="665"/>
      <c r="B121" s="666"/>
      <c r="C121" s="666"/>
      <c r="D121" s="667"/>
    </row>
    <row r="122" spans="1:4" ht="15.75" thickBot="1">
      <c r="A122" s="1121" t="e">
        <v>#REF!</v>
      </c>
      <c r="B122" s="1122"/>
      <c r="C122" s="644"/>
      <c r="D122" s="645"/>
    </row>
    <row r="123" spans="1:4">
      <c r="A123" s="1123"/>
      <c r="B123" s="1124"/>
      <c r="C123" s="644"/>
      <c r="D123" s="645"/>
    </row>
    <row r="124" spans="1:4">
      <c r="A124" s="646"/>
      <c r="B124" s="647"/>
      <c r="C124" s="647"/>
      <c r="D124" s="648"/>
    </row>
    <row r="125" spans="1:4">
      <c r="A125" s="1125" t="e">
        <f>IF(OR((A122&gt;9999999999),(A122&lt;0)),"Invalid Entry - More than 1000 crore OR -ve value",IF(A122=0, "",+CONCATENATE(U121,B132,D132,B131,D131,B130,D130,B129,D129,B128,D128,B127," Only")))</f>
        <v>#REF!</v>
      </c>
      <c r="B125" s="1126"/>
      <c r="C125" s="1126"/>
      <c r="D125" s="1127"/>
    </row>
    <row r="126" spans="1:4">
      <c r="A126" s="646"/>
      <c r="B126" s="647"/>
      <c r="C126" s="647"/>
      <c r="D126" s="648"/>
    </row>
    <row r="127" spans="1:4">
      <c r="A127" s="649" t="e">
        <f>-INT(A122/100)*100+ROUND(A122,0)</f>
        <v>#REF!</v>
      </c>
      <c r="B127" s="647" t="e">
        <f t="shared" ref="B127:B132" si="6">IF(A127=0,"",LOOKUP(A127,$A$13:$A$112,$B$13:$B$112))</f>
        <v>#REF!</v>
      </c>
      <c r="C127" s="647"/>
      <c r="D127" s="650"/>
    </row>
    <row r="128" spans="1:4">
      <c r="A128" s="649" t="e">
        <f>-INT(A122/1000)*10+INT(A122/100)</f>
        <v>#REF!</v>
      </c>
      <c r="B128" s="647" t="e">
        <f t="shared" si="6"/>
        <v>#REF!</v>
      </c>
      <c r="C128" s="647"/>
      <c r="D128" s="650" t="e">
        <f>+IF(B128="",""," Hundred ")</f>
        <v>#REF!</v>
      </c>
    </row>
    <row r="129" spans="1:4">
      <c r="A129" s="649" t="e">
        <f>-INT(A122/100000)*100+INT(A122/1000)</f>
        <v>#REF!</v>
      </c>
      <c r="B129" s="647" t="e">
        <f t="shared" si="6"/>
        <v>#REF!</v>
      </c>
      <c r="C129" s="647"/>
      <c r="D129" s="650" t="e">
        <f>IF((B129=""),IF(C129="",""," Thousand ")," Thousand ")</f>
        <v>#REF!</v>
      </c>
    </row>
    <row r="130" spans="1:4">
      <c r="A130" s="649" t="e">
        <f>-INT(A122/10000000)*100+INT(A122/100000)</f>
        <v>#REF!</v>
      </c>
      <c r="B130" s="647" t="e">
        <f t="shared" si="6"/>
        <v>#REF!</v>
      </c>
      <c r="C130" s="647"/>
      <c r="D130" s="650" t="e">
        <f>IF((B130=""),IF(C130="",""," Lac ")," Lac ")</f>
        <v>#REF!</v>
      </c>
    </row>
    <row r="131" spans="1:4">
      <c r="A131" s="649" t="e">
        <f>-INT(A122/1000000000)*100+INT(A122/10000000)</f>
        <v>#REF!</v>
      </c>
      <c r="B131" s="651" t="e">
        <f t="shared" si="6"/>
        <v>#REF!</v>
      </c>
      <c r="C131" s="647"/>
      <c r="D131" s="650" t="e">
        <f>IF((B131=""),IF(C131="",""," Crore ")," Crore ")</f>
        <v>#REF!</v>
      </c>
    </row>
    <row r="132" spans="1:4">
      <c r="A132" s="652" t="e">
        <f>-INT(A122/10000000000)*1000+INT(A122/1000000000)</f>
        <v>#REF!</v>
      </c>
      <c r="B132" s="651" t="e">
        <f t="shared" si="6"/>
        <v>#REF!</v>
      </c>
      <c r="C132" s="647"/>
      <c r="D132" s="650" t="e">
        <f>IF((B132=""),IF(C132="",""," Hundred ")," Hundred ")</f>
        <v>#REF!</v>
      </c>
    </row>
    <row r="133" spans="1:4">
      <c r="A133" s="653"/>
      <c r="B133" s="647"/>
      <c r="C133" s="647"/>
      <c r="D133" s="648"/>
    </row>
    <row r="134" spans="1:4">
      <c r="A134" s="654">
        <v>1</v>
      </c>
      <c r="B134" s="655" t="s">
        <v>365</v>
      </c>
      <c r="C134" s="647"/>
      <c r="D134" s="648"/>
    </row>
    <row r="135" spans="1:4">
      <c r="A135" s="654">
        <v>2</v>
      </c>
      <c r="B135" s="655" t="s">
        <v>366</v>
      </c>
      <c r="C135" s="647"/>
      <c r="D135" s="648"/>
    </row>
    <row r="136" spans="1:4">
      <c r="A136" s="654">
        <v>3</v>
      </c>
      <c r="B136" s="655" t="s">
        <v>367</v>
      </c>
      <c r="C136" s="647"/>
      <c r="D136" s="648"/>
    </row>
    <row r="137" spans="1:4">
      <c r="A137" s="654">
        <v>4</v>
      </c>
      <c r="B137" s="655" t="s">
        <v>368</v>
      </c>
      <c r="C137" s="647"/>
      <c r="D137" s="648"/>
    </row>
    <row r="138" spans="1:4">
      <c r="A138" s="654">
        <v>5</v>
      </c>
      <c r="B138" s="655" t="s">
        <v>369</v>
      </c>
      <c r="C138" s="647"/>
      <c r="D138" s="648"/>
    </row>
    <row r="139" spans="1:4">
      <c r="A139" s="654">
        <v>6</v>
      </c>
      <c r="B139" s="655" t="s">
        <v>370</v>
      </c>
      <c r="C139" s="647"/>
      <c r="D139" s="648"/>
    </row>
    <row r="140" spans="1:4">
      <c r="A140" s="654">
        <v>7</v>
      </c>
      <c r="B140" s="655" t="s">
        <v>371</v>
      </c>
      <c r="C140" s="647"/>
      <c r="D140" s="648"/>
    </row>
    <row r="141" spans="1:4">
      <c r="A141" s="654">
        <v>8</v>
      </c>
      <c r="B141" s="655" t="s">
        <v>372</v>
      </c>
      <c r="C141" s="647"/>
      <c r="D141" s="648"/>
    </row>
    <row r="142" spans="1:4">
      <c r="A142" s="654">
        <v>9</v>
      </c>
      <c r="B142" s="655" t="s">
        <v>373</v>
      </c>
      <c r="C142" s="647"/>
      <c r="D142" s="648"/>
    </row>
    <row r="143" spans="1:4">
      <c r="A143" s="654">
        <v>10</v>
      </c>
      <c r="B143" s="655" t="s">
        <v>374</v>
      </c>
      <c r="C143" s="647"/>
      <c r="D143" s="648"/>
    </row>
    <row r="144" spans="1:4">
      <c r="A144" s="654">
        <v>11</v>
      </c>
      <c r="B144" s="655" t="s">
        <v>375</v>
      </c>
      <c r="C144" s="647"/>
      <c r="D144" s="648"/>
    </row>
    <row r="145" spans="1:4">
      <c r="A145" s="654">
        <v>12</v>
      </c>
      <c r="B145" s="655" t="s">
        <v>376</v>
      </c>
      <c r="C145" s="647"/>
      <c r="D145" s="648"/>
    </row>
    <row r="146" spans="1:4">
      <c r="A146" s="654">
        <v>13</v>
      </c>
      <c r="B146" s="655" t="s">
        <v>377</v>
      </c>
      <c r="C146" s="647"/>
      <c r="D146" s="648"/>
    </row>
    <row r="147" spans="1:4">
      <c r="A147" s="654">
        <v>14</v>
      </c>
      <c r="B147" s="655" t="s">
        <v>378</v>
      </c>
      <c r="C147" s="647"/>
      <c r="D147" s="648"/>
    </row>
    <row r="148" spans="1:4">
      <c r="A148" s="654">
        <v>15</v>
      </c>
      <c r="B148" s="655" t="s">
        <v>379</v>
      </c>
      <c r="C148" s="647"/>
      <c r="D148" s="648"/>
    </row>
    <row r="149" spans="1:4">
      <c r="A149" s="654">
        <v>16</v>
      </c>
      <c r="B149" s="655" t="s">
        <v>380</v>
      </c>
      <c r="C149" s="647"/>
      <c r="D149" s="648"/>
    </row>
    <row r="150" spans="1:4">
      <c r="A150" s="654">
        <v>17</v>
      </c>
      <c r="B150" s="655" t="s">
        <v>381</v>
      </c>
      <c r="C150" s="647"/>
      <c r="D150" s="648"/>
    </row>
    <row r="151" spans="1:4">
      <c r="A151" s="654">
        <v>18</v>
      </c>
      <c r="B151" s="655" t="s">
        <v>382</v>
      </c>
      <c r="C151" s="647"/>
      <c r="D151" s="648"/>
    </row>
    <row r="152" spans="1:4">
      <c r="A152" s="654">
        <v>19</v>
      </c>
      <c r="B152" s="655" t="s">
        <v>383</v>
      </c>
      <c r="C152" s="647"/>
      <c r="D152" s="648"/>
    </row>
    <row r="153" spans="1:4">
      <c r="A153" s="654">
        <v>20</v>
      </c>
      <c r="B153" s="655" t="s">
        <v>384</v>
      </c>
      <c r="C153" s="647"/>
      <c r="D153" s="648"/>
    </row>
    <row r="154" spans="1:4">
      <c r="A154" s="654">
        <v>21</v>
      </c>
      <c r="B154" s="655" t="s">
        <v>385</v>
      </c>
      <c r="C154" s="647"/>
      <c r="D154" s="648"/>
    </row>
    <row r="155" spans="1:4">
      <c r="A155" s="654">
        <v>22</v>
      </c>
      <c r="B155" s="655" t="s">
        <v>386</v>
      </c>
      <c r="C155" s="647"/>
      <c r="D155" s="648"/>
    </row>
    <row r="156" spans="1:4">
      <c r="A156" s="654">
        <v>23</v>
      </c>
      <c r="B156" s="655" t="s">
        <v>387</v>
      </c>
      <c r="C156" s="647"/>
      <c r="D156" s="648"/>
    </row>
    <row r="157" spans="1:4">
      <c r="A157" s="654">
        <v>24</v>
      </c>
      <c r="B157" s="655" t="s">
        <v>388</v>
      </c>
      <c r="C157" s="647"/>
      <c r="D157" s="648"/>
    </row>
    <row r="158" spans="1:4">
      <c r="A158" s="654">
        <v>25</v>
      </c>
      <c r="B158" s="655" t="s">
        <v>389</v>
      </c>
      <c r="C158" s="647"/>
      <c r="D158" s="648"/>
    </row>
    <row r="159" spans="1:4">
      <c r="A159" s="654">
        <v>26</v>
      </c>
      <c r="B159" s="655" t="s">
        <v>390</v>
      </c>
      <c r="C159" s="647"/>
      <c r="D159" s="648"/>
    </row>
    <row r="160" spans="1:4">
      <c r="A160" s="654">
        <v>27</v>
      </c>
      <c r="B160" s="655" t="s">
        <v>391</v>
      </c>
      <c r="C160" s="647"/>
      <c r="D160" s="648"/>
    </row>
    <row r="161" spans="1:4">
      <c r="A161" s="654">
        <v>28</v>
      </c>
      <c r="B161" s="655" t="s">
        <v>392</v>
      </c>
      <c r="C161" s="647"/>
      <c r="D161" s="648"/>
    </row>
    <row r="162" spans="1:4">
      <c r="A162" s="654">
        <v>29</v>
      </c>
      <c r="B162" s="655" t="s">
        <v>393</v>
      </c>
      <c r="C162" s="647"/>
      <c r="D162" s="648"/>
    </row>
    <row r="163" spans="1:4">
      <c r="A163" s="654">
        <v>30</v>
      </c>
      <c r="B163" s="655" t="s">
        <v>394</v>
      </c>
      <c r="C163" s="647"/>
      <c r="D163" s="648"/>
    </row>
    <row r="164" spans="1:4">
      <c r="A164" s="654">
        <v>31</v>
      </c>
      <c r="B164" s="655" t="s">
        <v>395</v>
      </c>
      <c r="C164" s="647"/>
      <c r="D164" s="648"/>
    </row>
    <row r="165" spans="1:4">
      <c r="A165" s="654">
        <v>32</v>
      </c>
      <c r="B165" s="655" t="s">
        <v>396</v>
      </c>
      <c r="C165" s="647"/>
      <c r="D165" s="648"/>
    </row>
    <row r="166" spans="1:4">
      <c r="A166" s="654">
        <v>33</v>
      </c>
      <c r="B166" s="655" t="s">
        <v>397</v>
      </c>
      <c r="C166" s="647"/>
      <c r="D166" s="648"/>
    </row>
    <row r="167" spans="1:4">
      <c r="A167" s="654">
        <v>34</v>
      </c>
      <c r="B167" s="655" t="s">
        <v>398</v>
      </c>
      <c r="C167" s="647"/>
      <c r="D167" s="648"/>
    </row>
    <row r="168" spans="1:4">
      <c r="A168" s="654">
        <v>35</v>
      </c>
      <c r="B168" s="655" t="s">
        <v>399</v>
      </c>
      <c r="C168" s="647"/>
      <c r="D168" s="648"/>
    </row>
    <row r="169" spans="1:4">
      <c r="A169" s="654">
        <v>36</v>
      </c>
      <c r="B169" s="655" t="s">
        <v>400</v>
      </c>
      <c r="C169" s="647"/>
      <c r="D169" s="648"/>
    </row>
    <row r="170" spans="1:4">
      <c r="A170" s="654">
        <v>37</v>
      </c>
      <c r="B170" s="655" t="s">
        <v>401</v>
      </c>
      <c r="C170" s="647"/>
      <c r="D170" s="648"/>
    </row>
    <row r="171" spans="1:4">
      <c r="A171" s="654">
        <v>38</v>
      </c>
      <c r="B171" s="655" t="s">
        <v>402</v>
      </c>
      <c r="C171" s="647"/>
      <c r="D171" s="648"/>
    </row>
    <row r="172" spans="1:4">
      <c r="A172" s="654">
        <v>39</v>
      </c>
      <c r="B172" s="655" t="s">
        <v>403</v>
      </c>
      <c r="C172" s="647"/>
      <c r="D172" s="648"/>
    </row>
    <row r="173" spans="1:4">
      <c r="A173" s="654">
        <v>40</v>
      </c>
      <c r="B173" s="655" t="s">
        <v>404</v>
      </c>
      <c r="C173" s="647"/>
      <c r="D173" s="648"/>
    </row>
    <row r="174" spans="1:4">
      <c r="A174" s="654">
        <v>41</v>
      </c>
      <c r="B174" s="655" t="s">
        <v>405</v>
      </c>
      <c r="C174" s="647"/>
      <c r="D174" s="648"/>
    </row>
    <row r="175" spans="1:4">
      <c r="A175" s="654">
        <v>42</v>
      </c>
      <c r="B175" s="655" t="s">
        <v>406</v>
      </c>
      <c r="C175" s="647"/>
      <c r="D175" s="648"/>
    </row>
    <row r="176" spans="1:4">
      <c r="A176" s="654">
        <v>43</v>
      </c>
      <c r="B176" s="655" t="s">
        <v>407</v>
      </c>
      <c r="C176" s="647"/>
      <c r="D176" s="648"/>
    </row>
    <row r="177" spans="1:4">
      <c r="A177" s="654">
        <v>44</v>
      </c>
      <c r="B177" s="655" t="s">
        <v>408</v>
      </c>
      <c r="C177" s="647"/>
      <c r="D177" s="648"/>
    </row>
    <row r="178" spans="1:4">
      <c r="A178" s="654">
        <v>45</v>
      </c>
      <c r="B178" s="655" t="s">
        <v>409</v>
      </c>
      <c r="C178" s="647"/>
      <c r="D178" s="648"/>
    </row>
    <row r="179" spans="1:4">
      <c r="A179" s="654">
        <v>46</v>
      </c>
      <c r="B179" s="655" t="s">
        <v>410</v>
      </c>
      <c r="C179" s="647"/>
      <c r="D179" s="648"/>
    </row>
    <row r="180" spans="1:4">
      <c r="A180" s="654">
        <v>47</v>
      </c>
      <c r="B180" s="655" t="s">
        <v>411</v>
      </c>
      <c r="C180" s="647"/>
      <c r="D180" s="648"/>
    </row>
    <row r="181" spans="1:4">
      <c r="A181" s="654">
        <v>48</v>
      </c>
      <c r="B181" s="655" t="s">
        <v>412</v>
      </c>
      <c r="C181" s="647"/>
      <c r="D181" s="648"/>
    </row>
    <row r="182" spans="1:4">
      <c r="A182" s="654">
        <v>49</v>
      </c>
      <c r="B182" s="655" t="s">
        <v>413</v>
      </c>
      <c r="C182" s="647"/>
      <c r="D182" s="648"/>
    </row>
    <row r="183" spans="1:4">
      <c r="A183" s="654">
        <v>50</v>
      </c>
      <c r="B183" s="655" t="s">
        <v>414</v>
      </c>
      <c r="C183" s="647"/>
      <c r="D183" s="648"/>
    </row>
    <row r="184" spans="1:4">
      <c r="A184" s="654">
        <v>51</v>
      </c>
      <c r="B184" s="655" t="s">
        <v>415</v>
      </c>
      <c r="C184" s="647"/>
      <c r="D184" s="648"/>
    </row>
    <row r="185" spans="1:4">
      <c r="A185" s="654">
        <v>52</v>
      </c>
      <c r="B185" s="655" t="s">
        <v>416</v>
      </c>
      <c r="C185" s="647"/>
      <c r="D185" s="648"/>
    </row>
    <row r="186" spans="1:4">
      <c r="A186" s="654">
        <v>53</v>
      </c>
      <c r="B186" s="655" t="s">
        <v>417</v>
      </c>
      <c r="C186" s="647"/>
      <c r="D186" s="648"/>
    </row>
    <row r="187" spans="1:4">
      <c r="A187" s="654">
        <v>54</v>
      </c>
      <c r="B187" s="655" t="s">
        <v>418</v>
      </c>
      <c r="C187" s="647"/>
      <c r="D187" s="648"/>
    </row>
    <row r="188" spans="1:4">
      <c r="A188" s="654">
        <v>55</v>
      </c>
      <c r="B188" s="655" t="s">
        <v>419</v>
      </c>
      <c r="C188" s="647"/>
      <c r="D188" s="648"/>
    </row>
    <row r="189" spans="1:4">
      <c r="A189" s="654">
        <v>56</v>
      </c>
      <c r="B189" s="655" t="s">
        <v>420</v>
      </c>
      <c r="C189" s="647"/>
      <c r="D189" s="648"/>
    </row>
    <row r="190" spans="1:4">
      <c r="A190" s="654">
        <v>57</v>
      </c>
      <c r="B190" s="655" t="s">
        <v>421</v>
      </c>
      <c r="C190" s="647"/>
      <c r="D190" s="648"/>
    </row>
    <row r="191" spans="1:4">
      <c r="A191" s="654">
        <v>58</v>
      </c>
      <c r="B191" s="655" t="s">
        <v>422</v>
      </c>
      <c r="C191" s="647"/>
      <c r="D191" s="648"/>
    </row>
    <row r="192" spans="1:4">
      <c r="A192" s="654">
        <v>59</v>
      </c>
      <c r="B192" s="655" t="s">
        <v>423</v>
      </c>
      <c r="C192" s="647"/>
      <c r="D192" s="648"/>
    </row>
    <row r="193" spans="1:4">
      <c r="A193" s="654">
        <v>60</v>
      </c>
      <c r="B193" s="655" t="s">
        <v>424</v>
      </c>
      <c r="C193" s="647"/>
      <c r="D193" s="648"/>
    </row>
    <row r="194" spans="1:4">
      <c r="A194" s="654">
        <v>61</v>
      </c>
      <c r="B194" s="655" t="s">
        <v>425</v>
      </c>
      <c r="C194" s="647"/>
      <c r="D194" s="648"/>
    </row>
    <row r="195" spans="1:4">
      <c r="A195" s="654">
        <v>62</v>
      </c>
      <c r="B195" s="655" t="s">
        <v>426</v>
      </c>
      <c r="C195" s="647"/>
      <c r="D195" s="648"/>
    </row>
    <row r="196" spans="1:4">
      <c r="A196" s="654">
        <v>63</v>
      </c>
      <c r="B196" s="656" t="s">
        <v>427</v>
      </c>
      <c r="C196" s="647"/>
      <c r="D196" s="648"/>
    </row>
    <row r="197" spans="1:4">
      <c r="A197" s="654">
        <v>64</v>
      </c>
      <c r="B197" s="656" t="s">
        <v>428</v>
      </c>
      <c r="C197" s="647"/>
      <c r="D197" s="648"/>
    </row>
    <row r="198" spans="1:4">
      <c r="A198" s="654">
        <v>65</v>
      </c>
      <c r="B198" s="656" t="s">
        <v>429</v>
      </c>
      <c r="C198" s="647"/>
      <c r="D198" s="648"/>
    </row>
    <row r="199" spans="1:4">
      <c r="A199" s="654">
        <v>66</v>
      </c>
      <c r="B199" s="656" t="s">
        <v>430</v>
      </c>
      <c r="C199" s="647"/>
      <c r="D199" s="648"/>
    </row>
    <row r="200" spans="1:4">
      <c r="A200" s="654">
        <v>67</v>
      </c>
      <c r="B200" s="656" t="s">
        <v>431</v>
      </c>
      <c r="C200" s="647"/>
      <c r="D200" s="648"/>
    </row>
    <row r="201" spans="1:4">
      <c r="A201" s="654">
        <v>68</v>
      </c>
      <c r="B201" s="656" t="s">
        <v>432</v>
      </c>
      <c r="C201" s="647"/>
      <c r="D201" s="648"/>
    </row>
    <row r="202" spans="1:4">
      <c r="A202" s="654">
        <v>69</v>
      </c>
      <c r="B202" s="656" t="s">
        <v>433</v>
      </c>
      <c r="C202" s="647"/>
      <c r="D202" s="648"/>
    </row>
    <row r="203" spans="1:4">
      <c r="A203" s="654">
        <v>70</v>
      </c>
      <c r="B203" s="656" t="s">
        <v>434</v>
      </c>
      <c r="C203" s="647"/>
      <c r="D203" s="648"/>
    </row>
    <row r="204" spans="1:4">
      <c r="A204" s="654">
        <v>71</v>
      </c>
      <c r="B204" s="656" t="s">
        <v>435</v>
      </c>
      <c r="C204" s="647"/>
      <c r="D204" s="648"/>
    </row>
    <row r="205" spans="1:4">
      <c r="A205" s="654">
        <v>72</v>
      </c>
      <c r="B205" s="656" t="s">
        <v>436</v>
      </c>
      <c r="C205" s="647"/>
      <c r="D205" s="648"/>
    </row>
    <row r="206" spans="1:4">
      <c r="A206" s="654">
        <v>73</v>
      </c>
      <c r="B206" s="656" t="s">
        <v>437</v>
      </c>
      <c r="C206" s="647"/>
      <c r="D206" s="648"/>
    </row>
    <row r="207" spans="1:4">
      <c r="A207" s="654">
        <v>74</v>
      </c>
      <c r="B207" s="656" t="s">
        <v>438</v>
      </c>
      <c r="C207" s="647"/>
      <c r="D207" s="648"/>
    </row>
    <row r="208" spans="1:4">
      <c r="A208" s="654">
        <v>75</v>
      </c>
      <c r="B208" s="656" t="s">
        <v>439</v>
      </c>
      <c r="C208" s="647"/>
      <c r="D208" s="648"/>
    </row>
    <row r="209" spans="1:4">
      <c r="A209" s="654">
        <v>76</v>
      </c>
      <c r="B209" s="656" t="s">
        <v>440</v>
      </c>
      <c r="C209" s="647"/>
      <c r="D209" s="648"/>
    </row>
    <row r="210" spans="1:4">
      <c r="A210" s="654">
        <v>77</v>
      </c>
      <c r="B210" s="656" t="s">
        <v>441</v>
      </c>
      <c r="C210" s="647"/>
      <c r="D210" s="648"/>
    </row>
    <row r="211" spans="1:4">
      <c r="A211" s="654">
        <v>78</v>
      </c>
      <c r="B211" s="656" t="s">
        <v>442</v>
      </c>
      <c r="C211" s="647"/>
      <c r="D211" s="648"/>
    </row>
    <row r="212" spans="1:4">
      <c r="A212" s="654">
        <v>79</v>
      </c>
      <c r="B212" s="656" t="s">
        <v>443</v>
      </c>
      <c r="C212" s="647"/>
      <c r="D212" s="648"/>
    </row>
    <row r="213" spans="1:4">
      <c r="A213" s="654">
        <v>80</v>
      </c>
      <c r="B213" s="656" t="s">
        <v>444</v>
      </c>
      <c r="C213" s="647"/>
      <c r="D213" s="648"/>
    </row>
    <row r="214" spans="1:4">
      <c r="A214" s="654">
        <v>81</v>
      </c>
      <c r="B214" s="656" t="s">
        <v>445</v>
      </c>
      <c r="C214" s="647"/>
      <c r="D214" s="648"/>
    </row>
    <row r="215" spans="1:4">
      <c r="A215" s="654">
        <v>82</v>
      </c>
      <c r="B215" s="656" t="s">
        <v>446</v>
      </c>
      <c r="C215" s="647"/>
      <c r="D215" s="648"/>
    </row>
    <row r="216" spans="1:4">
      <c r="A216" s="654">
        <v>83</v>
      </c>
      <c r="B216" s="656" t="s">
        <v>447</v>
      </c>
      <c r="C216" s="647"/>
      <c r="D216" s="648"/>
    </row>
    <row r="217" spans="1:4">
      <c r="A217" s="654">
        <v>84</v>
      </c>
      <c r="B217" s="656" t="s">
        <v>448</v>
      </c>
      <c r="C217" s="647"/>
      <c r="D217" s="648"/>
    </row>
    <row r="218" spans="1:4">
      <c r="A218" s="654">
        <v>85</v>
      </c>
      <c r="B218" s="656" t="s">
        <v>449</v>
      </c>
      <c r="C218" s="647"/>
      <c r="D218" s="648"/>
    </row>
    <row r="219" spans="1:4">
      <c r="A219" s="654">
        <v>86</v>
      </c>
      <c r="B219" s="656" t="s">
        <v>450</v>
      </c>
      <c r="C219" s="647"/>
      <c r="D219" s="648"/>
    </row>
    <row r="220" spans="1:4">
      <c r="A220" s="654">
        <v>87</v>
      </c>
      <c r="B220" s="656" t="s">
        <v>451</v>
      </c>
      <c r="C220" s="647"/>
      <c r="D220" s="648"/>
    </row>
    <row r="221" spans="1:4">
      <c r="A221" s="654">
        <v>88</v>
      </c>
      <c r="B221" s="656" t="s">
        <v>452</v>
      </c>
      <c r="C221" s="647"/>
      <c r="D221" s="648"/>
    </row>
    <row r="222" spans="1:4">
      <c r="A222" s="654">
        <v>89</v>
      </c>
      <c r="B222" s="656" t="s">
        <v>453</v>
      </c>
      <c r="C222" s="647"/>
      <c r="D222" s="648"/>
    </row>
    <row r="223" spans="1:4">
      <c r="A223" s="654">
        <v>90</v>
      </c>
      <c r="B223" s="656" t="s">
        <v>454</v>
      </c>
      <c r="C223" s="647"/>
      <c r="D223" s="648"/>
    </row>
    <row r="224" spans="1:4">
      <c r="A224" s="654">
        <v>91</v>
      </c>
      <c r="B224" s="656" t="s">
        <v>455</v>
      </c>
      <c r="C224" s="647"/>
      <c r="D224" s="648"/>
    </row>
    <row r="225" spans="1:4">
      <c r="A225" s="654">
        <v>92</v>
      </c>
      <c r="B225" s="656" t="s">
        <v>456</v>
      </c>
      <c r="C225" s="647"/>
      <c r="D225" s="648"/>
    </row>
    <row r="226" spans="1:4">
      <c r="A226" s="654">
        <v>93</v>
      </c>
      <c r="B226" s="656" t="s">
        <v>457</v>
      </c>
      <c r="C226" s="647"/>
      <c r="D226" s="648"/>
    </row>
    <row r="227" spans="1:4">
      <c r="A227" s="654">
        <v>94</v>
      </c>
      <c r="B227" s="656" t="s">
        <v>458</v>
      </c>
      <c r="C227" s="647"/>
      <c r="D227" s="648"/>
    </row>
    <row r="228" spans="1:4">
      <c r="A228" s="654">
        <v>95</v>
      </c>
      <c r="B228" s="656" t="s">
        <v>459</v>
      </c>
      <c r="C228" s="647"/>
      <c r="D228" s="648"/>
    </row>
    <row r="229" spans="1:4">
      <c r="A229" s="654">
        <v>96</v>
      </c>
      <c r="B229" s="656" t="s">
        <v>460</v>
      </c>
      <c r="C229" s="647"/>
      <c r="D229" s="648"/>
    </row>
    <row r="230" spans="1:4">
      <c r="A230" s="654">
        <v>97</v>
      </c>
      <c r="B230" s="656" t="s">
        <v>461</v>
      </c>
      <c r="C230" s="647"/>
      <c r="D230" s="648"/>
    </row>
    <row r="231" spans="1:4">
      <c r="A231" s="654">
        <v>98</v>
      </c>
      <c r="B231" s="656" t="s">
        <v>462</v>
      </c>
      <c r="C231" s="647"/>
      <c r="D231" s="648"/>
    </row>
    <row r="232" spans="1:4">
      <c r="A232" s="654">
        <v>99</v>
      </c>
      <c r="B232" s="656" t="s">
        <v>463</v>
      </c>
      <c r="C232" s="647"/>
      <c r="D232" s="648"/>
    </row>
    <row r="233" spans="1:4" ht="13.5" thickBot="1">
      <c r="A233" s="657">
        <v>100</v>
      </c>
      <c r="B233" s="658" t="s">
        <v>464</v>
      </c>
      <c r="C233" s="659"/>
      <c r="D233" s="660"/>
    </row>
  </sheetData>
  <sheetProtection selectLockedCells="1"/>
  <customSheetViews>
    <customSheetView guid="{F38BD2F3-61EE-4B49-A7FC-8FB2B5BA6A2F}" hiddenColumns="1" state="hidden" topLeftCell="P1">
      <selection activeCell="DT28" sqref="DT28"/>
      <pageMargins left="0.75" right="0.75" top="1" bottom="1" header="0.5" footer="0.5"/>
      <pageSetup orientation="portrait" r:id="rId1"/>
      <headerFooter alignWithMargins="0"/>
    </customSheetView>
    <customSheetView guid="{F1B559AA-B9AD-4E4C-B94A-ECBE5878008B}" hiddenColumns="1" state="hidden" topLeftCell="P1">
      <selection activeCell="DT28" sqref="DT28"/>
      <pageMargins left="0.75" right="0.75" top="1" bottom="1" header="0.5" footer="0.5"/>
      <pageSetup orientation="portrait" r:id="rId2"/>
      <headerFooter alignWithMargins="0"/>
    </customSheetView>
    <customSheetView guid="{755190E0-7BE9-48F9-BB5F-DF8E25D6736A}"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B056965A-4BE5-44B3-AB31-550AD9F023BC}" hiddenColumns="1" state="hidden" topLeftCell="P1">
      <selection activeCell="DT28" sqref="DT28"/>
      <pageMargins left="0.75" right="0.75" top="1" bottom="1" header="0.5" footer="0.5"/>
      <pageSetup orientation="portrait" r:id="rId7"/>
      <headerFooter alignWithMargins="0"/>
    </customSheetView>
    <customSheetView guid="{3FCD02EB-1C44-4646-B069-2B9945E67B1F}" hiddenColumns="1" state="hidden" topLeftCell="P1">
      <selection activeCell="DT28" sqref="DT28"/>
      <pageMargins left="0.75" right="0.75" top="1" bottom="1" header="0.5" footer="0.5"/>
      <pageSetup orientation="portrait" r:id="rId8"/>
      <headerFooter alignWithMargins="0"/>
    </customSheetView>
    <customSheetView guid="{267FF044-3C5D-4FEC-AC00-A7E30583F8BB}" hiddenColumns="1" state="hidden" topLeftCell="P1">
      <selection activeCell="DT28" sqref="DT28"/>
      <pageMargins left="0.75" right="0.75" top="1" bottom="1" header="0.5" footer="0.5"/>
      <pageSetup orientation="portrait" r:id="rId9"/>
      <headerFooter alignWithMargins="0"/>
    </customSheetView>
    <customSheetView guid="{A29B4069-9BED-4703-B114-D2D164877E8C}" hiddenColumns="1" state="hidden" topLeftCell="P1">
      <selection activeCell="DT28" sqref="DT28"/>
      <pageMargins left="0.75" right="0.75" top="1" bottom="1" header="0.5" footer="0.5"/>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906" t="s">
        <v>348</v>
      </c>
      <c r="B1" s="906"/>
      <c r="C1" s="906"/>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904" t="s">
        <v>70</v>
      </c>
      <c r="C12" s="904"/>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904" t="s">
        <v>72</v>
      </c>
      <c r="C14" s="904"/>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904" t="s">
        <v>80</v>
      </c>
      <c r="C21" s="904"/>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904" t="s">
        <v>86</v>
      </c>
      <c r="C27" s="904"/>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904" t="s">
        <v>87</v>
      </c>
      <c r="C30" s="904"/>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904" t="s">
        <v>88</v>
      </c>
      <c r="C33" s="904"/>
      <c r="D33" s="71"/>
    </row>
    <row r="34" spans="2:11" ht="18" customHeight="1">
      <c r="B34" s="73" t="s">
        <v>73</v>
      </c>
      <c r="C34" s="70" t="s">
        <v>89</v>
      </c>
      <c r="D34" s="67"/>
    </row>
    <row r="35" spans="2:11" ht="18" customHeight="1">
      <c r="B35" s="904" t="s">
        <v>90</v>
      </c>
      <c r="C35" s="904"/>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904" t="s">
        <v>96</v>
      </c>
      <c r="C41" s="904"/>
    </row>
    <row r="42" spans="2:11" ht="38.1" customHeight="1">
      <c r="B42" s="73" t="s">
        <v>73</v>
      </c>
      <c r="C42" s="70" t="s">
        <v>97</v>
      </c>
    </row>
    <row r="43" spans="2:11" ht="18" customHeight="1">
      <c r="B43" s="73" t="s">
        <v>73</v>
      </c>
      <c r="C43" s="76" t="s">
        <v>98</v>
      </c>
    </row>
    <row r="44" spans="2:11" ht="18" customHeight="1">
      <c r="B44" s="904" t="s">
        <v>99</v>
      </c>
      <c r="C44" s="904"/>
    </row>
    <row r="45" spans="2:11" ht="38.1" customHeight="1">
      <c r="B45" s="73" t="s">
        <v>73</v>
      </c>
      <c r="C45" s="70" t="s">
        <v>100</v>
      </c>
    </row>
    <row r="46" spans="2:11" ht="18" customHeight="1">
      <c r="B46" s="73" t="s">
        <v>73</v>
      </c>
      <c r="C46" s="76" t="s">
        <v>98</v>
      </c>
    </row>
    <row r="47" spans="2:11" ht="18" customHeight="1">
      <c r="B47" s="904" t="s">
        <v>101</v>
      </c>
      <c r="C47" s="904" t="s">
        <v>102</v>
      </c>
    </row>
    <row r="48" spans="2:11" ht="48" customHeight="1">
      <c r="B48" s="73" t="s">
        <v>73</v>
      </c>
      <c r="C48" s="70" t="s">
        <v>103</v>
      </c>
    </row>
    <row r="49" spans="1:11" ht="18" customHeight="1">
      <c r="B49" s="73" t="s">
        <v>73</v>
      </c>
      <c r="C49" s="76" t="s">
        <v>98</v>
      </c>
    </row>
    <row r="50" spans="1:11" ht="18" customHeight="1">
      <c r="B50" s="904" t="s">
        <v>104</v>
      </c>
      <c r="C50" s="904"/>
    </row>
    <row r="51" spans="1:11" ht="38.1" customHeight="1">
      <c r="B51" s="73" t="s">
        <v>73</v>
      </c>
      <c r="C51" s="70" t="s">
        <v>105</v>
      </c>
    </row>
    <row r="52" spans="1:11" ht="38.1" customHeight="1">
      <c r="B52" s="73" t="s">
        <v>73</v>
      </c>
      <c r="C52" s="70" t="s">
        <v>106</v>
      </c>
    </row>
    <row r="53" spans="1:11" ht="18" customHeight="1">
      <c r="B53" s="904" t="s">
        <v>107</v>
      </c>
      <c r="C53" s="904"/>
    </row>
    <row r="54" spans="1:11" ht="18" customHeight="1">
      <c r="B54" s="73" t="s">
        <v>73</v>
      </c>
      <c r="C54" s="77" t="s">
        <v>108</v>
      </c>
    </row>
    <row r="55" spans="1:11" ht="18" customHeight="1">
      <c r="B55" s="73" t="s">
        <v>73</v>
      </c>
      <c r="C55" s="77" t="s">
        <v>109</v>
      </c>
    </row>
    <row r="56" spans="1:11" ht="18" customHeight="1">
      <c r="B56" s="904" t="s">
        <v>110</v>
      </c>
      <c r="C56" s="904"/>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905"/>
      <c r="B62" s="905"/>
      <c r="C62" s="905"/>
      <c r="D62" s="79"/>
    </row>
    <row r="63" spans="1:11" ht="18" customHeight="1">
      <c r="A63" s="902" t="s">
        <v>115</v>
      </c>
      <c r="B63" s="902"/>
      <c r="C63" s="902"/>
      <c r="D63" s="79"/>
    </row>
    <row r="64" spans="1:11" ht="36" customHeight="1">
      <c r="A64" s="903" t="s">
        <v>116</v>
      </c>
      <c r="B64" s="903"/>
      <c r="C64" s="903"/>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F38BD2F3-61EE-4B49-A7FC-8FB2B5BA6A2F}"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A29B4069-9BED-4703-B114-D2D164877E8C}"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AC29"/>
  <sheetViews>
    <sheetView showGridLines="0" view="pageBreakPreview" zoomScaleSheetLayoutView="100" workbookViewId="0">
      <selection activeCell="F27" sqref="F27"/>
    </sheetView>
  </sheetViews>
  <sheetFormatPr defaultColWidth="9.140625" defaultRowHeight="15.75"/>
  <cols>
    <col min="1" max="1" width="3.7109375" style="547" customWidth="1"/>
    <col min="2" max="2" width="33" style="544" customWidth="1"/>
    <col min="3" max="3" width="11.7109375" style="544" customWidth="1"/>
    <col min="4" max="5" width="6.42578125" style="544" customWidth="1"/>
    <col min="6" max="6" width="6.42578125" style="547" customWidth="1"/>
    <col min="7" max="7" width="39" style="547" customWidth="1"/>
    <col min="8" max="8" width="11.85546875" style="547" hidden="1" customWidth="1"/>
    <col min="9" max="10" width="11.85546875" style="547" customWidth="1"/>
    <col min="11" max="11" width="11.85546875" style="547" hidden="1" customWidth="1"/>
    <col min="12" max="25" width="11.85546875" style="547" customWidth="1"/>
    <col min="26" max="26" width="9.140625" style="547" customWidth="1"/>
    <col min="27" max="27" width="15.28515625" style="547" customWidth="1"/>
    <col min="28" max="16384" width="9.140625" style="547"/>
  </cols>
  <sheetData>
    <row r="1" spans="1:29" s="544" customFormat="1" ht="138" customHeight="1">
      <c r="B1" s="910" t="str">
        <f>Cover!$B$2</f>
        <v>765kV AIS Substation Extension Package (SS-91) under Transmission Network Expansion in Gujarat to increase its ATC from ISTS: Part C.</v>
      </c>
      <c r="C1" s="910"/>
      <c r="D1" s="910"/>
      <c r="E1" s="910"/>
      <c r="F1" s="910"/>
      <c r="G1" s="910"/>
      <c r="H1" s="545"/>
      <c r="I1" s="545"/>
      <c r="J1" s="545"/>
      <c r="K1" s="545"/>
      <c r="L1" s="545"/>
      <c r="M1" s="545"/>
      <c r="N1" s="545"/>
      <c r="O1" s="545"/>
      <c r="P1" s="545"/>
      <c r="Q1" s="545"/>
      <c r="R1" s="545"/>
      <c r="S1" s="545"/>
      <c r="T1" s="545"/>
      <c r="U1" s="545"/>
      <c r="V1" s="545"/>
      <c r="W1" s="545"/>
      <c r="X1" s="545"/>
      <c r="Y1" s="545"/>
      <c r="AA1" s="546"/>
      <c r="AB1" s="546"/>
      <c r="AC1" s="546"/>
    </row>
    <row r="2" spans="1:29" ht="16.5" customHeight="1">
      <c r="B2" s="911" t="str">
        <f>Cover!B3</f>
        <v>Spec. No: 5002002280/SUB-STATION(EXCLUDIN/DOM/A06-CC CS -7</v>
      </c>
      <c r="C2" s="911"/>
      <c r="D2" s="911"/>
      <c r="E2" s="911"/>
      <c r="F2" s="911"/>
      <c r="G2" s="911"/>
      <c r="H2" s="544"/>
      <c r="I2" s="544"/>
      <c r="J2" s="544"/>
      <c r="K2" s="544"/>
      <c r="L2" s="544"/>
      <c r="M2" s="544"/>
      <c r="N2" s="544"/>
      <c r="O2" s="544"/>
      <c r="P2" s="544"/>
      <c r="Q2" s="544"/>
      <c r="R2" s="544"/>
      <c r="S2" s="544"/>
      <c r="T2" s="544"/>
      <c r="U2" s="544"/>
      <c r="V2" s="544"/>
      <c r="W2" s="544"/>
      <c r="X2" s="544"/>
      <c r="Y2" s="544"/>
      <c r="AA2" s="547" t="s">
        <v>117</v>
      </c>
      <c r="AB2" s="548">
        <v>1</v>
      </c>
      <c r="AC2" s="549"/>
    </row>
    <row r="3" spans="1:29" ht="12" customHeight="1">
      <c r="B3" s="550"/>
      <c r="C3" s="550"/>
      <c r="D3" s="550"/>
      <c r="E3" s="550"/>
      <c r="F3" s="544"/>
      <c r="G3" s="544"/>
      <c r="H3" s="544"/>
      <c r="I3" s="544"/>
      <c r="J3" s="544"/>
      <c r="K3" s="544"/>
      <c r="L3" s="544"/>
      <c r="M3" s="544"/>
      <c r="N3" s="544"/>
      <c r="O3" s="544"/>
      <c r="P3" s="544"/>
      <c r="Q3" s="544"/>
      <c r="R3" s="544"/>
      <c r="S3" s="544"/>
      <c r="T3" s="544"/>
      <c r="U3" s="544"/>
      <c r="V3" s="544"/>
      <c r="W3" s="544"/>
      <c r="X3" s="544"/>
      <c r="Y3" s="544"/>
      <c r="AA3" s="547" t="s">
        <v>118</v>
      </c>
      <c r="AB3" s="548" t="s">
        <v>119</v>
      </c>
      <c r="AC3" s="549"/>
    </row>
    <row r="4" spans="1:29" ht="20.100000000000001" customHeight="1">
      <c r="B4" s="912" t="s">
        <v>120</v>
      </c>
      <c r="C4" s="912"/>
      <c r="D4" s="912"/>
      <c r="E4" s="912"/>
      <c r="F4" s="912"/>
      <c r="G4" s="912"/>
      <c r="H4" s="544"/>
      <c r="I4" s="544"/>
      <c r="J4" s="544"/>
      <c r="K4" s="544"/>
      <c r="L4" s="544"/>
      <c r="M4" s="544"/>
      <c r="N4" s="544"/>
      <c r="O4" s="544"/>
      <c r="P4" s="544"/>
      <c r="Q4" s="544"/>
      <c r="R4" s="544"/>
      <c r="S4" s="544"/>
      <c r="T4" s="544"/>
      <c r="U4" s="544"/>
      <c r="V4" s="544"/>
      <c r="W4" s="544"/>
      <c r="X4" s="544"/>
      <c r="Y4" s="544"/>
      <c r="AB4" s="548"/>
      <c r="AC4" s="549"/>
    </row>
    <row r="5" spans="1:29" ht="12" customHeight="1">
      <c r="B5" s="551"/>
      <c r="C5" s="551"/>
      <c r="F5" s="544"/>
      <c r="G5" s="544"/>
      <c r="H5" s="544"/>
      <c r="I5" s="544"/>
      <c r="J5" s="544"/>
      <c r="K5" s="544"/>
      <c r="L5" s="544"/>
      <c r="M5" s="544"/>
      <c r="N5" s="544"/>
      <c r="O5" s="544"/>
      <c r="P5" s="544"/>
      <c r="Q5" s="544"/>
      <c r="R5" s="544"/>
      <c r="S5" s="544"/>
      <c r="T5" s="544"/>
      <c r="U5" s="544"/>
      <c r="V5" s="544"/>
      <c r="W5" s="544"/>
      <c r="X5" s="544"/>
      <c r="Y5" s="544"/>
      <c r="AA5" s="549"/>
      <c r="AB5" s="549"/>
      <c r="AC5" s="549"/>
    </row>
    <row r="6" spans="1:29" s="544" customFormat="1" ht="50.25" customHeight="1">
      <c r="B6" s="917" t="s">
        <v>351</v>
      </c>
      <c r="C6" s="917"/>
      <c r="D6" s="913" t="s">
        <v>117</v>
      </c>
      <c r="E6" s="913"/>
      <c r="F6" s="913"/>
      <c r="G6" s="913"/>
      <c r="H6" s="552"/>
      <c r="I6" s="552"/>
      <c r="J6" s="552"/>
      <c r="K6" s="574">
        <f>IF(D6="Sole Bidder", 1,2)</f>
        <v>1</v>
      </c>
      <c r="L6" s="552"/>
      <c r="M6" s="552"/>
      <c r="N6" s="552"/>
      <c r="O6" s="552"/>
      <c r="P6" s="552"/>
      <c r="Q6" s="552"/>
      <c r="R6" s="552"/>
      <c r="S6" s="552"/>
      <c r="U6" s="552"/>
      <c r="V6" s="552"/>
      <c r="W6" s="552"/>
      <c r="X6" s="552"/>
      <c r="Y6" s="552"/>
      <c r="AA6" s="553">
        <f>IF(D6= "Sole Bidder", 0, D7)</f>
        <v>0</v>
      </c>
      <c r="AB6" s="546"/>
      <c r="AC6" s="546"/>
    </row>
    <row r="7" spans="1:29" ht="50.1" customHeight="1">
      <c r="A7" s="554"/>
      <c r="B7" s="555" t="str">
        <f>IF(D6= "JV (Joint Venture)", "Total Nos. of  Partners in the JV [excluding the Lead Partner]", "")</f>
        <v/>
      </c>
      <c r="C7" s="556"/>
      <c r="D7" s="914"/>
      <c r="E7" s="915"/>
      <c r="F7" s="915"/>
      <c r="G7" s="916"/>
      <c r="AA7" s="549"/>
      <c r="AB7" s="549"/>
      <c r="AC7" s="549"/>
    </row>
    <row r="8" spans="1:29" ht="19.5" customHeight="1">
      <c r="B8" s="557"/>
      <c r="C8" s="557"/>
      <c r="D8" s="552"/>
    </row>
    <row r="9" spans="1:29" ht="20.100000000000001" customHeight="1">
      <c r="B9" s="558" t="str">
        <f>IF(D6= "Sole Bidder", "Name of Sole Bidder", "Name of Lead Partner")</f>
        <v>Name of Sole Bidder</v>
      </c>
      <c r="C9" s="559"/>
      <c r="D9" s="907"/>
      <c r="E9" s="908"/>
      <c r="F9" s="908"/>
      <c r="G9" s="909"/>
    </row>
    <row r="10" spans="1:29" ht="20.100000000000001" customHeight="1">
      <c r="B10" s="560" t="str">
        <f>IF(D6= "Sole Bidder", "Address of Sole Bidder", "Address of Lead Partner")</f>
        <v>Address of Sole Bidder</v>
      </c>
      <c r="C10" s="561"/>
      <c r="D10" s="907"/>
      <c r="E10" s="908"/>
      <c r="F10" s="908"/>
      <c r="G10" s="909"/>
    </row>
    <row r="11" spans="1:29" ht="20.100000000000001" customHeight="1">
      <c r="B11" s="562"/>
      <c r="C11" s="563"/>
      <c r="D11" s="907"/>
      <c r="E11" s="908"/>
      <c r="F11" s="908"/>
      <c r="G11" s="909"/>
    </row>
    <row r="12" spans="1:29" ht="20.100000000000001" customHeight="1">
      <c r="B12" s="564"/>
      <c r="C12" s="565"/>
      <c r="D12" s="907"/>
      <c r="E12" s="908"/>
      <c r="F12" s="908"/>
      <c r="G12" s="909"/>
    </row>
    <row r="13" spans="1:29" ht="20.100000000000001" customHeight="1"/>
    <row r="14" spans="1:29" ht="20.100000000000001" customHeight="1">
      <c r="B14" s="558" t="str">
        <f>IF(D6="JV (Joint Venture)", "Name of other Partner","Name of other Partner - 1")</f>
        <v>Name of other Partner - 1</v>
      </c>
      <c r="C14" s="559"/>
      <c r="D14" s="907"/>
      <c r="E14" s="908"/>
      <c r="F14" s="908"/>
      <c r="G14" s="909"/>
    </row>
    <row r="15" spans="1:29" ht="20.100000000000001" customHeight="1">
      <c r="B15" s="560" t="str">
        <f>IF(D6="JV (Joint Venture)", "Address of other Partner","Address of other Partner - 1")</f>
        <v>Address of other Partner - 1</v>
      </c>
      <c r="C15" s="561"/>
      <c r="D15" s="921"/>
      <c r="E15" s="922"/>
      <c r="F15" s="922"/>
      <c r="G15" s="923"/>
    </row>
    <row r="16" spans="1:29" ht="20.100000000000001" customHeight="1">
      <c r="B16" s="562"/>
      <c r="C16" s="563"/>
      <c r="D16" s="921"/>
      <c r="E16" s="922"/>
      <c r="F16" s="922"/>
      <c r="G16" s="923"/>
    </row>
    <row r="17" spans="2:8" ht="20.100000000000001" customHeight="1">
      <c r="B17" s="564"/>
      <c r="C17" s="565"/>
      <c r="D17" s="921"/>
      <c r="E17" s="922"/>
      <c r="F17" s="922"/>
      <c r="G17" s="923"/>
    </row>
    <row r="18" spans="2:8" ht="20.100000000000001" customHeight="1"/>
    <row r="19" spans="2:8" ht="20.100000000000001" hidden="1" customHeight="1">
      <c r="B19" s="558" t="s">
        <v>122</v>
      </c>
      <c r="C19" s="559"/>
      <c r="D19" s="907" t="s">
        <v>121</v>
      </c>
      <c r="E19" s="908"/>
      <c r="F19" s="908"/>
      <c r="G19" s="909"/>
    </row>
    <row r="20" spans="2:8" ht="20.100000000000001" hidden="1" customHeight="1">
      <c r="B20" s="560" t="s">
        <v>123</v>
      </c>
      <c r="C20" s="561"/>
      <c r="D20" s="907" t="s">
        <v>121</v>
      </c>
      <c r="E20" s="908"/>
      <c r="F20" s="908"/>
      <c r="G20" s="909"/>
    </row>
    <row r="21" spans="2:8" ht="20.100000000000001" hidden="1" customHeight="1">
      <c r="B21" s="562"/>
      <c r="C21" s="563"/>
      <c r="D21" s="907" t="s">
        <v>121</v>
      </c>
      <c r="E21" s="908"/>
      <c r="F21" s="908"/>
      <c r="G21" s="909"/>
    </row>
    <row r="22" spans="2:8" ht="20.100000000000001" hidden="1" customHeight="1">
      <c r="B22" s="564"/>
      <c r="C22" s="565"/>
      <c r="D22" s="907" t="s">
        <v>121</v>
      </c>
      <c r="E22" s="908"/>
      <c r="F22" s="908"/>
      <c r="G22" s="909"/>
    </row>
    <row r="23" spans="2:8" ht="20.100000000000001" customHeight="1">
      <c r="B23" s="566"/>
      <c r="C23" s="566"/>
    </row>
    <row r="24" spans="2:8" ht="21" customHeight="1">
      <c r="B24" s="567" t="s">
        <v>124</v>
      </c>
      <c r="C24" s="568"/>
      <c r="D24" s="918"/>
      <c r="E24" s="919"/>
      <c r="F24" s="919"/>
      <c r="G24" s="920"/>
    </row>
    <row r="25" spans="2:8" ht="21" customHeight="1">
      <c r="B25" s="567" t="s">
        <v>125</v>
      </c>
      <c r="C25" s="568"/>
      <c r="D25" s="907"/>
      <c r="E25" s="924"/>
      <c r="F25" s="924"/>
      <c r="G25" s="925"/>
    </row>
    <row r="26" spans="2:8" ht="21" customHeight="1">
      <c r="B26" s="569"/>
      <c r="C26" s="569"/>
      <c r="D26" s="570"/>
    </row>
    <row r="27" spans="2:8" s="544" customFormat="1" ht="21" customHeight="1">
      <c r="B27" s="567" t="s">
        <v>126</v>
      </c>
      <c r="C27" s="568"/>
      <c r="D27" s="571"/>
      <c r="E27" s="573"/>
      <c r="F27" s="571"/>
      <c r="G27" s="572" t="str">
        <f>IF(D27&gt;H27, "Invalid Date !", "")</f>
        <v/>
      </c>
      <c r="H27" s="546">
        <f>IF(E27="Feb",28,IF(OR(E27="Apr", E27="Jun", E27="Sep", E27="Nov"),30,31))</f>
        <v>31</v>
      </c>
    </row>
    <row r="28" spans="2:8" ht="21" customHeight="1">
      <c r="B28" s="567" t="s">
        <v>127</v>
      </c>
      <c r="C28" s="568"/>
      <c r="D28" s="907"/>
      <c r="E28" s="924"/>
      <c r="F28" s="924"/>
      <c r="G28" s="925"/>
    </row>
    <row r="29" spans="2:8">
      <c r="E29" s="547"/>
    </row>
  </sheetData>
  <sheetProtection password="BA13" sheet="1" formatColumns="0" formatRows="0" selectLockedCells="1"/>
  <customSheetViews>
    <customSheetView guid="{F38BD2F3-61EE-4B49-A7FC-8FB2B5BA6A2F}" showGridLines="0" printArea="1" hiddenRows="1" hiddenColumns="1" view="pageBreakPreview">
      <selection activeCell="F27" sqref="F27"/>
      <pageMargins left="0.75" right="0.75" top="0.69" bottom="0.7" header="0.4" footer="0.37"/>
      <pageSetup scale="86" orientation="portrait" r:id="rId1"/>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2"/>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4"/>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5"/>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0"/>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267FF044-3C5D-4FEC-AC00-A7E30583F8BB}"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A29B4069-9BED-4703-B114-D2D164877E8C}" showGridLines="0" printArea="1" hiddenRows="1" hiddenColumns="1" view="pageBreakPreview">
      <selection activeCell="D6" sqref="D6:G6"/>
      <pageMargins left="0.75" right="0.75" top="0.69" bottom="0.7" header="0.4" footer="0.37"/>
      <pageSetup scale="86" orientation="portrait" r:id="rId13"/>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47" priority="3" stopIfTrue="1">
      <formula>$AA$6&lt;2</formula>
    </cfRule>
  </conditionalFormatting>
  <conditionalFormatting sqref="B14:C17">
    <cfRule type="expression" dxfId="46" priority="4" stopIfTrue="1">
      <formula>$AA$6&lt;1</formula>
    </cfRule>
  </conditionalFormatting>
  <conditionalFormatting sqref="B7:G7">
    <cfRule type="expression" dxfId="45" priority="5" stopIfTrue="1">
      <formula>$D$6="Sole Bidder"</formula>
    </cfRule>
  </conditionalFormatting>
  <conditionalFormatting sqref="D14:G17">
    <cfRule type="expression" dxfId="44" priority="2" stopIfTrue="1">
      <formula>$AA$6&lt;1</formula>
    </cfRule>
  </conditionalFormatting>
  <conditionalFormatting sqref="D19:G22">
    <cfRule type="expression" dxfId="43" priority="1" stopIfTrue="1">
      <formula>$AA$6&lt;2</formula>
    </cfRule>
  </conditionalFormatting>
  <dataValidations count="5">
    <dataValidation type="list" allowBlank="1" showInputMessage="1" showErrorMessage="1" sqref="F27">
      <formula1>"2022"</formula1>
    </dataValidation>
    <dataValidation type="list" allowBlank="1" showInputMessage="1" showErrorMessage="1" sqref="E27">
      <formula1>"Jan,Feb,Mar,Apr,May,Jun,Jul,Aug,Sep,Oct,Nov,Dec"</formula1>
    </dataValidation>
    <dataValidation type="list" allowBlank="1" showInputMessage="1" showErrorMessage="1" sqref="D27">
      <formula1>"1,2,3,4,5,6,7,8,9,10,11,12,13,14,15,16,17,18,19,20,21,22,23,24,25,26,27,28,29,30,31"</formula1>
    </dataValidation>
    <dataValidation type="list" allowBlank="1" showInputMessage="1" showErrorMessage="1" sqref="D7:G7">
      <formula1>$AB$3</formula1>
    </dataValidation>
    <dataValidation type="list" allowBlank="1" showInputMessage="1" showErrorMessage="1" sqref="D6">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V266"/>
  <sheetViews>
    <sheetView view="pageBreakPreview" topLeftCell="A7" zoomScale="90" zoomScaleNormal="92" zoomScaleSheetLayoutView="90" workbookViewId="0">
      <selection activeCell="G18" sqref="G18"/>
    </sheetView>
  </sheetViews>
  <sheetFormatPr defaultColWidth="9.140625" defaultRowHeight="15.75"/>
  <cols>
    <col min="1" max="1" width="4.7109375" style="526" customWidth="1"/>
    <col min="2" max="2" width="18.7109375" style="526" customWidth="1"/>
    <col min="3" max="3" width="8.5703125" style="526" customWidth="1"/>
    <col min="4" max="4" width="24.85546875" style="528" customWidth="1"/>
    <col min="5" max="5" width="14.42578125" style="526" customWidth="1"/>
    <col min="6" max="6" width="13" style="526" customWidth="1"/>
    <col min="7" max="7" width="17.5703125" style="526" customWidth="1"/>
    <col min="8" max="8" width="12.42578125" style="526" customWidth="1"/>
    <col min="9" max="9" width="17.5703125" style="526" customWidth="1"/>
    <col min="10" max="10" width="64.5703125" style="528" customWidth="1"/>
    <col min="11" max="11" width="7.140625" style="526" customWidth="1"/>
    <col min="12" max="12" width="18.28515625" style="526" customWidth="1"/>
    <col min="13" max="13" width="16.7109375" style="526" customWidth="1"/>
    <col min="14" max="14" width="21.28515625" style="526" customWidth="1"/>
    <col min="15" max="15" width="14" style="526" hidden="1" customWidth="1"/>
    <col min="16" max="16" width="16.85546875" style="526" hidden="1" customWidth="1"/>
    <col min="17" max="17" width="13" style="526" hidden="1" customWidth="1"/>
    <col min="18" max="18" width="20.140625" style="526" hidden="1" customWidth="1"/>
    <col min="19" max="19" width="16.140625" style="526" hidden="1" customWidth="1"/>
    <col min="20" max="20" width="15" style="526" hidden="1" customWidth="1"/>
    <col min="21" max="21" width="9.140625" style="526" hidden="1" customWidth="1"/>
    <col min="22" max="22" width="25.140625" style="526" hidden="1" customWidth="1"/>
    <col min="23" max="23" width="33" style="526" hidden="1" customWidth="1"/>
    <col min="24" max="24" width="19.7109375" style="526" hidden="1" customWidth="1"/>
    <col min="25" max="25" width="14.140625" style="526" hidden="1" customWidth="1"/>
    <col min="26" max="26" width="18.140625" style="526" hidden="1" customWidth="1"/>
    <col min="27" max="27" width="15.5703125" style="526" hidden="1" customWidth="1"/>
    <col min="28" max="28" width="28.85546875" style="526" hidden="1" customWidth="1"/>
    <col min="29" max="30" width="23.42578125" style="526" hidden="1" customWidth="1"/>
    <col min="31" max="31" width="9.140625" style="526" hidden="1" customWidth="1"/>
    <col min="32" max="37" width="9.140625" style="526" customWidth="1"/>
    <col min="38" max="38" width="0.28515625" style="526" customWidth="1"/>
    <col min="39" max="44" width="9.140625" style="526" customWidth="1"/>
    <col min="45" max="16384" width="9.140625" style="526"/>
  </cols>
  <sheetData>
    <row r="1" spans="1:256" ht="22.5" customHeight="1">
      <c r="A1" s="734" t="str">
        <f>Basic!B5</f>
        <v>Spec. No: 5002002280/SUB-STATION(EXCLUDIN/DOM/A06-CC CS -7</v>
      </c>
      <c r="B1" s="735"/>
      <c r="C1" s="735"/>
      <c r="D1" s="736"/>
      <c r="E1" s="735"/>
      <c r="F1" s="735"/>
      <c r="G1" s="735"/>
      <c r="H1" s="735"/>
      <c r="I1" s="735"/>
      <c r="J1" s="352"/>
      <c r="K1" s="735"/>
      <c r="L1" s="735"/>
      <c r="M1" s="735"/>
      <c r="N1" s="735" t="s">
        <v>475</v>
      </c>
    </row>
    <row r="2" spans="1:256">
      <c r="A2" s="4"/>
      <c r="B2" s="4"/>
      <c r="C2" s="4"/>
      <c r="D2" s="352"/>
      <c r="E2" s="4"/>
      <c r="F2" s="4"/>
      <c r="G2" s="4"/>
      <c r="H2" s="4"/>
      <c r="I2" s="4"/>
      <c r="J2" s="352"/>
      <c r="K2" s="4"/>
      <c r="L2" s="4"/>
      <c r="M2" s="4"/>
      <c r="N2" s="4"/>
    </row>
    <row r="3" spans="1:256" ht="88.5" customHeight="1">
      <c r="A3" s="926" t="str">
        <f>Cover!$B$2</f>
        <v>765kV AIS Substation Extension Package (SS-91) under Transmission Network Expansion in Gujarat to increase its ATC from ISTS: Part C.</v>
      </c>
      <c r="B3" s="926"/>
      <c r="C3" s="926"/>
      <c r="D3" s="926"/>
      <c r="E3" s="926"/>
      <c r="F3" s="926"/>
      <c r="G3" s="926"/>
      <c r="H3" s="926"/>
      <c r="I3" s="926"/>
      <c r="J3" s="926"/>
      <c r="K3" s="926"/>
      <c r="L3" s="926"/>
      <c r="M3" s="926"/>
      <c r="N3" s="926"/>
    </row>
    <row r="4" spans="1:256" ht="16.5">
      <c r="A4" s="927" t="s">
        <v>0</v>
      </c>
      <c r="B4" s="927"/>
      <c r="C4" s="927"/>
      <c r="D4" s="927"/>
      <c r="E4" s="927"/>
      <c r="F4" s="927"/>
      <c r="G4" s="927"/>
      <c r="H4" s="927"/>
      <c r="I4" s="927"/>
      <c r="J4" s="927"/>
      <c r="K4" s="927"/>
      <c r="L4" s="927"/>
      <c r="M4" s="927"/>
      <c r="N4" s="927"/>
    </row>
    <row r="5" spans="1:256" s="738" customFormat="1" ht="27" customHeight="1">
      <c r="A5" s="737"/>
      <c r="B5" s="737"/>
      <c r="C5" s="737"/>
      <c r="D5" s="737"/>
      <c r="E5" s="737"/>
      <c r="F5" s="737"/>
      <c r="G5" s="737"/>
      <c r="H5" s="737"/>
      <c r="I5" s="737"/>
      <c r="J5" s="737"/>
      <c r="K5" s="737"/>
      <c r="L5" s="737"/>
      <c r="M5" s="737"/>
      <c r="N5" s="737"/>
    </row>
    <row r="6" spans="1:256" ht="23.25" customHeight="1">
      <c r="A6" s="928" t="s">
        <v>350</v>
      </c>
      <c r="B6" s="928"/>
      <c r="C6" s="4"/>
      <c r="D6" s="352"/>
      <c r="E6" s="4"/>
      <c r="F6" s="4"/>
      <c r="G6" s="4"/>
      <c r="H6" s="4"/>
      <c r="I6" s="4"/>
      <c r="J6" s="352"/>
      <c r="K6" s="4"/>
      <c r="L6" s="4"/>
      <c r="M6" s="4"/>
      <c r="N6" s="4"/>
    </row>
    <row r="7" spans="1:256" ht="24" customHeight="1">
      <c r="A7" s="933">
        <f>IF(Z7=1,Z8,"JOINT VENTURE OF "&amp;Z8&amp;" &amp; "&amp;Z9)</f>
        <v>0</v>
      </c>
      <c r="B7" s="933"/>
      <c r="C7" s="933"/>
      <c r="D7" s="933"/>
      <c r="E7" s="933"/>
      <c r="F7" s="933"/>
      <c r="G7" s="933"/>
      <c r="H7" s="933"/>
      <c r="I7" s="933"/>
      <c r="J7" s="739"/>
      <c r="K7" s="450" t="s">
        <v>1</v>
      </c>
      <c r="L7" s="740"/>
      <c r="N7" s="4"/>
      <c r="Z7" s="526">
        <f>'Names of Bidder'!K6</f>
        <v>1</v>
      </c>
    </row>
    <row r="8" spans="1:256" ht="24" customHeight="1">
      <c r="A8" s="929" t="str">
        <f>"Bidder’s Name and Address  (" &amp; MID('Names of Bidder'!B9,9, 20) &amp; ") :"</f>
        <v>Bidder’s Name and Address  (Sole Bidder) :</v>
      </c>
      <c r="B8" s="929"/>
      <c r="C8" s="929"/>
      <c r="D8" s="929"/>
      <c r="E8" s="929"/>
      <c r="F8" s="929"/>
      <c r="G8" s="929"/>
      <c r="H8" s="531"/>
      <c r="I8" s="531"/>
      <c r="J8" s="531"/>
      <c r="K8" s="451" t="s">
        <v>2</v>
      </c>
      <c r="L8" s="531"/>
      <c r="N8" s="4"/>
      <c r="U8" s="741"/>
      <c r="Z8" s="935">
        <f>'Names of Bidder'!D9</f>
        <v>0</v>
      </c>
      <c r="AA8" s="935"/>
      <c r="AB8" s="935"/>
      <c r="AC8" s="935"/>
      <c r="AD8" s="935"/>
      <c r="AE8" s="935"/>
      <c r="AF8" s="935"/>
      <c r="AG8" s="935"/>
      <c r="AH8" s="935"/>
      <c r="AI8" s="935"/>
      <c r="AJ8" s="935"/>
      <c r="AK8" s="935"/>
      <c r="AL8" s="935"/>
    </row>
    <row r="9" spans="1:256" ht="24" customHeight="1">
      <c r="A9" s="742" t="s">
        <v>12</v>
      </c>
      <c r="B9" s="743"/>
      <c r="C9" s="932" t="str">
        <f>IF('Names of Bidder'!D9=0, "", 'Names of Bidder'!D9)</f>
        <v/>
      </c>
      <c r="D9" s="932"/>
      <c r="E9" s="932"/>
      <c r="F9" s="932"/>
      <c r="G9" s="932"/>
      <c r="H9" s="439"/>
      <c r="I9" s="439"/>
      <c r="J9" s="744"/>
      <c r="K9" s="451" t="s">
        <v>3</v>
      </c>
      <c r="N9" s="4"/>
      <c r="U9" s="741"/>
      <c r="Z9" s="935">
        <f>'Names of Bidder'!D14</f>
        <v>0</v>
      </c>
      <c r="AA9" s="935"/>
      <c r="AB9" s="935"/>
      <c r="AC9" s="935"/>
      <c r="AD9" s="935"/>
      <c r="AE9" s="935"/>
      <c r="AF9" s="935"/>
      <c r="AG9" s="935"/>
      <c r="AH9" s="935"/>
      <c r="AI9" s="935"/>
      <c r="AJ9" s="935"/>
      <c r="AK9" s="935"/>
      <c r="AL9" s="935"/>
    </row>
    <row r="10" spans="1:256" ht="24" customHeight="1">
      <c r="A10" s="742" t="s">
        <v>11</v>
      </c>
      <c r="B10" s="743"/>
      <c r="C10" s="931" t="str">
        <f>IF('Names of Bidder'!D10=0, "", 'Names of Bidder'!D10)</f>
        <v/>
      </c>
      <c r="D10" s="931"/>
      <c r="E10" s="931"/>
      <c r="F10" s="931"/>
      <c r="G10" s="931"/>
      <c r="H10" s="439"/>
      <c r="I10" s="439"/>
      <c r="J10" s="744"/>
      <c r="K10" s="451" t="s">
        <v>4</v>
      </c>
      <c r="N10" s="4"/>
      <c r="Z10" s="935" t="str">
        <f>"JOINT VENTURE OF "&amp;Z8&amp;" &amp; "&amp;Z9</f>
        <v>JOINT VENTURE OF 0 &amp; 0</v>
      </c>
      <c r="AA10" s="935"/>
      <c r="AB10" s="935"/>
      <c r="AC10" s="935"/>
      <c r="AD10" s="935"/>
      <c r="AE10" s="935"/>
      <c r="AF10" s="935"/>
      <c r="AG10" s="935"/>
      <c r="AH10" s="935"/>
      <c r="AI10" s="935"/>
      <c r="AJ10" s="935"/>
      <c r="AK10" s="935"/>
      <c r="AL10" s="935"/>
    </row>
    <row r="11" spans="1:256" ht="24" customHeight="1">
      <c r="A11" s="439"/>
      <c r="B11" s="439"/>
      <c r="C11" s="931" t="str">
        <f>IF('Names of Bidder'!D11=0, "", 'Names of Bidder'!D11)</f>
        <v/>
      </c>
      <c r="D11" s="931"/>
      <c r="E11" s="931"/>
      <c r="F11" s="931"/>
      <c r="G11" s="931"/>
      <c r="H11" s="439"/>
      <c r="I11" s="439"/>
      <c r="J11" s="744"/>
      <c r="K11" s="451" t="s">
        <v>5</v>
      </c>
      <c r="N11" s="4"/>
    </row>
    <row r="12" spans="1:256" ht="24" customHeight="1">
      <c r="A12" s="439"/>
      <c r="B12" s="439"/>
      <c r="C12" s="931" t="str">
        <f>IF('Names of Bidder'!D12=0, "", 'Names of Bidder'!D12)</f>
        <v/>
      </c>
      <c r="D12" s="931"/>
      <c r="E12" s="931"/>
      <c r="F12" s="931"/>
      <c r="G12" s="931"/>
      <c r="H12" s="439"/>
      <c r="I12" s="439"/>
      <c r="J12" s="744"/>
      <c r="K12" s="451" t="s">
        <v>6</v>
      </c>
      <c r="N12" s="4"/>
    </row>
    <row r="13" spans="1:256" s="745" customFormat="1" ht="26.25" customHeight="1">
      <c r="A13" s="934" t="s">
        <v>307</v>
      </c>
      <c r="B13" s="934"/>
      <c r="C13" s="934"/>
      <c r="D13" s="934"/>
      <c r="E13" s="934"/>
      <c r="F13" s="934"/>
      <c r="G13" s="934"/>
      <c r="H13" s="934"/>
      <c r="I13" s="934"/>
      <c r="J13" s="934"/>
      <c r="K13" s="934"/>
      <c r="L13" s="934"/>
      <c r="M13" s="934"/>
      <c r="N13" s="934"/>
    </row>
    <row r="14" spans="1:256" ht="15.75" customHeight="1">
      <c r="A14" s="4"/>
      <c r="B14" s="4"/>
      <c r="C14" s="4"/>
      <c r="D14" s="352"/>
      <c r="E14" s="4"/>
      <c r="F14" s="4"/>
      <c r="G14" s="4"/>
      <c r="H14" s="4"/>
      <c r="I14" s="4"/>
      <c r="J14" s="352"/>
      <c r="K14" s="930" t="s">
        <v>355</v>
      </c>
      <c r="L14" s="930"/>
      <c r="M14" s="930"/>
      <c r="N14" s="930"/>
    </row>
    <row r="15" spans="1:256" ht="122.25" customHeight="1">
      <c r="A15" s="391" t="s">
        <v>7</v>
      </c>
      <c r="B15" s="391" t="s">
        <v>266</v>
      </c>
      <c r="C15" s="391" t="s">
        <v>278</v>
      </c>
      <c r="D15" s="391" t="s">
        <v>280</v>
      </c>
      <c r="E15" s="391" t="s">
        <v>13</v>
      </c>
      <c r="F15" s="391" t="s">
        <v>308</v>
      </c>
      <c r="G15" s="391" t="s">
        <v>311</v>
      </c>
      <c r="H15" s="391" t="s">
        <v>314</v>
      </c>
      <c r="I15" s="391" t="s">
        <v>312</v>
      </c>
      <c r="J15" s="391" t="s">
        <v>8</v>
      </c>
      <c r="K15" s="16" t="s">
        <v>9</v>
      </c>
      <c r="L15" s="16" t="s">
        <v>10</v>
      </c>
      <c r="M15" s="391" t="s">
        <v>354</v>
      </c>
      <c r="N15" s="391" t="s">
        <v>353</v>
      </c>
    </row>
    <row r="16" spans="1:256" s="746" customFormat="1">
      <c r="A16" s="583">
        <v>1</v>
      </c>
      <c r="B16" s="583">
        <v>2</v>
      </c>
      <c r="C16" s="583">
        <v>3</v>
      </c>
      <c r="D16" s="584">
        <v>4</v>
      </c>
      <c r="E16" s="583">
        <v>5</v>
      </c>
      <c r="F16" s="583">
        <v>6</v>
      </c>
      <c r="G16" s="583">
        <v>7</v>
      </c>
      <c r="H16" s="583">
        <v>8</v>
      </c>
      <c r="I16" s="583">
        <v>9</v>
      </c>
      <c r="J16" s="584">
        <v>10</v>
      </c>
      <c r="K16" s="583">
        <v>11</v>
      </c>
      <c r="L16" s="583">
        <v>12</v>
      </c>
      <c r="M16" s="583">
        <v>13</v>
      </c>
      <c r="N16" s="583" t="s">
        <v>352</v>
      </c>
      <c r="IV16" s="746">
        <f>SUM(A16:IU16)</f>
        <v>91</v>
      </c>
    </row>
    <row r="17" spans="1:30" s="869" customFormat="1" ht="33.75" customHeight="1">
      <c r="A17" s="862"/>
      <c r="B17" s="863" t="s">
        <v>662</v>
      </c>
      <c r="C17" s="864"/>
      <c r="D17" s="865"/>
      <c r="E17" s="865"/>
      <c r="F17" s="865"/>
      <c r="G17" s="865"/>
      <c r="H17" s="865"/>
      <c r="I17" s="865"/>
      <c r="J17" s="865"/>
      <c r="K17" s="865"/>
      <c r="L17" s="865"/>
      <c r="M17" s="865"/>
      <c r="N17" s="865"/>
      <c r="O17" s="866"/>
      <c r="P17" s="866"/>
      <c r="Q17" s="867"/>
      <c r="R17" s="867"/>
      <c r="S17" s="867"/>
      <c r="T17" s="868"/>
      <c r="V17" s="869" t="s">
        <v>511</v>
      </c>
      <c r="W17" s="870" t="s">
        <v>519</v>
      </c>
      <c r="X17" s="871" t="s">
        <v>512</v>
      </c>
      <c r="Y17" s="869" t="s">
        <v>513</v>
      </c>
      <c r="Z17" s="869" t="s">
        <v>514</v>
      </c>
      <c r="AA17" s="869" t="s">
        <v>515</v>
      </c>
      <c r="AB17" s="870" t="s">
        <v>516</v>
      </c>
      <c r="AC17" s="870" t="s">
        <v>517</v>
      </c>
      <c r="AD17" s="870" t="s">
        <v>518</v>
      </c>
    </row>
    <row r="18" spans="1:30" ht="31.5">
      <c r="A18" s="759">
        <v>1</v>
      </c>
      <c r="B18" s="529">
        <v>7000016907</v>
      </c>
      <c r="C18" s="529">
        <v>10</v>
      </c>
      <c r="D18" s="529" t="s">
        <v>663</v>
      </c>
      <c r="E18" s="529">
        <v>1000005826</v>
      </c>
      <c r="F18" s="529">
        <v>85352919</v>
      </c>
      <c r="G18" s="716"/>
      <c r="H18" s="529">
        <v>18</v>
      </c>
      <c r="I18" s="541"/>
      <c r="J18" s="715" t="s">
        <v>677</v>
      </c>
      <c r="K18" s="529" t="s">
        <v>299</v>
      </c>
      <c r="L18" s="529">
        <v>1</v>
      </c>
      <c r="M18" s="717"/>
      <c r="N18" s="530" t="str">
        <f t="shared" ref="N18:N91" si="0">IF(M18=0, "INCLUDED", IF(ISERROR(M18*L18), M18, M18*L18))</f>
        <v>INCLUDED</v>
      </c>
      <c r="O18" s="747">
        <f t="shared" ref="O18:O91" si="1">IF(N18="Included",0,N18)</f>
        <v>0</v>
      </c>
      <c r="P18" s="747">
        <f t="shared" ref="P18:P91" si="2">IF( I18="",H18*(IF(N18="Included",0,N18))/100,I18*(IF(N18="Included",0,N18)))</f>
        <v>0</v>
      </c>
      <c r="Q18" s="748">
        <f>Discount!$H$36</f>
        <v>0</v>
      </c>
      <c r="R18" s="748">
        <f t="shared" ref="R18:R91" si="3">Q18*O18</f>
        <v>0</v>
      </c>
      <c r="S18" s="748">
        <f t="shared" ref="S18:S91" si="4">IF(I18="",H18*R18/100,I18*R18)</f>
        <v>0</v>
      </c>
      <c r="T18" s="749">
        <f t="shared" ref="T18:T91" si="5">M18*L18</f>
        <v>0</v>
      </c>
      <c r="V18" s="850">
        <f>ROUND(M18,2)</f>
        <v>0</v>
      </c>
      <c r="W18" s="749">
        <f>L18*V18</f>
        <v>0</v>
      </c>
      <c r="X18" s="749">
        <f>IF(I18="",H18/100,I18)</f>
        <v>0.18</v>
      </c>
      <c r="Y18" s="749">
        <f>IF(X18=0.12,0.12,0)</f>
        <v>0</v>
      </c>
      <c r="Z18" s="749">
        <f>IF(X18=0.18,0.18,0)</f>
        <v>0.18</v>
      </c>
      <c r="AA18" s="749">
        <f>IF(X18=0.28,0.28,0)</f>
        <v>0</v>
      </c>
      <c r="AB18" s="526">
        <f>W18*Y18</f>
        <v>0</v>
      </c>
      <c r="AC18" s="526">
        <f>W18*Z18</f>
        <v>0</v>
      </c>
      <c r="AD18" s="526">
        <f>W18*AA18</f>
        <v>0</v>
      </c>
    </row>
    <row r="19" spans="1:30" ht="31.5">
      <c r="A19" s="759">
        <v>2</v>
      </c>
      <c r="B19" s="529">
        <v>7000016907</v>
      </c>
      <c r="C19" s="529">
        <v>20</v>
      </c>
      <c r="D19" s="529" t="s">
        <v>663</v>
      </c>
      <c r="E19" s="529">
        <v>1000005848</v>
      </c>
      <c r="F19" s="529">
        <v>85359090</v>
      </c>
      <c r="G19" s="716"/>
      <c r="H19" s="529">
        <v>18</v>
      </c>
      <c r="I19" s="541"/>
      <c r="J19" s="715" t="s">
        <v>678</v>
      </c>
      <c r="K19" s="529" t="s">
        <v>299</v>
      </c>
      <c r="L19" s="529">
        <v>3</v>
      </c>
      <c r="M19" s="717"/>
      <c r="N19" s="530" t="str">
        <f t="shared" si="0"/>
        <v>INCLUDED</v>
      </c>
      <c r="O19" s="747">
        <f t="shared" si="1"/>
        <v>0</v>
      </c>
      <c r="P19" s="747">
        <f t="shared" si="2"/>
        <v>0</v>
      </c>
      <c r="Q19" s="748">
        <f>Discount!$H$36</f>
        <v>0</v>
      </c>
      <c r="R19" s="748">
        <f t="shared" si="3"/>
        <v>0</v>
      </c>
      <c r="S19" s="748">
        <f t="shared" si="4"/>
        <v>0</v>
      </c>
      <c r="T19" s="749">
        <f t="shared" si="5"/>
        <v>0</v>
      </c>
      <c r="V19" s="850">
        <f t="shared" ref="V19:V91" si="6">ROUND(M19,2)</f>
        <v>0</v>
      </c>
      <c r="W19" s="749">
        <f t="shared" ref="W19:W91" si="7">L19*V19</f>
        <v>0</v>
      </c>
      <c r="X19" s="749">
        <f t="shared" ref="X19:X91" si="8">IF(I19="",H19/100,I19)</f>
        <v>0.18</v>
      </c>
      <c r="Y19" s="749">
        <f t="shared" ref="Y19:Y91" si="9">IF(X19=0.12,0.12,0)</f>
        <v>0</v>
      </c>
      <c r="Z19" s="749">
        <f t="shared" ref="Z19:Z91" si="10">IF(X19=0.18,0.18,0)</f>
        <v>0.18</v>
      </c>
      <c r="AA19" s="749">
        <f t="shared" ref="AA19:AA91" si="11">IF(X19=0.28,0.28,0)</f>
        <v>0</v>
      </c>
      <c r="AB19" s="526">
        <f t="shared" ref="AB19:AB91" si="12">W19*Y19</f>
        <v>0</v>
      </c>
      <c r="AC19" s="526">
        <f t="shared" ref="AC19:AC91" si="13">W19*Z19</f>
        <v>0</v>
      </c>
      <c r="AD19" s="526">
        <f t="shared" ref="AD19:AD91" si="14">W19*AA19</f>
        <v>0</v>
      </c>
    </row>
    <row r="20" spans="1:30" ht="31.5">
      <c r="A20" s="759">
        <v>3</v>
      </c>
      <c r="B20" s="529">
        <v>7000016907</v>
      </c>
      <c r="C20" s="529">
        <v>30</v>
      </c>
      <c r="D20" s="529" t="s">
        <v>663</v>
      </c>
      <c r="E20" s="529">
        <v>1000005853</v>
      </c>
      <c r="F20" s="529">
        <v>85353090</v>
      </c>
      <c r="G20" s="716"/>
      <c r="H20" s="529">
        <v>18</v>
      </c>
      <c r="I20" s="541"/>
      <c r="J20" s="715" t="s">
        <v>679</v>
      </c>
      <c r="K20" s="529" t="s">
        <v>299</v>
      </c>
      <c r="L20" s="529">
        <v>1</v>
      </c>
      <c r="M20" s="717"/>
      <c r="N20" s="530" t="str">
        <f t="shared" si="0"/>
        <v>INCLUDED</v>
      </c>
      <c r="O20" s="747">
        <f t="shared" si="1"/>
        <v>0</v>
      </c>
      <c r="P20" s="747">
        <f t="shared" si="2"/>
        <v>0</v>
      </c>
      <c r="Q20" s="748">
        <f>Discount!$H$36</f>
        <v>0</v>
      </c>
      <c r="R20" s="748">
        <f t="shared" si="3"/>
        <v>0</v>
      </c>
      <c r="S20" s="748">
        <f t="shared" si="4"/>
        <v>0</v>
      </c>
      <c r="T20" s="749">
        <f t="shared" si="5"/>
        <v>0</v>
      </c>
      <c r="V20" s="850">
        <f t="shared" si="6"/>
        <v>0</v>
      </c>
      <c r="W20" s="749">
        <f t="shared" si="7"/>
        <v>0</v>
      </c>
      <c r="X20" s="749">
        <f t="shared" si="8"/>
        <v>0.18</v>
      </c>
      <c r="Y20" s="749">
        <f t="shared" si="9"/>
        <v>0</v>
      </c>
      <c r="Z20" s="749">
        <f t="shared" si="10"/>
        <v>0.18</v>
      </c>
      <c r="AA20" s="749">
        <f t="shared" si="11"/>
        <v>0</v>
      </c>
      <c r="AB20" s="526">
        <f t="shared" si="12"/>
        <v>0</v>
      </c>
      <c r="AC20" s="526">
        <f t="shared" si="13"/>
        <v>0</v>
      </c>
      <c r="AD20" s="526">
        <f t="shared" si="14"/>
        <v>0</v>
      </c>
    </row>
    <row r="21" spans="1:30" ht="31.5">
      <c r="A21" s="759">
        <v>4</v>
      </c>
      <c r="B21" s="529">
        <v>7000016907</v>
      </c>
      <c r="C21" s="529">
        <v>40</v>
      </c>
      <c r="D21" s="529" t="s">
        <v>663</v>
      </c>
      <c r="E21" s="529">
        <v>1000005843</v>
      </c>
      <c r="F21" s="529">
        <v>85353090</v>
      </c>
      <c r="G21" s="716"/>
      <c r="H21" s="529">
        <v>18</v>
      </c>
      <c r="I21" s="541"/>
      <c r="J21" s="715" t="s">
        <v>680</v>
      </c>
      <c r="K21" s="529" t="s">
        <v>299</v>
      </c>
      <c r="L21" s="529">
        <v>6</v>
      </c>
      <c r="M21" s="717"/>
      <c r="N21" s="530" t="str">
        <f t="shared" si="0"/>
        <v>INCLUDED</v>
      </c>
      <c r="O21" s="747">
        <f t="shared" si="1"/>
        <v>0</v>
      </c>
      <c r="P21" s="747">
        <f t="shared" si="2"/>
        <v>0</v>
      </c>
      <c r="Q21" s="748">
        <f>Discount!$H$36</f>
        <v>0</v>
      </c>
      <c r="R21" s="748">
        <f t="shared" si="3"/>
        <v>0</v>
      </c>
      <c r="S21" s="748">
        <f t="shared" si="4"/>
        <v>0</v>
      </c>
      <c r="T21" s="749">
        <f t="shared" si="5"/>
        <v>0</v>
      </c>
      <c r="V21" s="850">
        <f t="shared" si="6"/>
        <v>0</v>
      </c>
      <c r="W21" s="749">
        <f t="shared" si="7"/>
        <v>0</v>
      </c>
      <c r="X21" s="749">
        <f t="shared" si="8"/>
        <v>0.18</v>
      </c>
      <c r="Y21" s="749">
        <f t="shared" si="9"/>
        <v>0</v>
      </c>
      <c r="Z21" s="749">
        <f t="shared" si="10"/>
        <v>0.18</v>
      </c>
      <c r="AA21" s="749">
        <f t="shared" si="11"/>
        <v>0</v>
      </c>
      <c r="AB21" s="526">
        <f t="shared" si="12"/>
        <v>0</v>
      </c>
      <c r="AC21" s="526">
        <f t="shared" si="13"/>
        <v>0</v>
      </c>
      <c r="AD21" s="526">
        <f t="shared" si="14"/>
        <v>0</v>
      </c>
    </row>
    <row r="22" spans="1:30" ht="31.5">
      <c r="A22" s="759">
        <v>5</v>
      </c>
      <c r="B22" s="529">
        <v>7000016907</v>
      </c>
      <c r="C22" s="529">
        <v>50</v>
      </c>
      <c r="D22" s="529" t="s">
        <v>663</v>
      </c>
      <c r="E22" s="529">
        <v>1000005798</v>
      </c>
      <c r="F22" s="529">
        <v>85353090</v>
      </c>
      <c r="G22" s="716"/>
      <c r="H22" s="529">
        <v>18</v>
      </c>
      <c r="I22" s="541"/>
      <c r="J22" s="715" t="s">
        <v>681</v>
      </c>
      <c r="K22" s="529" t="s">
        <v>299</v>
      </c>
      <c r="L22" s="529">
        <v>3</v>
      </c>
      <c r="M22" s="717"/>
      <c r="N22" s="530" t="str">
        <f t="shared" si="0"/>
        <v>INCLUDED</v>
      </c>
      <c r="O22" s="747">
        <f t="shared" si="1"/>
        <v>0</v>
      </c>
      <c r="P22" s="747">
        <f t="shared" si="2"/>
        <v>0</v>
      </c>
      <c r="Q22" s="748">
        <f>Discount!$H$36</f>
        <v>0</v>
      </c>
      <c r="R22" s="748">
        <f t="shared" si="3"/>
        <v>0</v>
      </c>
      <c r="S22" s="748">
        <f t="shared" si="4"/>
        <v>0</v>
      </c>
      <c r="T22" s="749">
        <f t="shared" si="5"/>
        <v>0</v>
      </c>
      <c r="V22" s="850">
        <f t="shared" si="6"/>
        <v>0</v>
      </c>
      <c r="W22" s="749">
        <f t="shared" si="7"/>
        <v>0</v>
      </c>
      <c r="X22" s="749">
        <f t="shared" si="8"/>
        <v>0.18</v>
      </c>
      <c r="Y22" s="749">
        <f t="shared" si="9"/>
        <v>0</v>
      </c>
      <c r="Z22" s="749">
        <f t="shared" si="10"/>
        <v>0.18</v>
      </c>
      <c r="AA22" s="749">
        <f t="shared" si="11"/>
        <v>0</v>
      </c>
      <c r="AB22" s="526">
        <f t="shared" si="12"/>
        <v>0</v>
      </c>
      <c r="AC22" s="526">
        <f t="shared" si="13"/>
        <v>0</v>
      </c>
      <c r="AD22" s="526">
        <f t="shared" si="14"/>
        <v>0</v>
      </c>
    </row>
    <row r="23" spans="1:30" ht="31.5">
      <c r="A23" s="759">
        <v>6</v>
      </c>
      <c r="B23" s="529">
        <v>7000016907</v>
      </c>
      <c r="C23" s="529">
        <v>60</v>
      </c>
      <c r="D23" s="529" t="s">
        <v>663</v>
      </c>
      <c r="E23" s="529">
        <v>1000020421</v>
      </c>
      <c r="F23" s="529">
        <v>85354010</v>
      </c>
      <c r="G23" s="716"/>
      <c r="H23" s="529">
        <v>18</v>
      </c>
      <c r="I23" s="541"/>
      <c r="J23" s="715" t="s">
        <v>682</v>
      </c>
      <c r="K23" s="529" t="s">
        <v>299</v>
      </c>
      <c r="L23" s="529">
        <v>3</v>
      </c>
      <c r="M23" s="717"/>
      <c r="N23" s="530" t="str">
        <f t="shared" si="0"/>
        <v>INCLUDED</v>
      </c>
      <c r="O23" s="747">
        <f t="shared" si="1"/>
        <v>0</v>
      </c>
      <c r="P23" s="747">
        <f t="shared" si="2"/>
        <v>0</v>
      </c>
      <c r="Q23" s="748">
        <f>Discount!$H$36</f>
        <v>0</v>
      </c>
      <c r="R23" s="748">
        <f t="shared" si="3"/>
        <v>0</v>
      </c>
      <c r="S23" s="748">
        <f t="shared" si="4"/>
        <v>0</v>
      </c>
      <c r="T23" s="749">
        <f t="shared" si="5"/>
        <v>0</v>
      </c>
      <c r="V23" s="850">
        <f t="shared" si="6"/>
        <v>0</v>
      </c>
      <c r="W23" s="749">
        <f t="shared" si="7"/>
        <v>0</v>
      </c>
      <c r="X23" s="749">
        <f t="shared" si="8"/>
        <v>0.18</v>
      </c>
      <c r="Y23" s="749">
        <f t="shared" si="9"/>
        <v>0</v>
      </c>
      <c r="Z23" s="749">
        <f t="shared" si="10"/>
        <v>0.18</v>
      </c>
      <c r="AA23" s="749">
        <f t="shared" si="11"/>
        <v>0</v>
      </c>
      <c r="AB23" s="526">
        <f t="shared" si="12"/>
        <v>0</v>
      </c>
      <c r="AC23" s="526">
        <f t="shared" si="13"/>
        <v>0</v>
      </c>
      <c r="AD23" s="526">
        <f t="shared" si="14"/>
        <v>0</v>
      </c>
    </row>
    <row r="24" spans="1:30" ht="31.5">
      <c r="A24" s="759">
        <v>7</v>
      </c>
      <c r="B24" s="529">
        <v>7000016907</v>
      </c>
      <c r="C24" s="529">
        <v>70</v>
      </c>
      <c r="D24" s="529" t="s">
        <v>663</v>
      </c>
      <c r="E24" s="529">
        <v>1000005791</v>
      </c>
      <c r="F24" s="529">
        <v>85462040</v>
      </c>
      <c r="G24" s="716"/>
      <c r="H24" s="529">
        <v>18</v>
      </c>
      <c r="I24" s="541"/>
      <c r="J24" s="715" t="s">
        <v>683</v>
      </c>
      <c r="K24" s="529" t="s">
        <v>299</v>
      </c>
      <c r="L24" s="529">
        <v>3</v>
      </c>
      <c r="M24" s="717"/>
      <c r="N24" s="530" t="str">
        <f t="shared" si="0"/>
        <v>INCLUDED</v>
      </c>
      <c r="O24" s="747">
        <f t="shared" si="1"/>
        <v>0</v>
      </c>
      <c r="P24" s="747">
        <f t="shared" si="2"/>
        <v>0</v>
      </c>
      <c r="Q24" s="748">
        <f>Discount!$H$36</f>
        <v>0</v>
      </c>
      <c r="R24" s="748">
        <f t="shared" si="3"/>
        <v>0</v>
      </c>
      <c r="S24" s="748">
        <f t="shared" si="4"/>
        <v>0</v>
      </c>
      <c r="T24" s="749">
        <f t="shared" si="5"/>
        <v>0</v>
      </c>
      <c r="V24" s="850">
        <f t="shared" si="6"/>
        <v>0</v>
      </c>
      <c r="W24" s="749">
        <f t="shared" si="7"/>
        <v>0</v>
      </c>
      <c r="X24" s="749">
        <f t="shared" si="8"/>
        <v>0.18</v>
      </c>
      <c r="Y24" s="749">
        <f t="shared" si="9"/>
        <v>0</v>
      </c>
      <c r="Z24" s="749">
        <f t="shared" si="10"/>
        <v>0.18</v>
      </c>
      <c r="AA24" s="749">
        <f t="shared" si="11"/>
        <v>0</v>
      </c>
      <c r="AB24" s="526">
        <f t="shared" si="12"/>
        <v>0</v>
      </c>
      <c r="AC24" s="526">
        <f t="shared" si="13"/>
        <v>0</v>
      </c>
      <c r="AD24" s="526">
        <f t="shared" si="14"/>
        <v>0</v>
      </c>
    </row>
    <row r="25" spans="1:30" ht="31.5">
      <c r="A25" s="759">
        <v>8</v>
      </c>
      <c r="B25" s="529">
        <v>7000016907</v>
      </c>
      <c r="C25" s="529">
        <v>80</v>
      </c>
      <c r="D25" s="529" t="s">
        <v>581</v>
      </c>
      <c r="E25" s="529">
        <v>1000004401</v>
      </c>
      <c r="F25" s="529">
        <v>85462040</v>
      </c>
      <c r="G25" s="716"/>
      <c r="H25" s="529">
        <v>18</v>
      </c>
      <c r="I25" s="541"/>
      <c r="J25" s="715" t="s">
        <v>532</v>
      </c>
      <c r="K25" s="529" t="s">
        <v>299</v>
      </c>
      <c r="L25" s="529">
        <v>60</v>
      </c>
      <c r="M25" s="717"/>
      <c r="N25" s="530" t="str">
        <f t="shared" si="0"/>
        <v>INCLUDED</v>
      </c>
      <c r="O25" s="747">
        <f t="shared" si="1"/>
        <v>0</v>
      </c>
      <c r="P25" s="747">
        <f t="shared" si="2"/>
        <v>0</v>
      </c>
      <c r="Q25" s="748">
        <f>Discount!$H$36</f>
        <v>0</v>
      </c>
      <c r="R25" s="748">
        <f t="shared" si="3"/>
        <v>0</v>
      </c>
      <c r="S25" s="748">
        <f t="shared" si="4"/>
        <v>0</v>
      </c>
      <c r="T25" s="749">
        <f t="shared" si="5"/>
        <v>0</v>
      </c>
      <c r="V25" s="850">
        <f t="shared" si="6"/>
        <v>0</v>
      </c>
      <c r="W25" s="749">
        <f t="shared" si="7"/>
        <v>0</v>
      </c>
      <c r="X25" s="749">
        <f t="shared" si="8"/>
        <v>0.18</v>
      </c>
      <c r="Y25" s="749">
        <f t="shared" si="9"/>
        <v>0</v>
      </c>
      <c r="Z25" s="749">
        <f t="shared" si="10"/>
        <v>0.18</v>
      </c>
      <c r="AA25" s="749">
        <f t="shared" si="11"/>
        <v>0</v>
      </c>
      <c r="AB25" s="526">
        <f t="shared" si="12"/>
        <v>0</v>
      </c>
      <c r="AC25" s="526">
        <f t="shared" si="13"/>
        <v>0</v>
      </c>
      <c r="AD25" s="526">
        <f t="shared" si="14"/>
        <v>0</v>
      </c>
    </row>
    <row r="26" spans="1:30" ht="31.5">
      <c r="A26" s="759">
        <v>9</v>
      </c>
      <c r="B26" s="529">
        <v>7000016907</v>
      </c>
      <c r="C26" s="529">
        <v>90</v>
      </c>
      <c r="D26" s="529" t="s">
        <v>581</v>
      </c>
      <c r="E26" s="529">
        <v>1000020419</v>
      </c>
      <c r="F26" s="529">
        <v>85354010</v>
      </c>
      <c r="G26" s="716"/>
      <c r="H26" s="529">
        <v>18</v>
      </c>
      <c r="I26" s="541"/>
      <c r="J26" s="715" t="s">
        <v>531</v>
      </c>
      <c r="K26" s="529" t="s">
        <v>299</v>
      </c>
      <c r="L26" s="529">
        <v>9</v>
      </c>
      <c r="M26" s="717"/>
      <c r="N26" s="530" t="str">
        <f t="shared" si="0"/>
        <v>INCLUDED</v>
      </c>
      <c r="O26" s="747">
        <f t="shared" si="1"/>
        <v>0</v>
      </c>
      <c r="P26" s="747">
        <f t="shared" si="2"/>
        <v>0</v>
      </c>
      <c r="Q26" s="748">
        <f>Discount!$H$36</f>
        <v>0</v>
      </c>
      <c r="R26" s="748">
        <f t="shared" si="3"/>
        <v>0</v>
      </c>
      <c r="S26" s="748">
        <f t="shared" si="4"/>
        <v>0</v>
      </c>
      <c r="T26" s="749">
        <f t="shared" si="5"/>
        <v>0</v>
      </c>
      <c r="V26" s="850">
        <f t="shared" si="6"/>
        <v>0</v>
      </c>
      <c r="W26" s="749">
        <f t="shared" si="7"/>
        <v>0</v>
      </c>
      <c r="X26" s="749">
        <f t="shared" si="8"/>
        <v>0.18</v>
      </c>
      <c r="Y26" s="749">
        <f t="shared" si="9"/>
        <v>0</v>
      </c>
      <c r="Z26" s="749">
        <f t="shared" si="10"/>
        <v>0.18</v>
      </c>
      <c r="AA26" s="749">
        <f t="shared" si="11"/>
        <v>0</v>
      </c>
      <c r="AB26" s="526">
        <f t="shared" si="12"/>
        <v>0</v>
      </c>
      <c r="AC26" s="526">
        <f t="shared" si="13"/>
        <v>0</v>
      </c>
      <c r="AD26" s="526">
        <f t="shared" si="14"/>
        <v>0</v>
      </c>
    </row>
    <row r="27" spans="1:30" ht="31.5">
      <c r="A27" s="759">
        <v>10</v>
      </c>
      <c r="B27" s="529">
        <v>7000016907</v>
      </c>
      <c r="C27" s="529">
        <v>100</v>
      </c>
      <c r="D27" s="529" t="s">
        <v>581</v>
      </c>
      <c r="E27" s="529">
        <v>1000004495</v>
      </c>
      <c r="F27" s="529">
        <v>85353090</v>
      </c>
      <c r="G27" s="716"/>
      <c r="H27" s="529">
        <v>18</v>
      </c>
      <c r="I27" s="541"/>
      <c r="J27" s="715" t="s">
        <v>684</v>
      </c>
      <c r="K27" s="529" t="s">
        <v>299</v>
      </c>
      <c r="L27" s="529">
        <v>3</v>
      </c>
      <c r="M27" s="717"/>
      <c r="N27" s="530" t="str">
        <f t="shared" si="0"/>
        <v>INCLUDED</v>
      </c>
      <c r="O27" s="747">
        <f t="shared" si="1"/>
        <v>0</v>
      </c>
      <c r="P27" s="747">
        <f t="shared" si="2"/>
        <v>0</v>
      </c>
      <c r="Q27" s="748">
        <f>Discount!$H$36</f>
        <v>0</v>
      </c>
      <c r="R27" s="748">
        <f t="shared" si="3"/>
        <v>0</v>
      </c>
      <c r="S27" s="748">
        <f t="shared" si="4"/>
        <v>0</v>
      </c>
      <c r="T27" s="749">
        <f t="shared" si="5"/>
        <v>0</v>
      </c>
      <c r="V27" s="850">
        <f t="shared" si="6"/>
        <v>0</v>
      </c>
      <c r="W27" s="749">
        <f t="shared" si="7"/>
        <v>0</v>
      </c>
      <c r="X27" s="749">
        <f t="shared" si="8"/>
        <v>0.18</v>
      </c>
      <c r="Y27" s="749">
        <f t="shared" si="9"/>
        <v>0</v>
      </c>
      <c r="Z27" s="749">
        <f t="shared" si="10"/>
        <v>0.18</v>
      </c>
      <c r="AA27" s="749">
        <f t="shared" si="11"/>
        <v>0</v>
      </c>
      <c r="AB27" s="526">
        <f t="shared" si="12"/>
        <v>0</v>
      </c>
      <c r="AC27" s="526">
        <f t="shared" si="13"/>
        <v>0</v>
      </c>
      <c r="AD27" s="526">
        <f t="shared" si="14"/>
        <v>0</v>
      </c>
    </row>
    <row r="28" spans="1:30" ht="31.5">
      <c r="A28" s="759">
        <v>11</v>
      </c>
      <c r="B28" s="529">
        <v>7000016907</v>
      </c>
      <c r="C28" s="529">
        <v>110</v>
      </c>
      <c r="D28" s="529" t="s">
        <v>581</v>
      </c>
      <c r="E28" s="529">
        <v>1000004496</v>
      </c>
      <c r="F28" s="529">
        <v>85353090</v>
      </c>
      <c r="G28" s="716"/>
      <c r="H28" s="529">
        <v>18</v>
      </c>
      <c r="I28" s="541"/>
      <c r="J28" s="715" t="s">
        <v>685</v>
      </c>
      <c r="K28" s="529" t="s">
        <v>299</v>
      </c>
      <c r="L28" s="529">
        <v>3</v>
      </c>
      <c r="M28" s="717"/>
      <c r="N28" s="530" t="str">
        <f t="shared" si="0"/>
        <v>INCLUDED</v>
      </c>
      <c r="O28" s="747">
        <f t="shared" si="1"/>
        <v>0</v>
      </c>
      <c r="P28" s="747">
        <f t="shared" si="2"/>
        <v>0</v>
      </c>
      <c r="Q28" s="748">
        <f>Discount!$H$36</f>
        <v>0</v>
      </c>
      <c r="R28" s="748">
        <f t="shared" si="3"/>
        <v>0</v>
      </c>
      <c r="S28" s="748">
        <f t="shared" si="4"/>
        <v>0</v>
      </c>
      <c r="T28" s="749">
        <f t="shared" si="5"/>
        <v>0</v>
      </c>
      <c r="V28" s="850">
        <f t="shared" si="6"/>
        <v>0</v>
      </c>
      <c r="W28" s="749">
        <f t="shared" si="7"/>
        <v>0</v>
      </c>
      <c r="X28" s="749">
        <f t="shared" si="8"/>
        <v>0.18</v>
      </c>
      <c r="Y28" s="749">
        <f t="shared" si="9"/>
        <v>0</v>
      </c>
      <c r="Z28" s="749">
        <f t="shared" si="10"/>
        <v>0.18</v>
      </c>
      <c r="AA28" s="749">
        <f t="shared" si="11"/>
        <v>0</v>
      </c>
      <c r="AB28" s="526">
        <f t="shared" si="12"/>
        <v>0</v>
      </c>
      <c r="AC28" s="526">
        <f t="shared" si="13"/>
        <v>0</v>
      </c>
      <c r="AD28" s="526">
        <f t="shared" si="14"/>
        <v>0</v>
      </c>
    </row>
    <row r="29" spans="1:30" ht="31.5">
      <c r="A29" s="759">
        <v>12</v>
      </c>
      <c r="B29" s="529">
        <v>7000016907</v>
      </c>
      <c r="C29" s="529">
        <v>120</v>
      </c>
      <c r="D29" s="529" t="s">
        <v>581</v>
      </c>
      <c r="E29" s="529">
        <v>1000004498</v>
      </c>
      <c r="F29" s="529">
        <v>85353090</v>
      </c>
      <c r="G29" s="716"/>
      <c r="H29" s="529">
        <v>18</v>
      </c>
      <c r="I29" s="541"/>
      <c r="J29" s="715" t="s">
        <v>587</v>
      </c>
      <c r="K29" s="529" t="s">
        <v>299</v>
      </c>
      <c r="L29" s="529">
        <v>13</v>
      </c>
      <c r="M29" s="717"/>
      <c r="N29" s="530" t="str">
        <f t="shared" si="0"/>
        <v>INCLUDED</v>
      </c>
      <c r="O29" s="747">
        <f t="shared" si="1"/>
        <v>0</v>
      </c>
      <c r="P29" s="747">
        <f t="shared" si="2"/>
        <v>0</v>
      </c>
      <c r="Q29" s="748">
        <f>Discount!$H$36</f>
        <v>0</v>
      </c>
      <c r="R29" s="748">
        <f t="shared" si="3"/>
        <v>0</v>
      </c>
      <c r="S29" s="748">
        <f t="shared" si="4"/>
        <v>0</v>
      </c>
      <c r="T29" s="749">
        <f t="shared" si="5"/>
        <v>0</v>
      </c>
      <c r="V29" s="850">
        <f t="shared" si="6"/>
        <v>0</v>
      </c>
      <c r="W29" s="749">
        <f t="shared" si="7"/>
        <v>0</v>
      </c>
      <c r="X29" s="749">
        <f t="shared" si="8"/>
        <v>0.18</v>
      </c>
      <c r="Y29" s="749">
        <f t="shared" si="9"/>
        <v>0</v>
      </c>
      <c r="Z29" s="749">
        <f t="shared" si="10"/>
        <v>0.18</v>
      </c>
      <c r="AA29" s="749">
        <f t="shared" si="11"/>
        <v>0</v>
      </c>
      <c r="AB29" s="526">
        <f t="shared" si="12"/>
        <v>0</v>
      </c>
      <c r="AC29" s="526">
        <f t="shared" si="13"/>
        <v>0</v>
      </c>
      <c r="AD29" s="526">
        <f t="shared" si="14"/>
        <v>0</v>
      </c>
    </row>
    <row r="30" spans="1:30" ht="31.5">
      <c r="A30" s="759">
        <v>13</v>
      </c>
      <c r="B30" s="529">
        <v>7000016907</v>
      </c>
      <c r="C30" s="529">
        <v>130</v>
      </c>
      <c r="D30" s="529" t="s">
        <v>581</v>
      </c>
      <c r="E30" s="529">
        <v>1000004535</v>
      </c>
      <c r="F30" s="529">
        <v>85359090</v>
      </c>
      <c r="G30" s="716"/>
      <c r="H30" s="529">
        <v>18</v>
      </c>
      <c r="I30" s="541"/>
      <c r="J30" s="715" t="s">
        <v>586</v>
      </c>
      <c r="K30" s="529" t="s">
        <v>299</v>
      </c>
      <c r="L30" s="529">
        <v>6</v>
      </c>
      <c r="M30" s="717"/>
      <c r="N30" s="530" t="str">
        <f t="shared" si="0"/>
        <v>INCLUDED</v>
      </c>
      <c r="O30" s="747">
        <f t="shared" si="1"/>
        <v>0</v>
      </c>
      <c r="P30" s="747">
        <f t="shared" si="2"/>
        <v>0</v>
      </c>
      <c r="Q30" s="748">
        <f>Discount!$H$36</f>
        <v>0</v>
      </c>
      <c r="R30" s="748">
        <f t="shared" si="3"/>
        <v>0</v>
      </c>
      <c r="S30" s="748">
        <f t="shared" si="4"/>
        <v>0</v>
      </c>
      <c r="T30" s="749">
        <f t="shared" si="5"/>
        <v>0</v>
      </c>
      <c r="V30" s="850">
        <f t="shared" si="6"/>
        <v>0</v>
      </c>
      <c r="W30" s="749">
        <f t="shared" si="7"/>
        <v>0</v>
      </c>
      <c r="X30" s="749">
        <f t="shared" si="8"/>
        <v>0.18</v>
      </c>
      <c r="Y30" s="749">
        <f t="shared" si="9"/>
        <v>0</v>
      </c>
      <c r="Z30" s="749">
        <f t="shared" si="10"/>
        <v>0.18</v>
      </c>
      <c r="AA30" s="749">
        <f t="shared" si="11"/>
        <v>0</v>
      </c>
      <c r="AB30" s="526">
        <f t="shared" si="12"/>
        <v>0</v>
      </c>
      <c r="AC30" s="526">
        <f t="shared" si="13"/>
        <v>0</v>
      </c>
      <c r="AD30" s="526">
        <f t="shared" si="14"/>
        <v>0</v>
      </c>
    </row>
    <row r="31" spans="1:30" ht="31.5">
      <c r="A31" s="759">
        <v>14</v>
      </c>
      <c r="B31" s="529">
        <v>7000016907</v>
      </c>
      <c r="C31" s="529">
        <v>140</v>
      </c>
      <c r="D31" s="529" t="s">
        <v>581</v>
      </c>
      <c r="E31" s="529">
        <v>1000004463</v>
      </c>
      <c r="F31" s="529">
        <v>85359090</v>
      </c>
      <c r="G31" s="716"/>
      <c r="H31" s="529">
        <v>18</v>
      </c>
      <c r="I31" s="541"/>
      <c r="J31" s="715" t="s">
        <v>585</v>
      </c>
      <c r="K31" s="529" t="s">
        <v>299</v>
      </c>
      <c r="L31" s="529">
        <v>15</v>
      </c>
      <c r="M31" s="717"/>
      <c r="N31" s="530" t="str">
        <f t="shared" si="0"/>
        <v>INCLUDED</v>
      </c>
      <c r="O31" s="747">
        <f t="shared" si="1"/>
        <v>0</v>
      </c>
      <c r="P31" s="747">
        <f t="shared" si="2"/>
        <v>0</v>
      </c>
      <c r="Q31" s="748">
        <f>Discount!$H$36</f>
        <v>0</v>
      </c>
      <c r="R31" s="748">
        <f t="shared" si="3"/>
        <v>0</v>
      </c>
      <c r="S31" s="748">
        <f t="shared" si="4"/>
        <v>0</v>
      </c>
      <c r="T31" s="749">
        <f t="shared" si="5"/>
        <v>0</v>
      </c>
      <c r="V31" s="850">
        <f t="shared" si="6"/>
        <v>0</v>
      </c>
      <c r="W31" s="749">
        <f t="shared" si="7"/>
        <v>0</v>
      </c>
      <c r="X31" s="749">
        <f t="shared" si="8"/>
        <v>0.18</v>
      </c>
      <c r="Y31" s="749">
        <f t="shared" si="9"/>
        <v>0</v>
      </c>
      <c r="Z31" s="749">
        <f t="shared" si="10"/>
        <v>0.18</v>
      </c>
      <c r="AA31" s="749">
        <f t="shared" si="11"/>
        <v>0</v>
      </c>
      <c r="AB31" s="526">
        <f t="shared" si="12"/>
        <v>0</v>
      </c>
      <c r="AC31" s="526">
        <f t="shared" si="13"/>
        <v>0</v>
      </c>
      <c r="AD31" s="526">
        <f t="shared" si="14"/>
        <v>0</v>
      </c>
    </row>
    <row r="32" spans="1:30" ht="31.5">
      <c r="A32" s="759">
        <v>15</v>
      </c>
      <c r="B32" s="529">
        <v>7000016907</v>
      </c>
      <c r="C32" s="529">
        <v>150</v>
      </c>
      <c r="D32" s="529" t="s">
        <v>581</v>
      </c>
      <c r="E32" s="529">
        <v>1000004501</v>
      </c>
      <c r="F32" s="529">
        <v>85352913</v>
      </c>
      <c r="G32" s="716"/>
      <c r="H32" s="529">
        <v>18</v>
      </c>
      <c r="I32" s="541"/>
      <c r="J32" s="715" t="s">
        <v>584</v>
      </c>
      <c r="K32" s="529" t="s">
        <v>299</v>
      </c>
      <c r="L32" s="529">
        <v>5</v>
      </c>
      <c r="M32" s="717"/>
      <c r="N32" s="530" t="str">
        <f t="shared" si="0"/>
        <v>INCLUDED</v>
      </c>
      <c r="O32" s="747">
        <f t="shared" si="1"/>
        <v>0</v>
      </c>
      <c r="P32" s="747">
        <f t="shared" si="2"/>
        <v>0</v>
      </c>
      <c r="Q32" s="748">
        <f>Discount!$H$36</f>
        <v>0</v>
      </c>
      <c r="R32" s="748">
        <f t="shared" si="3"/>
        <v>0</v>
      </c>
      <c r="S32" s="748">
        <f t="shared" si="4"/>
        <v>0</v>
      </c>
      <c r="T32" s="749">
        <f t="shared" si="5"/>
        <v>0</v>
      </c>
      <c r="V32" s="850">
        <f t="shared" si="6"/>
        <v>0</v>
      </c>
      <c r="W32" s="749">
        <f t="shared" si="7"/>
        <v>0</v>
      </c>
      <c r="X32" s="749">
        <f t="shared" si="8"/>
        <v>0.18</v>
      </c>
      <c r="Y32" s="749">
        <f t="shared" si="9"/>
        <v>0</v>
      </c>
      <c r="Z32" s="749">
        <f t="shared" si="10"/>
        <v>0.18</v>
      </c>
      <c r="AA32" s="749">
        <f t="shared" si="11"/>
        <v>0</v>
      </c>
      <c r="AB32" s="526">
        <f t="shared" si="12"/>
        <v>0</v>
      </c>
      <c r="AC32" s="526">
        <f t="shared" si="13"/>
        <v>0</v>
      </c>
      <c r="AD32" s="526">
        <f t="shared" si="14"/>
        <v>0</v>
      </c>
    </row>
    <row r="33" spans="1:30" ht="31.5">
      <c r="A33" s="759">
        <v>16</v>
      </c>
      <c r="B33" s="529">
        <v>7000016907</v>
      </c>
      <c r="C33" s="529">
        <v>160</v>
      </c>
      <c r="D33" s="529" t="s">
        <v>664</v>
      </c>
      <c r="E33" s="529">
        <v>1000001998</v>
      </c>
      <c r="F33" s="529">
        <v>85049010</v>
      </c>
      <c r="G33" s="716"/>
      <c r="H33" s="529">
        <v>18</v>
      </c>
      <c r="I33" s="541"/>
      <c r="J33" s="715" t="s">
        <v>686</v>
      </c>
      <c r="K33" s="529" t="s">
        <v>300</v>
      </c>
      <c r="L33" s="529">
        <v>1</v>
      </c>
      <c r="M33" s="717"/>
      <c r="N33" s="530" t="str">
        <f t="shared" si="0"/>
        <v>INCLUDED</v>
      </c>
      <c r="O33" s="747">
        <f t="shared" si="1"/>
        <v>0</v>
      </c>
      <c r="P33" s="747">
        <f t="shared" si="2"/>
        <v>0</v>
      </c>
      <c r="Q33" s="748">
        <f>Discount!$H$36</f>
        <v>0</v>
      </c>
      <c r="R33" s="748">
        <f t="shared" si="3"/>
        <v>0</v>
      </c>
      <c r="S33" s="748">
        <f t="shared" si="4"/>
        <v>0</v>
      </c>
      <c r="T33" s="749">
        <f t="shared" si="5"/>
        <v>0</v>
      </c>
      <c r="V33" s="850">
        <f t="shared" si="6"/>
        <v>0</v>
      </c>
      <c r="W33" s="749">
        <f t="shared" si="7"/>
        <v>0</v>
      </c>
      <c r="X33" s="749">
        <f t="shared" si="8"/>
        <v>0.18</v>
      </c>
      <c r="Y33" s="749">
        <f t="shared" si="9"/>
        <v>0</v>
      </c>
      <c r="Z33" s="749">
        <f t="shared" si="10"/>
        <v>0.18</v>
      </c>
      <c r="AA33" s="749">
        <f t="shared" si="11"/>
        <v>0</v>
      </c>
      <c r="AB33" s="526">
        <f t="shared" si="12"/>
        <v>0</v>
      </c>
      <c r="AC33" s="526">
        <f t="shared" si="13"/>
        <v>0</v>
      </c>
      <c r="AD33" s="526">
        <f t="shared" si="14"/>
        <v>0</v>
      </c>
    </row>
    <row r="34" spans="1:30" ht="31.5">
      <c r="A34" s="759">
        <v>17</v>
      </c>
      <c r="B34" s="529">
        <v>7000016907</v>
      </c>
      <c r="C34" s="529">
        <v>170</v>
      </c>
      <c r="D34" s="529" t="s">
        <v>665</v>
      </c>
      <c r="E34" s="529">
        <v>1000011351</v>
      </c>
      <c r="F34" s="529">
        <v>72169990</v>
      </c>
      <c r="G34" s="716"/>
      <c r="H34" s="529">
        <v>18</v>
      </c>
      <c r="I34" s="541"/>
      <c r="J34" s="715" t="s">
        <v>687</v>
      </c>
      <c r="K34" s="529" t="s">
        <v>300</v>
      </c>
      <c r="L34" s="529">
        <v>1</v>
      </c>
      <c r="M34" s="717"/>
      <c r="N34" s="530" t="str">
        <f t="shared" si="0"/>
        <v>INCLUDED</v>
      </c>
      <c r="O34" s="747">
        <f t="shared" si="1"/>
        <v>0</v>
      </c>
      <c r="P34" s="747">
        <f t="shared" si="2"/>
        <v>0</v>
      </c>
      <c r="Q34" s="748">
        <f>Discount!$H$36</f>
        <v>0</v>
      </c>
      <c r="R34" s="748">
        <f t="shared" si="3"/>
        <v>0</v>
      </c>
      <c r="S34" s="748">
        <f t="shared" si="4"/>
        <v>0</v>
      </c>
      <c r="T34" s="749">
        <f t="shared" si="5"/>
        <v>0</v>
      </c>
      <c r="V34" s="850">
        <f t="shared" si="6"/>
        <v>0</v>
      </c>
      <c r="W34" s="749">
        <f t="shared" si="7"/>
        <v>0</v>
      </c>
      <c r="X34" s="749">
        <f t="shared" si="8"/>
        <v>0.18</v>
      </c>
      <c r="Y34" s="749">
        <f t="shared" si="9"/>
        <v>0</v>
      </c>
      <c r="Z34" s="749">
        <f t="shared" si="10"/>
        <v>0.18</v>
      </c>
      <c r="AA34" s="749">
        <f t="shared" si="11"/>
        <v>0</v>
      </c>
      <c r="AB34" s="526">
        <f t="shared" si="12"/>
        <v>0</v>
      </c>
      <c r="AC34" s="526">
        <f t="shared" si="13"/>
        <v>0</v>
      </c>
      <c r="AD34" s="526">
        <f t="shared" si="14"/>
        <v>0</v>
      </c>
    </row>
    <row r="35" spans="1:30" ht="126">
      <c r="A35" s="759">
        <v>18</v>
      </c>
      <c r="B35" s="529">
        <v>7000016907</v>
      </c>
      <c r="C35" s="529">
        <v>180</v>
      </c>
      <c r="D35" s="529" t="s">
        <v>665</v>
      </c>
      <c r="E35" s="529">
        <v>1000015788</v>
      </c>
      <c r="F35" s="529">
        <v>85049010</v>
      </c>
      <c r="G35" s="716"/>
      <c r="H35" s="529">
        <v>18</v>
      </c>
      <c r="I35" s="541"/>
      <c r="J35" s="715" t="s">
        <v>688</v>
      </c>
      <c r="K35" s="529" t="s">
        <v>607</v>
      </c>
      <c r="L35" s="529">
        <v>1</v>
      </c>
      <c r="M35" s="717"/>
      <c r="N35" s="530" t="str">
        <f t="shared" si="0"/>
        <v>INCLUDED</v>
      </c>
      <c r="O35" s="747">
        <f t="shared" si="1"/>
        <v>0</v>
      </c>
      <c r="P35" s="747">
        <f t="shared" si="2"/>
        <v>0</v>
      </c>
      <c r="Q35" s="748">
        <f>Discount!$H$36</f>
        <v>0</v>
      </c>
      <c r="R35" s="748">
        <f t="shared" si="3"/>
        <v>0</v>
      </c>
      <c r="S35" s="748">
        <f t="shared" si="4"/>
        <v>0</v>
      </c>
      <c r="T35" s="749">
        <f t="shared" si="5"/>
        <v>0</v>
      </c>
      <c r="V35" s="850">
        <f t="shared" si="6"/>
        <v>0</v>
      </c>
      <c r="W35" s="749">
        <f t="shared" si="7"/>
        <v>0</v>
      </c>
      <c r="X35" s="749">
        <f t="shared" si="8"/>
        <v>0.18</v>
      </c>
      <c r="Y35" s="749">
        <f t="shared" si="9"/>
        <v>0</v>
      </c>
      <c r="Z35" s="749">
        <f t="shared" si="10"/>
        <v>0.18</v>
      </c>
      <c r="AA35" s="749">
        <f t="shared" si="11"/>
        <v>0</v>
      </c>
      <c r="AB35" s="526">
        <f t="shared" si="12"/>
        <v>0</v>
      </c>
      <c r="AC35" s="526">
        <f t="shared" si="13"/>
        <v>0</v>
      </c>
      <c r="AD35" s="526">
        <f t="shared" si="14"/>
        <v>0</v>
      </c>
    </row>
    <row r="36" spans="1:30" ht="47.25">
      <c r="A36" s="759">
        <v>19</v>
      </c>
      <c r="B36" s="529">
        <v>7000016907</v>
      </c>
      <c r="C36" s="529">
        <v>190</v>
      </c>
      <c r="D36" s="529" t="s">
        <v>666</v>
      </c>
      <c r="E36" s="529">
        <v>1000055993</v>
      </c>
      <c r="F36" s="529">
        <v>72169990</v>
      </c>
      <c r="G36" s="716"/>
      <c r="H36" s="529">
        <v>18</v>
      </c>
      <c r="I36" s="541"/>
      <c r="J36" s="715" t="s">
        <v>689</v>
      </c>
      <c r="K36" s="529" t="s">
        <v>299</v>
      </c>
      <c r="L36" s="529">
        <v>3</v>
      </c>
      <c r="M36" s="717"/>
      <c r="N36" s="530" t="str">
        <f t="shared" si="0"/>
        <v>INCLUDED</v>
      </c>
      <c r="O36" s="747">
        <f t="shared" si="1"/>
        <v>0</v>
      </c>
      <c r="P36" s="747">
        <f t="shared" si="2"/>
        <v>0</v>
      </c>
      <c r="Q36" s="748">
        <f>Discount!$H$36</f>
        <v>0</v>
      </c>
      <c r="R36" s="748">
        <f t="shared" si="3"/>
        <v>0</v>
      </c>
      <c r="S36" s="748">
        <f t="shared" si="4"/>
        <v>0</v>
      </c>
      <c r="T36" s="749">
        <f t="shared" si="5"/>
        <v>0</v>
      </c>
      <c r="V36" s="850">
        <f t="shared" si="6"/>
        <v>0</v>
      </c>
      <c r="W36" s="749">
        <f t="shared" si="7"/>
        <v>0</v>
      </c>
      <c r="X36" s="749">
        <f t="shared" si="8"/>
        <v>0.18</v>
      </c>
      <c r="Y36" s="749">
        <f t="shared" si="9"/>
        <v>0</v>
      </c>
      <c r="Z36" s="749">
        <f t="shared" si="10"/>
        <v>0.18</v>
      </c>
      <c r="AA36" s="749">
        <f t="shared" si="11"/>
        <v>0</v>
      </c>
      <c r="AB36" s="526">
        <f t="shared" si="12"/>
        <v>0</v>
      </c>
      <c r="AC36" s="526">
        <f t="shared" si="13"/>
        <v>0</v>
      </c>
      <c r="AD36" s="526">
        <f t="shared" si="14"/>
        <v>0</v>
      </c>
    </row>
    <row r="37" spans="1:30" ht="47.25">
      <c r="A37" s="759">
        <v>20</v>
      </c>
      <c r="B37" s="529">
        <v>7000016907</v>
      </c>
      <c r="C37" s="529">
        <v>200</v>
      </c>
      <c r="D37" s="529" t="s">
        <v>666</v>
      </c>
      <c r="E37" s="529">
        <v>1000055995</v>
      </c>
      <c r="F37" s="529">
        <v>72169990</v>
      </c>
      <c r="G37" s="716"/>
      <c r="H37" s="529">
        <v>18</v>
      </c>
      <c r="I37" s="541"/>
      <c r="J37" s="715" t="s">
        <v>690</v>
      </c>
      <c r="K37" s="529" t="s">
        <v>299</v>
      </c>
      <c r="L37" s="529">
        <v>3</v>
      </c>
      <c r="M37" s="717"/>
      <c r="N37" s="530" t="str">
        <f t="shared" si="0"/>
        <v>INCLUDED</v>
      </c>
      <c r="O37" s="747">
        <f t="shared" si="1"/>
        <v>0</v>
      </c>
      <c r="P37" s="747">
        <f t="shared" si="2"/>
        <v>0</v>
      </c>
      <c r="Q37" s="748">
        <f>Discount!$H$36</f>
        <v>0</v>
      </c>
      <c r="R37" s="748">
        <f t="shared" si="3"/>
        <v>0</v>
      </c>
      <c r="S37" s="748">
        <f t="shared" si="4"/>
        <v>0</v>
      </c>
      <c r="T37" s="749">
        <f t="shared" si="5"/>
        <v>0</v>
      </c>
      <c r="V37" s="850">
        <f t="shared" si="6"/>
        <v>0</v>
      </c>
      <c r="W37" s="749">
        <f t="shared" si="7"/>
        <v>0</v>
      </c>
      <c r="X37" s="749">
        <f t="shared" si="8"/>
        <v>0.18</v>
      </c>
      <c r="Y37" s="749">
        <f t="shared" si="9"/>
        <v>0</v>
      </c>
      <c r="Z37" s="749">
        <f t="shared" si="10"/>
        <v>0.18</v>
      </c>
      <c r="AA37" s="749">
        <f t="shared" si="11"/>
        <v>0</v>
      </c>
      <c r="AB37" s="526">
        <f t="shared" si="12"/>
        <v>0</v>
      </c>
      <c r="AC37" s="526">
        <f t="shared" si="13"/>
        <v>0</v>
      </c>
      <c r="AD37" s="526">
        <f t="shared" si="14"/>
        <v>0</v>
      </c>
    </row>
    <row r="38" spans="1:30" ht="47.25">
      <c r="A38" s="759">
        <v>21</v>
      </c>
      <c r="B38" s="529">
        <v>7000016907</v>
      </c>
      <c r="C38" s="529">
        <v>210</v>
      </c>
      <c r="D38" s="529" t="s">
        <v>666</v>
      </c>
      <c r="E38" s="529">
        <v>1000055997</v>
      </c>
      <c r="F38" s="529">
        <v>72169990</v>
      </c>
      <c r="G38" s="716"/>
      <c r="H38" s="529">
        <v>18</v>
      </c>
      <c r="I38" s="541"/>
      <c r="J38" s="715" t="s">
        <v>691</v>
      </c>
      <c r="K38" s="529" t="s">
        <v>299</v>
      </c>
      <c r="L38" s="529">
        <v>3</v>
      </c>
      <c r="M38" s="717"/>
      <c r="N38" s="530" t="str">
        <f t="shared" si="0"/>
        <v>INCLUDED</v>
      </c>
      <c r="O38" s="747">
        <f t="shared" si="1"/>
        <v>0</v>
      </c>
      <c r="P38" s="747">
        <f t="shared" si="2"/>
        <v>0</v>
      </c>
      <c r="Q38" s="748">
        <f>Discount!$H$36</f>
        <v>0</v>
      </c>
      <c r="R38" s="748">
        <f t="shared" si="3"/>
        <v>0</v>
      </c>
      <c r="S38" s="748">
        <f t="shared" si="4"/>
        <v>0</v>
      </c>
      <c r="T38" s="749">
        <f t="shared" si="5"/>
        <v>0</v>
      </c>
      <c r="V38" s="850">
        <f t="shared" si="6"/>
        <v>0</v>
      </c>
      <c r="W38" s="749">
        <f t="shared" si="7"/>
        <v>0</v>
      </c>
      <c r="X38" s="749">
        <f t="shared" si="8"/>
        <v>0.18</v>
      </c>
      <c r="Y38" s="749">
        <f t="shared" si="9"/>
        <v>0</v>
      </c>
      <c r="Z38" s="749">
        <f t="shared" si="10"/>
        <v>0.18</v>
      </c>
      <c r="AA38" s="749">
        <f t="shared" si="11"/>
        <v>0</v>
      </c>
      <c r="AB38" s="526">
        <f t="shared" si="12"/>
        <v>0</v>
      </c>
      <c r="AC38" s="526">
        <f t="shared" si="13"/>
        <v>0</v>
      </c>
      <c r="AD38" s="526">
        <f t="shared" si="14"/>
        <v>0</v>
      </c>
    </row>
    <row r="39" spans="1:30" ht="31.5">
      <c r="A39" s="759">
        <v>22</v>
      </c>
      <c r="B39" s="529">
        <v>7000016907</v>
      </c>
      <c r="C39" s="529">
        <v>220</v>
      </c>
      <c r="D39" s="529" t="s">
        <v>521</v>
      </c>
      <c r="E39" s="529">
        <v>1000011319</v>
      </c>
      <c r="F39" s="529">
        <v>72169990</v>
      </c>
      <c r="G39" s="716"/>
      <c r="H39" s="529">
        <v>18</v>
      </c>
      <c r="I39" s="541"/>
      <c r="J39" s="715" t="s">
        <v>692</v>
      </c>
      <c r="K39" s="529" t="s">
        <v>300</v>
      </c>
      <c r="L39" s="529">
        <v>1</v>
      </c>
      <c r="M39" s="717"/>
      <c r="N39" s="530" t="str">
        <f t="shared" si="0"/>
        <v>INCLUDED</v>
      </c>
      <c r="O39" s="747">
        <f t="shared" si="1"/>
        <v>0</v>
      </c>
      <c r="P39" s="747">
        <f t="shared" si="2"/>
        <v>0</v>
      </c>
      <c r="Q39" s="748">
        <f>Discount!$H$36</f>
        <v>0</v>
      </c>
      <c r="R39" s="748">
        <f t="shared" si="3"/>
        <v>0</v>
      </c>
      <c r="S39" s="748">
        <f t="shared" si="4"/>
        <v>0</v>
      </c>
      <c r="T39" s="749">
        <f t="shared" si="5"/>
        <v>0</v>
      </c>
      <c r="V39" s="850">
        <f t="shared" si="6"/>
        <v>0</v>
      </c>
      <c r="W39" s="749">
        <f t="shared" si="7"/>
        <v>0</v>
      </c>
      <c r="X39" s="749">
        <f t="shared" si="8"/>
        <v>0.18</v>
      </c>
      <c r="Y39" s="749">
        <f t="shared" si="9"/>
        <v>0</v>
      </c>
      <c r="Z39" s="749">
        <f t="shared" si="10"/>
        <v>0.18</v>
      </c>
      <c r="AA39" s="749">
        <f t="shared" si="11"/>
        <v>0</v>
      </c>
      <c r="AB39" s="526">
        <f t="shared" si="12"/>
        <v>0</v>
      </c>
      <c r="AC39" s="526">
        <f t="shared" si="13"/>
        <v>0</v>
      </c>
      <c r="AD39" s="526">
        <f t="shared" si="14"/>
        <v>0</v>
      </c>
    </row>
    <row r="40" spans="1:30" ht="31.5">
      <c r="A40" s="759">
        <v>23</v>
      </c>
      <c r="B40" s="529">
        <v>7000016907</v>
      </c>
      <c r="C40" s="529">
        <v>230</v>
      </c>
      <c r="D40" s="529" t="s">
        <v>521</v>
      </c>
      <c r="E40" s="529">
        <v>1000011322</v>
      </c>
      <c r="F40" s="529">
        <v>72169990</v>
      </c>
      <c r="G40" s="716"/>
      <c r="H40" s="529">
        <v>18</v>
      </c>
      <c r="I40" s="541"/>
      <c r="J40" s="715" t="s">
        <v>589</v>
      </c>
      <c r="K40" s="529" t="s">
        <v>300</v>
      </c>
      <c r="L40" s="529">
        <v>2</v>
      </c>
      <c r="M40" s="717"/>
      <c r="N40" s="530" t="str">
        <f t="shared" si="0"/>
        <v>INCLUDED</v>
      </c>
      <c r="O40" s="747">
        <f t="shared" si="1"/>
        <v>0</v>
      </c>
      <c r="P40" s="747">
        <f t="shared" si="2"/>
        <v>0</v>
      </c>
      <c r="Q40" s="748">
        <f>Discount!$H$36</f>
        <v>0</v>
      </c>
      <c r="R40" s="748">
        <f t="shared" si="3"/>
        <v>0</v>
      </c>
      <c r="S40" s="748">
        <f t="shared" si="4"/>
        <v>0</v>
      </c>
      <c r="T40" s="749">
        <f t="shared" si="5"/>
        <v>0</v>
      </c>
      <c r="V40" s="850">
        <f t="shared" si="6"/>
        <v>0</v>
      </c>
      <c r="W40" s="749">
        <f t="shared" si="7"/>
        <v>0</v>
      </c>
      <c r="X40" s="749">
        <f t="shared" si="8"/>
        <v>0.18</v>
      </c>
      <c r="Y40" s="749">
        <f t="shared" si="9"/>
        <v>0</v>
      </c>
      <c r="Z40" s="749">
        <f t="shared" si="10"/>
        <v>0.18</v>
      </c>
      <c r="AA40" s="749">
        <f t="shared" si="11"/>
        <v>0</v>
      </c>
      <c r="AB40" s="526">
        <f t="shared" si="12"/>
        <v>0</v>
      </c>
      <c r="AC40" s="526">
        <f t="shared" si="13"/>
        <v>0</v>
      </c>
      <c r="AD40" s="526">
        <f t="shared" si="14"/>
        <v>0</v>
      </c>
    </row>
    <row r="41" spans="1:30" ht="31.5">
      <c r="A41" s="759">
        <v>24</v>
      </c>
      <c r="B41" s="529">
        <v>7000016907</v>
      </c>
      <c r="C41" s="529">
        <v>240</v>
      </c>
      <c r="D41" s="529" t="s">
        <v>521</v>
      </c>
      <c r="E41" s="529">
        <v>1000011327</v>
      </c>
      <c r="F41" s="529">
        <v>72169990</v>
      </c>
      <c r="G41" s="716"/>
      <c r="H41" s="529">
        <v>18</v>
      </c>
      <c r="I41" s="541"/>
      <c r="J41" s="715" t="s">
        <v>693</v>
      </c>
      <c r="K41" s="529" t="s">
        <v>300</v>
      </c>
      <c r="L41" s="529">
        <v>1</v>
      </c>
      <c r="M41" s="717"/>
      <c r="N41" s="530" t="str">
        <f t="shared" si="0"/>
        <v>INCLUDED</v>
      </c>
      <c r="O41" s="747">
        <f t="shared" si="1"/>
        <v>0</v>
      </c>
      <c r="P41" s="747">
        <f t="shared" si="2"/>
        <v>0</v>
      </c>
      <c r="Q41" s="748">
        <f>Discount!$H$36</f>
        <v>0</v>
      </c>
      <c r="R41" s="748">
        <f t="shared" si="3"/>
        <v>0</v>
      </c>
      <c r="S41" s="748">
        <f t="shared" si="4"/>
        <v>0</v>
      </c>
      <c r="T41" s="749">
        <f t="shared" si="5"/>
        <v>0</v>
      </c>
      <c r="V41" s="850">
        <f t="shared" si="6"/>
        <v>0</v>
      </c>
      <c r="W41" s="749">
        <f t="shared" si="7"/>
        <v>0</v>
      </c>
      <c r="X41" s="749">
        <f t="shared" si="8"/>
        <v>0.18</v>
      </c>
      <c r="Y41" s="749">
        <f t="shared" si="9"/>
        <v>0</v>
      </c>
      <c r="Z41" s="749">
        <f t="shared" si="10"/>
        <v>0.18</v>
      </c>
      <c r="AA41" s="749">
        <f t="shared" si="11"/>
        <v>0</v>
      </c>
      <c r="AB41" s="526">
        <f t="shared" si="12"/>
        <v>0</v>
      </c>
      <c r="AC41" s="526">
        <f t="shared" si="13"/>
        <v>0</v>
      </c>
      <c r="AD41" s="526">
        <f t="shared" si="14"/>
        <v>0</v>
      </c>
    </row>
    <row r="42" spans="1:30" ht="31.5">
      <c r="A42" s="759">
        <v>25</v>
      </c>
      <c r="B42" s="529">
        <v>7000016907</v>
      </c>
      <c r="C42" s="529">
        <v>250</v>
      </c>
      <c r="D42" s="529" t="s">
        <v>521</v>
      </c>
      <c r="E42" s="529">
        <v>1000011326</v>
      </c>
      <c r="F42" s="529">
        <v>72169990</v>
      </c>
      <c r="G42" s="716"/>
      <c r="H42" s="529">
        <v>18</v>
      </c>
      <c r="I42" s="541"/>
      <c r="J42" s="715" t="s">
        <v>590</v>
      </c>
      <c r="K42" s="529" t="s">
        <v>300</v>
      </c>
      <c r="L42" s="529">
        <v>1</v>
      </c>
      <c r="M42" s="717"/>
      <c r="N42" s="530" t="str">
        <f t="shared" si="0"/>
        <v>INCLUDED</v>
      </c>
      <c r="O42" s="747">
        <f t="shared" si="1"/>
        <v>0</v>
      </c>
      <c r="P42" s="747">
        <f t="shared" si="2"/>
        <v>0</v>
      </c>
      <c r="Q42" s="748">
        <f>Discount!$H$36</f>
        <v>0</v>
      </c>
      <c r="R42" s="748">
        <f t="shared" si="3"/>
        <v>0</v>
      </c>
      <c r="S42" s="748">
        <f t="shared" si="4"/>
        <v>0</v>
      </c>
      <c r="T42" s="749">
        <f t="shared" si="5"/>
        <v>0</v>
      </c>
      <c r="V42" s="850">
        <f t="shared" si="6"/>
        <v>0</v>
      </c>
      <c r="W42" s="749">
        <f t="shared" si="7"/>
        <v>0</v>
      </c>
      <c r="X42" s="749">
        <f t="shared" si="8"/>
        <v>0.18</v>
      </c>
      <c r="Y42" s="749">
        <f t="shared" si="9"/>
        <v>0</v>
      </c>
      <c r="Z42" s="749">
        <f t="shared" si="10"/>
        <v>0.18</v>
      </c>
      <c r="AA42" s="749">
        <f t="shared" si="11"/>
        <v>0</v>
      </c>
      <c r="AB42" s="526">
        <f t="shared" si="12"/>
        <v>0</v>
      </c>
      <c r="AC42" s="526">
        <f t="shared" si="13"/>
        <v>0</v>
      </c>
      <c r="AD42" s="526">
        <f t="shared" si="14"/>
        <v>0</v>
      </c>
    </row>
    <row r="43" spans="1:30" ht="47.25">
      <c r="A43" s="759">
        <v>26</v>
      </c>
      <c r="B43" s="529">
        <v>7000016907</v>
      </c>
      <c r="C43" s="529">
        <v>260</v>
      </c>
      <c r="D43" s="529" t="s">
        <v>522</v>
      </c>
      <c r="E43" s="529">
        <v>1000055988</v>
      </c>
      <c r="F43" s="529">
        <v>72169990</v>
      </c>
      <c r="G43" s="716"/>
      <c r="H43" s="529">
        <v>18</v>
      </c>
      <c r="I43" s="541"/>
      <c r="J43" s="715" t="s">
        <v>694</v>
      </c>
      <c r="K43" s="529" t="s">
        <v>299</v>
      </c>
      <c r="L43" s="529">
        <v>6</v>
      </c>
      <c r="M43" s="717"/>
      <c r="N43" s="530" t="str">
        <f t="shared" si="0"/>
        <v>INCLUDED</v>
      </c>
      <c r="O43" s="747">
        <f t="shared" si="1"/>
        <v>0</v>
      </c>
      <c r="P43" s="747">
        <f t="shared" si="2"/>
        <v>0</v>
      </c>
      <c r="Q43" s="748">
        <f>Discount!$H$36</f>
        <v>0</v>
      </c>
      <c r="R43" s="748">
        <f t="shared" si="3"/>
        <v>0</v>
      </c>
      <c r="S43" s="748">
        <f t="shared" si="4"/>
        <v>0</v>
      </c>
      <c r="T43" s="749">
        <f t="shared" si="5"/>
        <v>0</v>
      </c>
      <c r="V43" s="850">
        <f t="shared" si="6"/>
        <v>0</v>
      </c>
      <c r="W43" s="749">
        <f t="shared" si="7"/>
        <v>0</v>
      </c>
      <c r="X43" s="749">
        <f t="shared" si="8"/>
        <v>0.18</v>
      </c>
      <c r="Y43" s="749">
        <f t="shared" si="9"/>
        <v>0</v>
      </c>
      <c r="Z43" s="749">
        <f t="shared" si="10"/>
        <v>0.18</v>
      </c>
      <c r="AA43" s="749">
        <f t="shared" si="11"/>
        <v>0</v>
      </c>
      <c r="AB43" s="526">
        <f t="shared" si="12"/>
        <v>0</v>
      </c>
      <c r="AC43" s="526">
        <f t="shared" si="13"/>
        <v>0</v>
      </c>
      <c r="AD43" s="526">
        <f t="shared" si="14"/>
        <v>0</v>
      </c>
    </row>
    <row r="44" spans="1:30" ht="47.25">
      <c r="A44" s="759">
        <v>27</v>
      </c>
      <c r="B44" s="529">
        <v>7000016907</v>
      </c>
      <c r="C44" s="529">
        <v>270</v>
      </c>
      <c r="D44" s="529" t="s">
        <v>522</v>
      </c>
      <c r="E44" s="529">
        <v>1000055986</v>
      </c>
      <c r="F44" s="529">
        <v>72169990</v>
      </c>
      <c r="G44" s="716"/>
      <c r="H44" s="529">
        <v>18</v>
      </c>
      <c r="I44" s="541"/>
      <c r="J44" s="715" t="s">
        <v>591</v>
      </c>
      <c r="K44" s="529" t="s">
        <v>299</v>
      </c>
      <c r="L44" s="529">
        <v>24</v>
      </c>
      <c r="M44" s="717"/>
      <c r="N44" s="530" t="str">
        <f t="shared" si="0"/>
        <v>INCLUDED</v>
      </c>
      <c r="O44" s="747">
        <f t="shared" si="1"/>
        <v>0</v>
      </c>
      <c r="P44" s="747">
        <f t="shared" si="2"/>
        <v>0</v>
      </c>
      <c r="Q44" s="748">
        <f>Discount!$H$36</f>
        <v>0</v>
      </c>
      <c r="R44" s="748">
        <f t="shared" si="3"/>
        <v>0</v>
      </c>
      <c r="S44" s="748">
        <f t="shared" si="4"/>
        <v>0</v>
      </c>
      <c r="T44" s="749">
        <f t="shared" si="5"/>
        <v>0</v>
      </c>
      <c r="V44" s="850">
        <f t="shared" si="6"/>
        <v>0</v>
      </c>
      <c r="W44" s="749">
        <f t="shared" si="7"/>
        <v>0</v>
      </c>
      <c r="X44" s="749">
        <f t="shared" si="8"/>
        <v>0.18</v>
      </c>
      <c r="Y44" s="749">
        <f t="shared" si="9"/>
        <v>0</v>
      </c>
      <c r="Z44" s="749">
        <f t="shared" si="10"/>
        <v>0.18</v>
      </c>
      <c r="AA44" s="749">
        <f t="shared" si="11"/>
        <v>0</v>
      </c>
      <c r="AB44" s="526">
        <f t="shared" si="12"/>
        <v>0</v>
      </c>
      <c r="AC44" s="526">
        <f t="shared" si="13"/>
        <v>0</v>
      </c>
      <c r="AD44" s="526">
        <f t="shared" si="14"/>
        <v>0</v>
      </c>
    </row>
    <row r="45" spans="1:30" ht="47.25">
      <c r="A45" s="759">
        <v>28</v>
      </c>
      <c r="B45" s="529">
        <v>7000016907</v>
      </c>
      <c r="C45" s="529">
        <v>280</v>
      </c>
      <c r="D45" s="529" t="s">
        <v>522</v>
      </c>
      <c r="E45" s="529">
        <v>1000055991</v>
      </c>
      <c r="F45" s="529">
        <v>72169990</v>
      </c>
      <c r="G45" s="716"/>
      <c r="H45" s="529">
        <v>18</v>
      </c>
      <c r="I45" s="541"/>
      <c r="J45" s="715" t="s">
        <v>592</v>
      </c>
      <c r="K45" s="529" t="s">
        <v>299</v>
      </c>
      <c r="L45" s="529">
        <v>21</v>
      </c>
      <c r="M45" s="717"/>
      <c r="N45" s="530" t="str">
        <f t="shared" si="0"/>
        <v>INCLUDED</v>
      </c>
      <c r="O45" s="747">
        <f t="shared" si="1"/>
        <v>0</v>
      </c>
      <c r="P45" s="747">
        <f t="shared" si="2"/>
        <v>0</v>
      </c>
      <c r="Q45" s="748">
        <f>Discount!$H$36</f>
        <v>0</v>
      </c>
      <c r="R45" s="748">
        <f t="shared" si="3"/>
        <v>0</v>
      </c>
      <c r="S45" s="748">
        <f t="shared" si="4"/>
        <v>0</v>
      </c>
      <c r="T45" s="749">
        <f t="shared" si="5"/>
        <v>0</v>
      </c>
      <c r="V45" s="850">
        <f t="shared" si="6"/>
        <v>0</v>
      </c>
      <c r="W45" s="749">
        <f t="shared" si="7"/>
        <v>0</v>
      </c>
      <c r="X45" s="749">
        <f t="shared" si="8"/>
        <v>0.18</v>
      </c>
      <c r="Y45" s="749">
        <f t="shared" si="9"/>
        <v>0</v>
      </c>
      <c r="Z45" s="749">
        <f t="shared" si="10"/>
        <v>0.18</v>
      </c>
      <c r="AA45" s="749">
        <f t="shared" si="11"/>
        <v>0</v>
      </c>
      <c r="AB45" s="526">
        <f t="shared" si="12"/>
        <v>0</v>
      </c>
      <c r="AC45" s="526">
        <f t="shared" si="13"/>
        <v>0</v>
      </c>
      <c r="AD45" s="526">
        <f t="shared" si="14"/>
        <v>0</v>
      </c>
    </row>
    <row r="46" spans="1:30" ht="47.25">
      <c r="A46" s="759">
        <v>29</v>
      </c>
      <c r="B46" s="529">
        <v>7000016907</v>
      </c>
      <c r="C46" s="529">
        <v>290</v>
      </c>
      <c r="D46" s="529" t="s">
        <v>522</v>
      </c>
      <c r="E46" s="529">
        <v>1000055984</v>
      </c>
      <c r="F46" s="529">
        <v>72169990</v>
      </c>
      <c r="G46" s="716"/>
      <c r="H46" s="529">
        <v>18</v>
      </c>
      <c r="I46" s="541"/>
      <c r="J46" s="715" t="s">
        <v>593</v>
      </c>
      <c r="K46" s="529" t="s">
        <v>299</v>
      </c>
      <c r="L46" s="529">
        <v>27</v>
      </c>
      <c r="M46" s="717"/>
      <c r="N46" s="530" t="str">
        <f t="shared" si="0"/>
        <v>INCLUDED</v>
      </c>
      <c r="O46" s="747">
        <f t="shared" si="1"/>
        <v>0</v>
      </c>
      <c r="P46" s="747">
        <f t="shared" si="2"/>
        <v>0</v>
      </c>
      <c r="Q46" s="748">
        <f>Discount!$H$36</f>
        <v>0</v>
      </c>
      <c r="R46" s="748">
        <f t="shared" si="3"/>
        <v>0</v>
      </c>
      <c r="S46" s="748">
        <f t="shared" si="4"/>
        <v>0</v>
      </c>
      <c r="T46" s="749">
        <f t="shared" si="5"/>
        <v>0</v>
      </c>
      <c r="V46" s="850">
        <f t="shared" si="6"/>
        <v>0</v>
      </c>
      <c r="W46" s="749">
        <f t="shared" si="7"/>
        <v>0</v>
      </c>
      <c r="X46" s="749">
        <f t="shared" si="8"/>
        <v>0.18</v>
      </c>
      <c r="Y46" s="749">
        <f t="shared" si="9"/>
        <v>0</v>
      </c>
      <c r="Z46" s="749">
        <f t="shared" si="10"/>
        <v>0.18</v>
      </c>
      <c r="AA46" s="749">
        <f t="shared" si="11"/>
        <v>0</v>
      </c>
      <c r="AB46" s="526">
        <f t="shared" si="12"/>
        <v>0</v>
      </c>
      <c r="AC46" s="526">
        <f t="shared" si="13"/>
        <v>0</v>
      </c>
      <c r="AD46" s="526">
        <f t="shared" si="14"/>
        <v>0</v>
      </c>
    </row>
    <row r="47" spans="1:30" ht="31.5">
      <c r="A47" s="759">
        <v>30</v>
      </c>
      <c r="B47" s="529">
        <v>7000016907</v>
      </c>
      <c r="C47" s="529">
        <v>300</v>
      </c>
      <c r="D47" s="529" t="s">
        <v>582</v>
      </c>
      <c r="E47" s="529">
        <v>1000009713</v>
      </c>
      <c r="F47" s="529">
        <v>85389000</v>
      </c>
      <c r="G47" s="716"/>
      <c r="H47" s="529">
        <v>18</v>
      </c>
      <c r="I47" s="541"/>
      <c r="J47" s="715" t="s">
        <v>594</v>
      </c>
      <c r="K47" s="529" t="s">
        <v>299</v>
      </c>
      <c r="L47" s="529">
        <v>2</v>
      </c>
      <c r="M47" s="717"/>
      <c r="N47" s="530" t="str">
        <f t="shared" ref="N47:N55" si="15">IF(M47=0, "INCLUDED", IF(ISERROR(M47*L47), M47, M47*L47))</f>
        <v>INCLUDED</v>
      </c>
      <c r="O47" s="747">
        <f t="shared" ref="O47:O55" si="16">IF(N47="Included",0,N47)</f>
        <v>0</v>
      </c>
      <c r="P47" s="747">
        <f t="shared" ref="P47:P55" si="17">IF( I47="",H47*(IF(N47="Included",0,N47))/100,I47*(IF(N47="Included",0,N47)))</f>
        <v>0</v>
      </c>
      <c r="Q47" s="748">
        <f>Discount!$H$36</f>
        <v>0</v>
      </c>
      <c r="R47" s="748">
        <f t="shared" ref="R47:R55" si="18">Q47*O47</f>
        <v>0</v>
      </c>
      <c r="S47" s="748">
        <f t="shared" ref="S47:S55" si="19">IF(I47="",H47*R47/100,I47*R47)</f>
        <v>0</v>
      </c>
      <c r="T47" s="749">
        <f t="shared" ref="T47:T55" si="20">M47*L47</f>
        <v>0</v>
      </c>
      <c r="V47" s="850">
        <f t="shared" ref="V47:V55" si="21">ROUND(M47,2)</f>
        <v>0</v>
      </c>
      <c r="W47" s="749">
        <f t="shared" ref="W47:W55" si="22">L47*V47</f>
        <v>0</v>
      </c>
      <c r="X47" s="749">
        <f t="shared" ref="X47:X55" si="23">IF(I47="",H47/100,I47)</f>
        <v>0.18</v>
      </c>
      <c r="Y47" s="749">
        <f t="shared" ref="Y47:Y55" si="24">IF(X47=0.12,0.12,0)</f>
        <v>0</v>
      </c>
      <c r="Z47" s="749">
        <f t="shared" ref="Z47:Z55" si="25">IF(X47=0.18,0.18,0)</f>
        <v>0.18</v>
      </c>
      <c r="AA47" s="749">
        <f t="shared" ref="AA47:AA55" si="26">IF(X47=0.28,0.28,0)</f>
        <v>0</v>
      </c>
      <c r="AB47" s="526">
        <f t="shared" ref="AB47:AB55" si="27">W47*Y47</f>
        <v>0</v>
      </c>
      <c r="AC47" s="526">
        <f t="shared" ref="AC47:AC55" si="28">W47*Z47</f>
        <v>0</v>
      </c>
      <c r="AD47" s="526">
        <f t="shared" ref="AD47:AD55" si="29">W47*AA47</f>
        <v>0</v>
      </c>
    </row>
    <row r="48" spans="1:30" ht="31.5">
      <c r="A48" s="759">
        <v>31</v>
      </c>
      <c r="B48" s="529">
        <v>7000016907</v>
      </c>
      <c r="C48" s="529">
        <v>310</v>
      </c>
      <c r="D48" s="529" t="s">
        <v>582</v>
      </c>
      <c r="E48" s="529">
        <v>1000009714</v>
      </c>
      <c r="F48" s="529">
        <v>85364900</v>
      </c>
      <c r="G48" s="716"/>
      <c r="H48" s="529">
        <v>18</v>
      </c>
      <c r="I48" s="541"/>
      <c r="J48" s="715" t="s">
        <v>695</v>
      </c>
      <c r="K48" s="529" t="s">
        <v>299</v>
      </c>
      <c r="L48" s="529">
        <v>1</v>
      </c>
      <c r="M48" s="717"/>
      <c r="N48" s="530" t="str">
        <f t="shared" si="15"/>
        <v>INCLUDED</v>
      </c>
      <c r="O48" s="747">
        <f t="shared" si="16"/>
        <v>0</v>
      </c>
      <c r="P48" s="747">
        <f t="shared" si="17"/>
        <v>0</v>
      </c>
      <c r="Q48" s="748">
        <f>Discount!$H$36</f>
        <v>0</v>
      </c>
      <c r="R48" s="748">
        <f t="shared" si="18"/>
        <v>0</v>
      </c>
      <c r="S48" s="748">
        <f t="shared" si="19"/>
        <v>0</v>
      </c>
      <c r="T48" s="749">
        <f t="shared" si="20"/>
        <v>0</v>
      </c>
      <c r="V48" s="850">
        <f t="shared" si="21"/>
        <v>0</v>
      </c>
      <c r="W48" s="749">
        <f t="shared" si="22"/>
        <v>0</v>
      </c>
      <c r="X48" s="749">
        <f t="shared" si="23"/>
        <v>0.18</v>
      </c>
      <c r="Y48" s="749">
        <f t="shared" si="24"/>
        <v>0</v>
      </c>
      <c r="Z48" s="749">
        <f t="shared" si="25"/>
        <v>0.18</v>
      </c>
      <c r="AA48" s="749">
        <f t="shared" si="26"/>
        <v>0</v>
      </c>
      <c r="AB48" s="526">
        <f t="shared" si="27"/>
        <v>0</v>
      </c>
      <c r="AC48" s="526">
        <f t="shared" si="28"/>
        <v>0</v>
      </c>
      <c r="AD48" s="526">
        <f t="shared" si="29"/>
        <v>0</v>
      </c>
    </row>
    <row r="49" spans="1:30" ht="31.5">
      <c r="A49" s="759">
        <v>32</v>
      </c>
      <c r="B49" s="529">
        <v>7000016907</v>
      </c>
      <c r="C49" s="529">
        <v>320</v>
      </c>
      <c r="D49" s="529" t="s">
        <v>667</v>
      </c>
      <c r="E49" s="529">
        <v>1000005073</v>
      </c>
      <c r="F49" s="529">
        <v>85371000</v>
      </c>
      <c r="G49" s="716"/>
      <c r="H49" s="529">
        <v>18</v>
      </c>
      <c r="I49" s="541"/>
      <c r="J49" s="715" t="s">
        <v>696</v>
      </c>
      <c r="K49" s="529" t="s">
        <v>299</v>
      </c>
      <c r="L49" s="529">
        <v>1</v>
      </c>
      <c r="M49" s="717"/>
      <c r="N49" s="530" t="str">
        <f t="shared" si="15"/>
        <v>INCLUDED</v>
      </c>
      <c r="O49" s="747">
        <f t="shared" si="16"/>
        <v>0</v>
      </c>
      <c r="P49" s="747">
        <f t="shared" si="17"/>
        <v>0</v>
      </c>
      <c r="Q49" s="748">
        <f>Discount!$H$36</f>
        <v>0</v>
      </c>
      <c r="R49" s="748">
        <f t="shared" si="18"/>
        <v>0</v>
      </c>
      <c r="S49" s="748">
        <f t="shared" si="19"/>
        <v>0</v>
      </c>
      <c r="T49" s="749">
        <f t="shared" si="20"/>
        <v>0</v>
      </c>
      <c r="V49" s="850">
        <f t="shared" si="21"/>
        <v>0</v>
      </c>
      <c r="W49" s="749">
        <f t="shared" si="22"/>
        <v>0</v>
      </c>
      <c r="X49" s="749">
        <f t="shared" si="23"/>
        <v>0.18</v>
      </c>
      <c r="Y49" s="749">
        <f t="shared" si="24"/>
        <v>0</v>
      </c>
      <c r="Z49" s="749">
        <f t="shared" si="25"/>
        <v>0.18</v>
      </c>
      <c r="AA49" s="749">
        <f t="shared" si="26"/>
        <v>0</v>
      </c>
      <c r="AB49" s="526">
        <f t="shared" si="27"/>
        <v>0</v>
      </c>
      <c r="AC49" s="526">
        <f t="shared" si="28"/>
        <v>0</v>
      </c>
      <c r="AD49" s="526">
        <f t="shared" si="29"/>
        <v>0</v>
      </c>
    </row>
    <row r="50" spans="1:30" ht="31.5">
      <c r="A50" s="759">
        <v>33</v>
      </c>
      <c r="B50" s="529">
        <v>7000016907</v>
      </c>
      <c r="C50" s="529">
        <v>330</v>
      </c>
      <c r="D50" s="529" t="s">
        <v>667</v>
      </c>
      <c r="E50" s="529">
        <v>1000005789</v>
      </c>
      <c r="F50" s="529">
        <v>85371000</v>
      </c>
      <c r="G50" s="716"/>
      <c r="H50" s="529">
        <v>18</v>
      </c>
      <c r="I50" s="541"/>
      <c r="J50" s="715" t="s">
        <v>697</v>
      </c>
      <c r="K50" s="529" t="s">
        <v>299</v>
      </c>
      <c r="L50" s="529">
        <v>1</v>
      </c>
      <c r="M50" s="717"/>
      <c r="N50" s="530" t="str">
        <f t="shared" si="15"/>
        <v>INCLUDED</v>
      </c>
      <c r="O50" s="747">
        <f t="shared" si="16"/>
        <v>0</v>
      </c>
      <c r="P50" s="747">
        <f t="shared" si="17"/>
        <v>0</v>
      </c>
      <c r="Q50" s="748">
        <f>Discount!$H$36</f>
        <v>0</v>
      </c>
      <c r="R50" s="748">
        <f t="shared" si="18"/>
        <v>0</v>
      </c>
      <c r="S50" s="748">
        <f t="shared" si="19"/>
        <v>0</v>
      </c>
      <c r="T50" s="749">
        <f t="shared" si="20"/>
        <v>0</v>
      </c>
      <c r="V50" s="850">
        <f t="shared" si="21"/>
        <v>0</v>
      </c>
      <c r="W50" s="749">
        <f t="shared" si="22"/>
        <v>0</v>
      </c>
      <c r="X50" s="749">
        <f t="shared" si="23"/>
        <v>0.18</v>
      </c>
      <c r="Y50" s="749">
        <f t="shared" si="24"/>
        <v>0</v>
      </c>
      <c r="Z50" s="749">
        <f t="shared" si="25"/>
        <v>0.18</v>
      </c>
      <c r="AA50" s="749">
        <f t="shared" si="26"/>
        <v>0</v>
      </c>
      <c r="AB50" s="526">
        <f t="shared" si="27"/>
        <v>0</v>
      </c>
      <c r="AC50" s="526">
        <f t="shared" si="28"/>
        <v>0</v>
      </c>
      <c r="AD50" s="526">
        <f t="shared" si="29"/>
        <v>0</v>
      </c>
    </row>
    <row r="51" spans="1:30" ht="31.5">
      <c r="A51" s="759">
        <v>34</v>
      </c>
      <c r="B51" s="529">
        <v>7000016907</v>
      </c>
      <c r="C51" s="529">
        <v>340</v>
      </c>
      <c r="D51" s="529" t="s">
        <v>523</v>
      </c>
      <c r="E51" s="529">
        <v>1000002165</v>
      </c>
      <c r="F51" s="529">
        <v>85371000</v>
      </c>
      <c r="G51" s="716"/>
      <c r="H51" s="529">
        <v>18</v>
      </c>
      <c r="I51" s="541"/>
      <c r="J51" s="715" t="s">
        <v>595</v>
      </c>
      <c r="K51" s="529" t="s">
        <v>299</v>
      </c>
      <c r="L51" s="529">
        <v>5</v>
      </c>
      <c r="M51" s="717"/>
      <c r="N51" s="530" t="str">
        <f t="shared" si="15"/>
        <v>INCLUDED</v>
      </c>
      <c r="O51" s="747">
        <f t="shared" si="16"/>
        <v>0</v>
      </c>
      <c r="P51" s="747">
        <f t="shared" si="17"/>
        <v>0</v>
      </c>
      <c r="Q51" s="748">
        <f>Discount!$H$36</f>
        <v>0</v>
      </c>
      <c r="R51" s="748">
        <f t="shared" si="18"/>
        <v>0</v>
      </c>
      <c r="S51" s="748">
        <f t="shared" si="19"/>
        <v>0</v>
      </c>
      <c r="T51" s="749">
        <f t="shared" si="20"/>
        <v>0</v>
      </c>
      <c r="V51" s="850">
        <f t="shared" si="21"/>
        <v>0</v>
      </c>
      <c r="W51" s="749">
        <f t="shared" si="22"/>
        <v>0</v>
      </c>
      <c r="X51" s="749">
        <f t="shared" si="23"/>
        <v>0.18</v>
      </c>
      <c r="Y51" s="749">
        <f t="shared" si="24"/>
        <v>0</v>
      </c>
      <c r="Z51" s="749">
        <f t="shared" si="25"/>
        <v>0.18</v>
      </c>
      <c r="AA51" s="749">
        <f t="shared" si="26"/>
        <v>0</v>
      </c>
      <c r="AB51" s="526">
        <f t="shared" si="27"/>
        <v>0</v>
      </c>
      <c r="AC51" s="526">
        <f t="shared" si="28"/>
        <v>0</v>
      </c>
      <c r="AD51" s="526">
        <f t="shared" si="29"/>
        <v>0</v>
      </c>
    </row>
    <row r="52" spans="1:30" ht="31.5">
      <c r="A52" s="759">
        <v>35</v>
      </c>
      <c r="B52" s="529">
        <v>7000016907</v>
      </c>
      <c r="C52" s="529">
        <v>350</v>
      </c>
      <c r="D52" s="529" t="s">
        <v>523</v>
      </c>
      <c r="E52" s="529">
        <v>1000003398</v>
      </c>
      <c r="F52" s="529">
        <v>85371000</v>
      </c>
      <c r="G52" s="716"/>
      <c r="H52" s="529">
        <v>18</v>
      </c>
      <c r="I52" s="541"/>
      <c r="J52" s="715" t="s">
        <v>698</v>
      </c>
      <c r="K52" s="529" t="s">
        <v>299</v>
      </c>
      <c r="L52" s="529">
        <v>2</v>
      </c>
      <c r="M52" s="717"/>
      <c r="N52" s="530" t="str">
        <f t="shared" si="15"/>
        <v>INCLUDED</v>
      </c>
      <c r="O52" s="747">
        <f t="shared" si="16"/>
        <v>0</v>
      </c>
      <c r="P52" s="747">
        <f t="shared" si="17"/>
        <v>0</v>
      </c>
      <c r="Q52" s="748">
        <f>Discount!$H$36</f>
        <v>0</v>
      </c>
      <c r="R52" s="748">
        <f t="shared" si="18"/>
        <v>0</v>
      </c>
      <c r="S52" s="748">
        <f t="shared" si="19"/>
        <v>0</v>
      </c>
      <c r="T52" s="749">
        <f t="shared" si="20"/>
        <v>0</v>
      </c>
      <c r="V52" s="850">
        <f t="shared" si="21"/>
        <v>0</v>
      </c>
      <c r="W52" s="749">
        <f t="shared" si="22"/>
        <v>0</v>
      </c>
      <c r="X52" s="749">
        <f t="shared" si="23"/>
        <v>0.18</v>
      </c>
      <c r="Y52" s="749">
        <f t="shared" si="24"/>
        <v>0</v>
      </c>
      <c r="Z52" s="749">
        <f t="shared" si="25"/>
        <v>0.18</v>
      </c>
      <c r="AA52" s="749">
        <f t="shared" si="26"/>
        <v>0</v>
      </c>
      <c r="AB52" s="526">
        <f t="shared" si="27"/>
        <v>0</v>
      </c>
      <c r="AC52" s="526">
        <f t="shared" si="28"/>
        <v>0</v>
      </c>
      <c r="AD52" s="526">
        <f t="shared" si="29"/>
        <v>0</v>
      </c>
    </row>
    <row r="53" spans="1:30" ht="31.5">
      <c r="A53" s="759">
        <v>36</v>
      </c>
      <c r="B53" s="529">
        <v>7000016907</v>
      </c>
      <c r="C53" s="529">
        <v>360</v>
      </c>
      <c r="D53" s="529" t="s">
        <v>524</v>
      </c>
      <c r="E53" s="529">
        <v>1000003411</v>
      </c>
      <c r="F53" s="529">
        <v>85371000</v>
      </c>
      <c r="G53" s="716"/>
      <c r="H53" s="529">
        <v>18</v>
      </c>
      <c r="I53" s="541"/>
      <c r="J53" s="715" t="s">
        <v>598</v>
      </c>
      <c r="K53" s="529" t="s">
        <v>299</v>
      </c>
      <c r="L53" s="529">
        <v>2</v>
      </c>
      <c r="M53" s="717"/>
      <c r="N53" s="530" t="str">
        <f t="shared" si="15"/>
        <v>INCLUDED</v>
      </c>
      <c r="O53" s="747">
        <f t="shared" si="16"/>
        <v>0</v>
      </c>
      <c r="P53" s="747">
        <f t="shared" si="17"/>
        <v>0</v>
      </c>
      <c r="Q53" s="748">
        <f>Discount!$H$36</f>
        <v>0</v>
      </c>
      <c r="R53" s="748">
        <f t="shared" si="18"/>
        <v>0</v>
      </c>
      <c r="S53" s="748">
        <f t="shared" si="19"/>
        <v>0</v>
      </c>
      <c r="T53" s="749">
        <f t="shared" si="20"/>
        <v>0</v>
      </c>
      <c r="V53" s="850">
        <f t="shared" si="21"/>
        <v>0</v>
      </c>
      <c r="W53" s="749">
        <f t="shared" si="22"/>
        <v>0</v>
      </c>
      <c r="X53" s="749">
        <f t="shared" si="23"/>
        <v>0.18</v>
      </c>
      <c r="Y53" s="749">
        <f t="shared" si="24"/>
        <v>0</v>
      </c>
      <c r="Z53" s="749">
        <f t="shared" si="25"/>
        <v>0.18</v>
      </c>
      <c r="AA53" s="749">
        <f t="shared" si="26"/>
        <v>0</v>
      </c>
      <c r="AB53" s="526">
        <f t="shared" si="27"/>
        <v>0</v>
      </c>
      <c r="AC53" s="526">
        <f t="shared" si="28"/>
        <v>0</v>
      </c>
      <c r="AD53" s="526">
        <f t="shared" si="29"/>
        <v>0</v>
      </c>
    </row>
    <row r="54" spans="1:30" ht="31.5">
      <c r="A54" s="759">
        <v>37</v>
      </c>
      <c r="B54" s="529">
        <v>7000016907</v>
      </c>
      <c r="C54" s="529">
        <v>370</v>
      </c>
      <c r="D54" s="529" t="s">
        <v>524</v>
      </c>
      <c r="E54" s="529">
        <v>1000003409</v>
      </c>
      <c r="F54" s="529">
        <v>85371000</v>
      </c>
      <c r="G54" s="716"/>
      <c r="H54" s="529">
        <v>18</v>
      </c>
      <c r="I54" s="541"/>
      <c r="J54" s="715" t="s">
        <v>597</v>
      </c>
      <c r="K54" s="529" t="s">
        <v>299</v>
      </c>
      <c r="L54" s="529">
        <v>3</v>
      </c>
      <c r="M54" s="717"/>
      <c r="N54" s="530" t="str">
        <f t="shared" si="15"/>
        <v>INCLUDED</v>
      </c>
      <c r="O54" s="747">
        <f t="shared" si="16"/>
        <v>0</v>
      </c>
      <c r="P54" s="747">
        <f t="shared" si="17"/>
        <v>0</v>
      </c>
      <c r="Q54" s="748">
        <f>Discount!$H$36</f>
        <v>0</v>
      </c>
      <c r="R54" s="748">
        <f t="shared" si="18"/>
        <v>0</v>
      </c>
      <c r="S54" s="748">
        <f t="shared" si="19"/>
        <v>0</v>
      </c>
      <c r="T54" s="749">
        <f t="shared" si="20"/>
        <v>0</v>
      </c>
      <c r="V54" s="850">
        <f t="shared" si="21"/>
        <v>0</v>
      </c>
      <c r="W54" s="749">
        <f t="shared" si="22"/>
        <v>0</v>
      </c>
      <c r="X54" s="749">
        <f t="shared" si="23"/>
        <v>0.18</v>
      </c>
      <c r="Y54" s="749">
        <f t="shared" si="24"/>
        <v>0</v>
      </c>
      <c r="Z54" s="749">
        <f t="shared" si="25"/>
        <v>0.18</v>
      </c>
      <c r="AA54" s="749">
        <f t="shared" si="26"/>
        <v>0</v>
      </c>
      <c r="AB54" s="526">
        <f t="shared" si="27"/>
        <v>0</v>
      </c>
      <c r="AC54" s="526">
        <f t="shared" si="28"/>
        <v>0</v>
      </c>
      <c r="AD54" s="526">
        <f t="shared" si="29"/>
        <v>0</v>
      </c>
    </row>
    <row r="55" spans="1:30" ht="31.5">
      <c r="A55" s="759">
        <v>38</v>
      </c>
      <c r="B55" s="529">
        <v>7000016907</v>
      </c>
      <c r="C55" s="529">
        <v>380</v>
      </c>
      <c r="D55" s="529" t="s">
        <v>524</v>
      </c>
      <c r="E55" s="529">
        <v>1000005535</v>
      </c>
      <c r="F55" s="529">
        <v>85371000</v>
      </c>
      <c r="G55" s="716"/>
      <c r="H55" s="529">
        <v>18</v>
      </c>
      <c r="I55" s="541"/>
      <c r="J55" s="715" t="s">
        <v>699</v>
      </c>
      <c r="K55" s="529" t="s">
        <v>299</v>
      </c>
      <c r="L55" s="529">
        <v>1</v>
      </c>
      <c r="M55" s="717"/>
      <c r="N55" s="530" t="str">
        <f t="shared" si="15"/>
        <v>INCLUDED</v>
      </c>
      <c r="O55" s="747">
        <f t="shared" si="16"/>
        <v>0</v>
      </c>
      <c r="P55" s="747">
        <f t="shared" si="17"/>
        <v>0</v>
      </c>
      <c r="Q55" s="748">
        <f>Discount!$H$36</f>
        <v>0</v>
      </c>
      <c r="R55" s="748">
        <f t="shared" si="18"/>
        <v>0</v>
      </c>
      <c r="S55" s="748">
        <f t="shared" si="19"/>
        <v>0</v>
      </c>
      <c r="T55" s="749">
        <f t="shared" si="20"/>
        <v>0</v>
      </c>
      <c r="V55" s="850">
        <f t="shared" si="21"/>
        <v>0</v>
      </c>
      <c r="W55" s="749">
        <f t="shared" si="22"/>
        <v>0</v>
      </c>
      <c r="X55" s="749">
        <f t="shared" si="23"/>
        <v>0.18</v>
      </c>
      <c r="Y55" s="749">
        <f t="shared" si="24"/>
        <v>0</v>
      </c>
      <c r="Z55" s="749">
        <f t="shared" si="25"/>
        <v>0.18</v>
      </c>
      <c r="AA55" s="749">
        <f t="shared" si="26"/>
        <v>0</v>
      </c>
      <c r="AB55" s="526">
        <f t="shared" si="27"/>
        <v>0</v>
      </c>
      <c r="AC55" s="526">
        <f t="shared" si="28"/>
        <v>0</v>
      </c>
      <c r="AD55" s="526">
        <f t="shared" si="29"/>
        <v>0</v>
      </c>
    </row>
    <row r="56" spans="1:30" ht="141.75">
      <c r="A56" s="759">
        <v>39</v>
      </c>
      <c r="B56" s="529">
        <v>7000016907</v>
      </c>
      <c r="C56" s="529">
        <v>390</v>
      </c>
      <c r="D56" s="529" t="s">
        <v>525</v>
      </c>
      <c r="E56" s="529">
        <v>1000030433</v>
      </c>
      <c r="F56" s="529">
        <v>85287390</v>
      </c>
      <c r="G56" s="716"/>
      <c r="H56" s="529">
        <v>18</v>
      </c>
      <c r="I56" s="541"/>
      <c r="J56" s="715" t="s">
        <v>533</v>
      </c>
      <c r="K56" s="529" t="s">
        <v>300</v>
      </c>
      <c r="L56" s="529">
        <v>1</v>
      </c>
      <c r="M56" s="717"/>
      <c r="N56" s="530" t="str">
        <f t="shared" si="0"/>
        <v>INCLUDED</v>
      </c>
      <c r="O56" s="747">
        <f t="shared" si="1"/>
        <v>0</v>
      </c>
      <c r="P56" s="747">
        <f t="shared" si="2"/>
        <v>0</v>
      </c>
      <c r="Q56" s="748">
        <f>Discount!$H$36</f>
        <v>0</v>
      </c>
      <c r="R56" s="748">
        <f t="shared" si="3"/>
        <v>0</v>
      </c>
      <c r="S56" s="748">
        <f t="shared" si="4"/>
        <v>0</v>
      </c>
      <c r="T56" s="749">
        <f t="shared" si="5"/>
        <v>0</v>
      </c>
      <c r="V56" s="850">
        <f t="shared" si="6"/>
        <v>0</v>
      </c>
      <c r="W56" s="749">
        <f t="shared" si="7"/>
        <v>0</v>
      </c>
      <c r="X56" s="749">
        <f t="shared" si="8"/>
        <v>0.18</v>
      </c>
      <c r="Y56" s="749">
        <f t="shared" si="9"/>
        <v>0</v>
      </c>
      <c r="Z56" s="749">
        <f t="shared" si="10"/>
        <v>0.18</v>
      </c>
      <c r="AA56" s="749">
        <f t="shared" si="11"/>
        <v>0</v>
      </c>
      <c r="AB56" s="526">
        <f t="shared" si="12"/>
        <v>0</v>
      </c>
      <c r="AC56" s="526">
        <f t="shared" si="13"/>
        <v>0</v>
      </c>
      <c r="AD56" s="526">
        <f t="shared" si="14"/>
        <v>0</v>
      </c>
    </row>
    <row r="57" spans="1:30" ht="31.5">
      <c r="A57" s="759">
        <v>40</v>
      </c>
      <c r="B57" s="529">
        <v>7000016907</v>
      </c>
      <c r="C57" s="529">
        <v>400</v>
      </c>
      <c r="D57" s="529" t="s">
        <v>668</v>
      </c>
      <c r="E57" s="529">
        <v>1000004290</v>
      </c>
      <c r="F57" s="529">
        <v>85176210</v>
      </c>
      <c r="G57" s="716"/>
      <c r="H57" s="529">
        <v>18</v>
      </c>
      <c r="I57" s="541"/>
      <c r="J57" s="715" t="s">
        <v>599</v>
      </c>
      <c r="K57" s="529" t="s">
        <v>299</v>
      </c>
      <c r="L57" s="529">
        <v>4</v>
      </c>
      <c r="M57" s="717"/>
      <c r="N57" s="530" t="str">
        <f t="shared" si="0"/>
        <v>INCLUDED</v>
      </c>
      <c r="O57" s="747">
        <f t="shared" si="1"/>
        <v>0</v>
      </c>
      <c r="P57" s="747">
        <f t="shared" si="2"/>
        <v>0</v>
      </c>
      <c r="Q57" s="748">
        <f>Discount!$H$36</f>
        <v>0</v>
      </c>
      <c r="R57" s="748">
        <f t="shared" si="3"/>
        <v>0</v>
      </c>
      <c r="S57" s="748">
        <f t="shared" si="4"/>
        <v>0</v>
      </c>
      <c r="T57" s="749">
        <f t="shared" si="5"/>
        <v>0</v>
      </c>
      <c r="V57" s="850">
        <f t="shared" si="6"/>
        <v>0</v>
      </c>
      <c r="W57" s="749">
        <f t="shared" si="7"/>
        <v>0</v>
      </c>
      <c r="X57" s="749">
        <f t="shared" si="8"/>
        <v>0.18</v>
      </c>
      <c r="Y57" s="749">
        <f t="shared" si="9"/>
        <v>0</v>
      </c>
      <c r="Z57" s="749">
        <f t="shared" si="10"/>
        <v>0.18</v>
      </c>
      <c r="AA57" s="749">
        <f t="shared" si="11"/>
        <v>0</v>
      </c>
      <c r="AB57" s="526">
        <f t="shared" si="12"/>
        <v>0</v>
      </c>
      <c r="AC57" s="526">
        <f t="shared" si="13"/>
        <v>0</v>
      </c>
      <c r="AD57" s="526">
        <f t="shared" si="14"/>
        <v>0</v>
      </c>
    </row>
    <row r="58" spans="1:30" ht="31.5">
      <c r="A58" s="759">
        <v>41</v>
      </c>
      <c r="B58" s="529">
        <v>7000016907</v>
      </c>
      <c r="C58" s="529">
        <v>410</v>
      </c>
      <c r="D58" s="529" t="s">
        <v>668</v>
      </c>
      <c r="E58" s="529">
        <v>1000010014</v>
      </c>
      <c r="F58" s="529">
        <v>85176210</v>
      </c>
      <c r="G58" s="716"/>
      <c r="H58" s="529">
        <v>18</v>
      </c>
      <c r="I58" s="541"/>
      <c r="J58" s="715" t="s">
        <v>700</v>
      </c>
      <c r="K58" s="529" t="s">
        <v>300</v>
      </c>
      <c r="L58" s="529">
        <v>2</v>
      </c>
      <c r="M58" s="717"/>
      <c r="N58" s="530" t="str">
        <f t="shared" si="0"/>
        <v>INCLUDED</v>
      </c>
      <c r="O58" s="747">
        <f t="shared" si="1"/>
        <v>0</v>
      </c>
      <c r="P58" s="747">
        <f t="shared" si="2"/>
        <v>0</v>
      </c>
      <c r="Q58" s="748">
        <f>Discount!$H$36</f>
        <v>0</v>
      </c>
      <c r="R58" s="748">
        <f t="shared" si="3"/>
        <v>0</v>
      </c>
      <c r="S58" s="748">
        <f t="shared" si="4"/>
        <v>0</v>
      </c>
      <c r="T58" s="749">
        <f t="shared" si="5"/>
        <v>0</v>
      </c>
      <c r="V58" s="850">
        <f t="shared" si="6"/>
        <v>0</v>
      </c>
      <c r="W58" s="749">
        <f t="shared" si="7"/>
        <v>0</v>
      </c>
      <c r="X58" s="749">
        <f t="shared" si="8"/>
        <v>0.18</v>
      </c>
      <c r="Y58" s="749">
        <f t="shared" si="9"/>
        <v>0</v>
      </c>
      <c r="Z58" s="749">
        <f t="shared" si="10"/>
        <v>0.18</v>
      </c>
      <c r="AA58" s="749">
        <f t="shared" si="11"/>
        <v>0</v>
      </c>
      <c r="AB58" s="526">
        <f t="shared" si="12"/>
        <v>0</v>
      </c>
      <c r="AC58" s="526">
        <f t="shared" si="13"/>
        <v>0</v>
      </c>
      <c r="AD58" s="526">
        <f t="shared" si="14"/>
        <v>0</v>
      </c>
    </row>
    <row r="59" spans="1:30" ht="31.5">
      <c r="A59" s="759">
        <v>42</v>
      </c>
      <c r="B59" s="529">
        <v>7000016907</v>
      </c>
      <c r="C59" s="529">
        <v>420</v>
      </c>
      <c r="D59" s="529" t="s">
        <v>668</v>
      </c>
      <c r="E59" s="529">
        <v>1000000046</v>
      </c>
      <c r="F59" s="529">
        <v>85176210</v>
      </c>
      <c r="G59" s="716"/>
      <c r="H59" s="529">
        <v>18</v>
      </c>
      <c r="I59" s="541"/>
      <c r="J59" s="715" t="s">
        <v>701</v>
      </c>
      <c r="K59" s="529" t="s">
        <v>299</v>
      </c>
      <c r="L59" s="529">
        <v>2</v>
      </c>
      <c r="M59" s="717"/>
      <c r="N59" s="530" t="str">
        <f t="shared" si="0"/>
        <v>INCLUDED</v>
      </c>
      <c r="O59" s="747">
        <f t="shared" si="1"/>
        <v>0</v>
      </c>
      <c r="P59" s="747">
        <f t="shared" si="2"/>
        <v>0</v>
      </c>
      <c r="Q59" s="748">
        <f>Discount!$H$36</f>
        <v>0</v>
      </c>
      <c r="R59" s="748">
        <f t="shared" si="3"/>
        <v>0</v>
      </c>
      <c r="S59" s="748">
        <f t="shared" si="4"/>
        <v>0</v>
      </c>
      <c r="T59" s="749">
        <f t="shared" si="5"/>
        <v>0</v>
      </c>
      <c r="V59" s="850">
        <f t="shared" si="6"/>
        <v>0</v>
      </c>
      <c r="W59" s="749">
        <f t="shared" si="7"/>
        <v>0</v>
      </c>
      <c r="X59" s="749">
        <f t="shared" si="8"/>
        <v>0.18</v>
      </c>
      <c r="Y59" s="749">
        <f t="shared" si="9"/>
        <v>0</v>
      </c>
      <c r="Z59" s="749">
        <f t="shared" si="10"/>
        <v>0.18</v>
      </c>
      <c r="AA59" s="749">
        <f t="shared" si="11"/>
        <v>0</v>
      </c>
      <c r="AB59" s="526">
        <f t="shared" si="12"/>
        <v>0</v>
      </c>
      <c r="AC59" s="526">
        <f t="shared" si="13"/>
        <v>0</v>
      </c>
      <c r="AD59" s="526">
        <f t="shared" si="14"/>
        <v>0</v>
      </c>
    </row>
    <row r="60" spans="1:30" ht="31.5">
      <c r="A60" s="759">
        <v>43</v>
      </c>
      <c r="B60" s="529">
        <v>7000016907</v>
      </c>
      <c r="C60" s="529">
        <v>430</v>
      </c>
      <c r="D60" s="529" t="s">
        <v>668</v>
      </c>
      <c r="E60" s="529">
        <v>1000017887</v>
      </c>
      <c r="F60" s="529">
        <v>85176210</v>
      </c>
      <c r="G60" s="716"/>
      <c r="H60" s="529">
        <v>18</v>
      </c>
      <c r="I60" s="541"/>
      <c r="J60" s="715" t="s">
        <v>702</v>
      </c>
      <c r="K60" s="529" t="s">
        <v>299</v>
      </c>
      <c r="L60" s="529">
        <v>2</v>
      </c>
      <c r="M60" s="717"/>
      <c r="N60" s="530" t="str">
        <f t="shared" si="0"/>
        <v>INCLUDED</v>
      </c>
      <c r="O60" s="747">
        <f t="shared" si="1"/>
        <v>0</v>
      </c>
      <c r="P60" s="747">
        <f t="shared" si="2"/>
        <v>0</v>
      </c>
      <c r="Q60" s="748">
        <f>Discount!$H$36</f>
        <v>0</v>
      </c>
      <c r="R60" s="748">
        <f t="shared" si="3"/>
        <v>0</v>
      </c>
      <c r="S60" s="748">
        <f t="shared" si="4"/>
        <v>0</v>
      </c>
      <c r="T60" s="749">
        <f t="shared" si="5"/>
        <v>0</v>
      </c>
      <c r="V60" s="850">
        <f t="shared" si="6"/>
        <v>0</v>
      </c>
      <c r="W60" s="749">
        <f t="shared" si="7"/>
        <v>0</v>
      </c>
      <c r="X60" s="749">
        <f t="shared" si="8"/>
        <v>0.18</v>
      </c>
      <c r="Y60" s="749">
        <f t="shared" si="9"/>
        <v>0</v>
      </c>
      <c r="Z60" s="749">
        <f t="shared" si="10"/>
        <v>0.18</v>
      </c>
      <c r="AA60" s="749">
        <f t="shared" si="11"/>
        <v>0</v>
      </c>
      <c r="AB60" s="526">
        <f t="shared" si="12"/>
        <v>0</v>
      </c>
      <c r="AC60" s="526">
        <f t="shared" si="13"/>
        <v>0</v>
      </c>
      <c r="AD60" s="526">
        <f t="shared" si="14"/>
        <v>0</v>
      </c>
    </row>
    <row r="61" spans="1:30" ht="31.5">
      <c r="A61" s="759">
        <v>44</v>
      </c>
      <c r="B61" s="529">
        <v>7000016907</v>
      </c>
      <c r="C61" s="529">
        <v>440</v>
      </c>
      <c r="D61" s="529" t="s">
        <v>668</v>
      </c>
      <c r="E61" s="529">
        <v>1000010638</v>
      </c>
      <c r="F61" s="529">
        <v>85176210</v>
      </c>
      <c r="G61" s="716"/>
      <c r="H61" s="529">
        <v>18</v>
      </c>
      <c r="I61" s="541"/>
      <c r="J61" s="715" t="s">
        <v>703</v>
      </c>
      <c r="K61" s="529" t="s">
        <v>299</v>
      </c>
      <c r="L61" s="529">
        <v>2</v>
      </c>
      <c r="M61" s="717"/>
      <c r="N61" s="530" t="str">
        <f t="shared" si="0"/>
        <v>INCLUDED</v>
      </c>
      <c r="O61" s="747">
        <f t="shared" si="1"/>
        <v>0</v>
      </c>
      <c r="P61" s="747">
        <f t="shared" si="2"/>
        <v>0</v>
      </c>
      <c r="Q61" s="748">
        <f>Discount!$H$36</f>
        <v>0</v>
      </c>
      <c r="R61" s="748">
        <f t="shared" si="3"/>
        <v>0</v>
      </c>
      <c r="S61" s="748">
        <f t="shared" si="4"/>
        <v>0</v>
      </c>
      <c r="T61" s="749">
        <f t="shared" si="5"/>
        <v>0</v>
      </c>
      <c r="V61" s="850">
        <f t="shared" si="6"/>
        <v>0</v>
      </c>
      <c r="W61" s="749">
        <f t="shared" si="7"/>
        <v>0</v>
      </c>
      <c r="X61" s="749">
        <f t="shared" si="8"/>
        <v>0.18</v>
      </c>
      <c r="Y61" s="749">
        <f t="shared" si="9"/>
        <v>0</v>
      </c>
      <c r="Z61" s="749">
        <f t="shared" si="10"/>
        <v>0.18</v>
      </c>
      <c r="AA61" s="749">
        <f t="shared" si="11"/>
        <v>0</v>
      </c>
      <c r="AB61" s="526">
        <f t="shared" si="12"/>
        <v>0</v>
      </c>
      <c r="AC61" s="526">
        <f t="shared" si="13"/>
        <v>0</v>
      </c>
      <c r="AD61" s="526">
        <f t="shared" si="14"/>
        <v>0</v>
      </c>
    </row>
    <row r="62" spans="1:30" ht="31.5">
      <c r="A62" s="759">
        <v>45</v>
      </c>
      <c r="B62" s="529">
        <v>7000016907</v>
      </c>
      <c r="C62" s="529">
        <v>450</v>
      </c>
      <c r="D62" s="529" t="s">
        <v>668</v>
      </c>
      <c r="E62" s="529">
        <v>1000036908</v>
      </c>
      <c r="F62" s="529">
        <v>85446020</v>
      </c>
      <c r="G62" s="716"/>
      <c r="H62" s="529">
        <v>18</v>
      </c>
      <c r="I62" s="541"/>
      <c r="J62" s="715" t="s">
        <v>704</v>
      </c>
      <c r="K62" s="529" t="s">
        <v>478</v>
      </c>
      <c r="L62" s="529">
        <v>1.5</v>
      </c>
      <c r="M62" s="717"/>
      <c r="N62" s="530" t="str">
        <f t="shared" si="0"/>
        <v>INCLUDED</v>
      </c>
      <c r="O62" s="747">
        <f t="shared" si="1"/>
        <v>0</v>
      </c>
      <c r="P62" s="747">
        <f t="shared" si="2"/>
        <v>0</v>
      </c>
      <c r="Q62" s="748">
        <f>Discount!$H$36</f>
        <v>0</v>
      </c>
      <c r="R62" s="748">
        <f t="shared" si="3"/>
        <v>0</v>
      </c>
      <c r="S62" s="748">
        <f t="shared" si="4"/>
        <v>0</v>
      </c>
      <c r="T62" s="749">
        <f t="shared" si="5"/>
        <v>0</v>
      </c>
      <c r="V62" s="850">
        <f t="shared" si="6"/>
        <v>0</v>
      </c>
      <c r="W62" s="749">
        <f t="shared" si="7"/>
        <v>0</v>
      </c>
      <c r="X62" s="749">
        <f t="shared" si="8"/>
        <v>0.18</v>
      </c>
      <c r="Y62" s="749">
        <f t="shared" si="9"/>
        <v>0</v>
      </c>
      <c r="Z62" s="749">
        <f t="shared" si="10"/>
        <v>0.18</v>
      </c>
      <c r="AA62" s="749">
        <f t="shared" si="11"/>
        <v>0</v>
      </c>
      <c r="AB62" s="526">
        <f t="shared" si="12"/>
        <v>0</v>
      </c>
      <c r="AC62" s="526">
        <f t="shared" si="13"/>
        <v>0</v>
      </c>
      <c r="AD62" s="526">
        <f t="shared" si="14"/>
        <v>0</v>
      </c>
    </row>
    <row r="63" spans="1:30" ht="31.5">
      <c r="A63" s="759">
        <v>46</v>
      </c>
      <c r="B63" s="529">
        <v>7000016907</v>
      </c>
      <c r="C63" s="529">
        <v>460</v>
      </c>
      <c r="D63" s="529" t="s">
        <v>668</v>
      </c>
      <c r="E63" s="529">
        <v>1000004400</v>
      </c>
      <c r="F63" s="529">
        <v>85462040</v>
      </c>
      <c r="G63" s="716"/>
      <c r="H63" s="529">
        <v>18</v>
      </c>
      <c r="I63" s="541"/>
      <c r="J63" s="715" t="s">
        <v>588</v>
      </c>
      <c r="K63" s="529" t="s">
        <v>299</v>
      </c>
      <c r="L63" s="529">
        <v>12</v>
      </c>
      <c r="M63" s="717"/>
      <c r="N63" s="530" t="str">
        <f t="shared" si="0"/>
        <v>INCLUDED</v>
      </c>
      <c r="O63" s="747">
        <f t="shared" si="1"/>
        <v>0</v>
      </c>
      <c r="P63" s="747">
        <f t="shared" si="2"/>
        <v>0</v>
      </c>
      <c r="Q63" s="748">
        <f>Discount!$H$36</f>
        <v>0</v>
      </c>
      <c r="R63" s="748">
        <f t="shared" si="3"/>
        <v>0</v>
      </c>
      <c r="S63" s="748">
        <f t="shared" si="4"/>
        <v>0</v>
      </c>
      <c r="T63" s="749">
        <f t="shared" si="5"/>
        <v>0</v>
      </c>
      <c r="V63" s="850">
        <f t="shared" si="6"/>
        <v>0</v>
      </c>
      <c r="W63" s="749">
        <f t="shared" si="7"/>
        <v>0</v>
      </c>
      <c r="X63" s="749">
        <f t="shared" si="8"/>
        <v>0.18</v>
      </c>
      <c r="Y63" s="749">
        <f t="shared" si="9"/>
        <v>0</v>
      </c>
      <c r="Z63" s="749">
        <f t="shared" si="10"/>
        <v>0.18</v>
      </c>
      <c r="AA63" s="749">
        <f t="shared" si="11"/>
        <v>0</v>
      </c>
      <c r="AB63" s="526">
        <f t="shared" si="12"/>
        <v>0</v>
      </c>
      <c r="AC63" s="526">
        <f t="shared" si="13"/>
        <v>0</v>
      </c>
      <c r="AD63" s="526">
        <f t="shared" si="14"/>
        <v>0</v>
      </c>
    </row>
    <row r="64" spans="1:30" ht="31.5">
      <c r="A64" s="759">
        <v>47</v>
      </c>
      <c r="B64" s="529">
        <v>7000016907</v>
      </c>
      <c r="C64" s="529">
        <v>470</v>
      </c>
      <c r="D64" s="529" t="s">
        <v>526</v>
      </c>
      <c r="E64" s="529">
        <v>1000032050</v>
      </c>
      <c r="F64" s="529">
        <v>85446020</v>
      </c>
      <c r="G64" s="716"/>
      <c r="H64" s="529">
        <v>18</v>
      </c>
      <c r="I64" s="541"/>
      <c r="J64" s="715" t="s">
        <v>534</v>
      </c>
      <c r="K64" s="529" t="s">
        <v>478</v>
      </c>
      <c r="L64" s="529">
        <v>3.9</v>
      </c>
      <c r="M64" s="717"/>
      <c r="N64" s="530" t="str">
        <f t="shared" si="0"/>
        <v>INCLUDED</v>
      </c>
      <c r="O64" s="747">
        <f t="shared" si="1"/>
        <v>0</v>
      </c>
      <c r="P64" s="747">
        <f t="shared" si="2"/>
        <v>0</v>
      </c>
      <c r="Q64" s="748">
        <f>Discount!$H$36</f>
        <v>0</v>
      </c>
      <c r="R64" s="748">
        <f t="shared" si="3"/>
        <v>0</v>
      </c>
      <c r="S64" s="748">
        <f t="shared" si="4"/>
        <v>0</v>
      </c>
      <c r="T64" s="749">
        <f t="shared" si="5"/>
        <v>0</v>
      </c>
      <c r="V64" s="850">
        <f t="shared" si="6"/>
        <v>0</v>
      </c>
      <c r="W64" s="749">
        <f t="shared" si="7"/>
        <v>0</v>
      </c>
      <c r="X64" s="749">
        <f t="shared" si="8"/>
        <v>0.18</v>
      </c>
      <c r="Y64" s="749">
        <f t="shared" si="9"/>
        <v>0</v>
      </c>
      <c r="Z64" s="749">
        <f t="shared" si="10"/>
        <v>0.18</v>
      </c>
      <c r="AA64" s="749">
        <f t="shared" si="11"/>
        <v>0</v>
      </c>
      <c r="AB64" s="526">
        <f t="shared" si="12"/>
        <v>0</v>
      </c>
      <c r="AC64" s="526">
        <f t="shared" si="13"/>
        <v>0</v>
      </c>
      <c r="AD64" s="526">
        <f t="shared" si="14"/>
        <v>0</v>
      </c>
    </row>
    <row r="65" spans="1:30" ht="31.5">
      <c r="A65" s="759">
        <v>48</v>
      </c>
      <c r="B65" s="529">
        <v>7000016907</v>
      </c>
      <c r="C65" s="529">
        <v>480</v>
      </c>
      <c r="D65" s="529" t="s">
        <v>526</v>
      </c>
      <c r="E65" s="529">
        <v>1000056265</v>
      </c>
      <c r="F65" s="529">
        <v>85446020</v>
      </c>
      <c r="G65" s="716"/>
      <c r="H65" s="529">
        <v>18</v>
      </c>
      <c r="I65" s="541"/>
      <c r="J65" s="715" t="s">
        <v>535</v>
      </c>
      <c r="K65" s="529" t="s">
        <v>478</v>
      </c>
      <c r="L65" s="529">
        <v>3.2</v>
      </c>
      <c r="M65" s="717"/>
      <c r="N65" s="530" t="str">
        <f t="shared" si="0"/>
        <v>INCLUDED</v>
      </c>
      <c r="O65" s="747">
        <f t="shared" si="1"/>
        <v>0</v>
      </c>
      <c r="P65" s="747">
        <f t="shared" si="2"/>
        <v>0</v>
      </c>
      <c r="Q65" s="748">
        <f>Discount!$H$36</f>
        <v>0</v>
      </c>
      <c r="R65" s="748">
        <f t="shared" si="3"/>
        <v>0</v>
      </c>
      <c r="S65" s="748">
        <f t="shared" si="4"/>
        <v>0</v>
      </c>
      <c r="T65" s="749">
        <f t="shared" si="5"/>
        <v>0</v>
      </c>
      <c r="V65" s="850">
        <f t="shared" si="6"/>
        <v>0</v>
      </c>
      <c r="W65" s="749">
        <f t="shared" si="7"/>
        <v>0</v>
      </c>
      <c r="X65" s="749">
        <f t="shared" si="8"/>
        <v>0.18</v>
      </c>
      <c r="Y65" s="749">
        <f t="shared" si="9"/>
        <v>0</v>
      </c>
      <c r="Z65" s="749">
        <f t="shared" si="10"/>
        <v>0.18</v>
      </c>
      <c r="AA65" s="749">
        <f t="shared" si="11"/>
        <v>0</v>
      </c>
      <c r="AB65" s="526">
        <f t="shared" si="12"/>
        <v>0</v>
      </c>
      <c r="AC65" s="526">
        <f t="shared" si="13"/>
        <v>0</v>
      </c>
      <c r="AD65" s="526">
        <f t="shared" si="14"/>
        <v>0</v>
      </c>
    </row>
    <row r="66" spans="1:30" ht="31.5">
      <c r="A66" s="759">
        <v>49</v>
      </c>
      <c r="B66" s="529">
        <v>7000016907</v>
      </c>
      <c r="C66" s="529">
        <v>490</v>
      </c>
      <c r="D66" s="529" t="s">
        <v>526</v>
      </c>
      <c r="E66" s="529">
        <v>1000056264</v>
      </c>
      <c r="F66" s="529">
        <v>85446020</v>
      </c>
      <c r="G66" s="716"/>
      <c r="H66" s="529">
        <v>18</v>
      </c>
      <c r="I66" s="541"/>
      <c r="J66" s="715" t="s">
        <v>536</v>
      </c>
      <c r="K66" s="529" t="s">
        <v>478</v>
      </c>
      <c r="L66" s="529">
        <v>8.5</v>
      </c>
      <c r="M66" s="717"/>
      <c r="N66" s="530" t="str">
        <f t="shared" si="0"/>
        <v>INCLUDED</v>
      </c>
      <c r="O66" s="747">
        <f t="shared" si="1"/>
        <v>0</v>
      </c>
      <c r="P66" s="747">
        <f t="shared" si="2"/>
        <v>0</v>
      </c>
      <c r="Q66" s="748">
        <f>Discount!$H$36</f>
        <v>0</v>
      </c>
      <c r="R66" s="748">
        <f t="shared" si="3"/>
        <v>0</v>
      </c>
      <c r="S66" s="748">
        <f t="shared" si="4"/>
        <v>0</v>
      </c>
      <c r="T66" s="749">
        <f t="shared" si="5"/>
        <v>0</v>
      </c>
      <c r="V66" s="850">
        <f t="shared" si="6"/>
        <v>0</v>
      </c>
      <c r="W66" s="749">
        <f t="shared" si="7"/>
        <v>0</v>
      </c>
      <c r="X66" s="749">
        <f t="shared" si="8"/>
        <v>0.18</v>
      </c>
      <c r="Y66" s="749">
        <f t="shared" si="9"/>
        <v>0</v>
      </c>
      <c r="Z66" s="749">
        <f t="shared" si="10"/>
        <v>0.18</v>
      </c>
      <c r="AA66" s="749">
        <f t="shared" si="11"/>
        <v>0</v>
      </c>
      <c r="AB66" s="526">
        <f t="shared" si="12"/>
        <v>0</v>
      </c>
      <c r="AC66" s="526">
        <f t="shared" si="13"/>
        <v>0</v>
      </c>
      <c r="AD66" s="526">
        <f t="shared" si="14"/>
        <v>0</v>
      </c>
    </row>
    <row r="67" spans="1:30" ht="31.5">
      <c r="A67" s="759">
        <v>50</v>
      </c>
      <c r="B67" s="529">
        <v>7000016907</v>
      </c>
      <c r="C67" s="529">
        <v>500</v>
      </c>
      <c r="D67" s="529" t="s">
        <v>526</v>
      </c>
      <c r="E67" s="529">
        <v>1000031887</v>
      </c>
      <c r="F67" s="529">
        <v>85446020</v>
      </c>
      <c r="G67" s="716"/>
      <c r="H67" s="529">
        <v>18</v>
      </c>
      <c r="I67" s="541"/>
      <c r="J67" s="715" t="s">
        <v>537</v>
      </c>
      <c r="K67" s="529" t="s">
        <v>478</v>
      </c>
      <c r="L67" s="529">
        <v>10.199999999999999</v>
      </c>
      <c r="M67" s="717"/>
      <c r="N67" s="530" t="str">
        <f t="shared" si="0"/>
        <v>INCLUDED</v>
      </c>
      <c r="O67" s="747">
        <f t="shared" si="1"/>
        <v>0</v>
      </c>
      <c r="P67" s="747">
        <f t="shared" si="2"/>
        <v>0</v>
      </c>
      <c r="Q67" s="748">
        <f>Discount!$H$36</f>
        <v>0</v>
      </c>
      <c r="R67" s="748">
        <f t="shared" si="3"/>
        <v>0</v>
      </c>
      <c r="S67" s="748">
        <f t="shared" si="4"/>
        <v>0</v>
      </c>
      <c r="T67" s="749">
        <f t="shared" si="5"/>
        <v>0</v>
      </c>
      <c r="V67" s="850">
        <f t="shared" si="6"/>
        <v>0</v>
      </c>
      <c r="W67" s="749">
        <f t="shared" si="7"/>
        <v>0</v>
      </c>
      <c r="X67" s="749">
        <f t="shared" si="8"/>
        <v>0.18</v>
      </c>
      <c r="Y67" s="749">
        <f t="shared" si="9"/>
        <v>0</v>
      </c>
      <c r="Z67" s="749">
        <f t="shared" si="10"/>
        <v>0.18</v>
      </c>
      <c r="AA67" s="749">
        <f t="shared" si="11"/>
        <v>0</v>
      </c>
      <c r="AB67" s="526">
        <f t="shared" si="12"/>
        <v>0</v>
      </c>
      <c r="AC67" s="526">
        <f t="shared" si="13"/>
        <v>0</v>
      </c>
      <c r="AD67" s="526">
        <f t="shared" si="14"/>
        <v>0</v>
      </c>
    </row>
    <row r="68" spans="1:30" ht="31.5">
      <c r="A68" s="759">
        <v>51</v>
      </c>
      <c r="B68" s="529">
        <v>7000016907</v>
      </c>
      <c r="C68" s="529">
        <v>510</v>
      </c>
      <c r="D68" s="529" t="s">
        <v>526</v>
      </c>
      <c r="E68" s="529">
        <v>1000031987</v>
      </c>
      <c r="F68" s="529">
        <v>85446020</v>
      </c>
      <c r="G68" s="716"/>
      <c r="H68" s="529">
        <v>18</v>
      </c>
      <c r="I68" s="541"/>
      <c r="J68" s="715" t="s">
        <v>538</v>
      </c>
      <c r="K68" s="529" t="s">
        <v>478</v>
      </c>
      <c r="L68" s="529">
        <v>15.5</v>
      </c>
      <c r="M68" s="717"/>
      <c r="N68" s="530" t="str">
        <f t="shared" si="0"/>
        <v>INCLUDED</v>
      </c>
      <c r="O68" s="747">
        <f t="shared" si="1"/>
        <v>0</v>
      </c>
      <c r="P68" s="747">
        <f t="shared" si="2"/>
        <v>0</v>
      </c>
      <c r="Q68" s="748">
        <f>Discount!$H$36</f>
        <v>0</v>
      </c>
      <c r="R68" s="748">
        <f t="shared" si="3"/>
        <v>0</v>
      </c>
      <c r="S68" s="748">
        <f t="shared" si="4"/>
        <v>0</v>
      </c>
      <c r="T68" s="749">
        <f t="shared" si="5"/>
        <v>0</v>
      </c>
      <c r="V68" s="850">
        <f t="shared" si="6"/>
        <v>0</v>
      </c>
      <c r="W68" s="749">
        <f t="shared" si="7"/>
        <v>0</v>
      </c>
      <c r="X68" s="749">
        <f t="shared" si="8"/>
        <v>0.18</v>
      </c>
      <c r="Y68" s="749">
        <f t="shared" si="9"/>
        <v>0</v>
      </c>
      <c r="Z68" s="749">
        <f t="shared" si="10"/>
        <v>0.18</v>
      </c>
      <c r="AA68" s="749">
        <f t="shared" si="11"/>
        <v>0</v>
      </c>
      <c r="AB68" s="526">
        <f t="shared" si="12"/>
        <v>0</v>
      </c>
      <c r="AC68" s="526">
        <f t="shared" si="13"/>
        <v>0</v>
      </c>
      <c r="AD68" s="526">
        <f t="shared" si="14"/>
        <v>0</v>
      </c>
    </row>
    <row r="69" spans="1:30" ht="31.5">
      <c r="A69" s="759">
        <v>52</v>
      </c>
      <c r="B69" s="529">
        <v>7000016907</v>
      </c>
      <c r="C69" s="529">
        <v>520</v>
      </c>
      <c r="D69" s="529" t="s">
        <v>526</v>
      </c>
      <c r="E69" s="529">
        <v>1000031964</v>
      </c>
      <c r="F69" s="529">
        <v>85446020</v>
      </c>
      <c r="G69" s="716"/>
      <c r="H69" s="529">
        <v>18</v>
      </c>
      <c r="I69" s="541"/>
      <c r="J69" s="715" t="s">
        <v>539</v>
      </c>
      <c r="K69" s="529" t="s">
        <v>478</v>
      </c>
      <c r="L69" s="529">
        <v>20</v>
      </c>
      <c r="M69" s="717"/>
      <c r="N69" s="530" t="str">
        <f t="shared" si="0"/>
        <v>INCLUDED</v>
      </c>
      <c r="O69" s="747">
        <f t="shared" si="1"/>
        <v>0</v>
      </c>
      <c r="P69" s="747">
        <f t="shared" si="2"/>
        <v>0</v>
      </c>
      <c r="Q69" s="748">
        <f>Discount!$H$36</f>
        <v>0</v>
      </c>
      <c r="R69" s="748">
        <f t="shared" si="3"/>
        <v>0</v>
      </c>
      <c r="S69" s="748">
        <f t="shared" si="4"/>
        <v>0</v>
      </c>
      <c r="T69" s="749">
        <f t="shared" si="5"/>
        <v>0</v>
      </c>
      <c r="V69" s="850">
        <f t="shared" si="6"/>
        <v>0</v>
      </c>
      <c r="W69" s="749">
        <f t="shared" si="7"/>
        <v>0</v>
      </c>
      <c r="X69" s="749">
        <f t="shared" si="8"/>
        <v>0.18</v>
      </c>
      <c r="Y69" s="749">
        <f t="shared" si="9"/>
        <v>0</v>
      </c>
      <c r="Z69" s="749">
        <f t="shared" si="10"/>
        <v>0.18</v>
      </c>
      <c r="AA69" s="749">
        <f t="shared" si="11"/>
        <v>0</v>
      </c>
      <c r="AB69" s="526">
        <f t="shared" si="12"/>
        <v>0</v>
      </c>
      <c r="AC69" s="526">
        <f t="shared" si="13"/>
        <v>0</v>
      </c>
      <c r="AD69" s="526">
        <f t="shared" si="14"/>
        <v>0</v>
      </c>
    </row>
    <row r="70" spans="1:30" ht="31.5">
      <c r="A70" s="759">
        <v>53</v>
      </c>
      <c r="B70" s="529">
        <v>7000016907</v>
      </c>
      <c r="C70" s="529">
        <v>530</v>
      </c>
      <c r="D70" s="529" t="s">
        <v>526</v>
      </c>
      <c r="E70" s="529">
        <v>1000031943</v>
      </c>
      <c r="F70" s="529">
        <v>85446020</v>
      </c>
      <c r="G70" s="716"/>
      <c r="H70" s="529">
        <v>18</v>
      </c>
      <c r="I70" s="541"/>
      <c r="J70" s="715" t="s">
        <v>540</v>
      </c>
      <c r="K70" s="529" t="s">
        <v>478</v>
      </c>
      <c r="L70" s="529">
        <v>3.5</v>
      </c>
      <c r="M70" s="717"/>
      <c r="N70" s="530" t="str">
        <f t="shared" si="0"/>
        <v>INCLUDED</v>
      </c>
      <c r="O70" s="747">
        <f t="shared" si="1"/>
        <v>0</v>
      </c>
      <c r="P70" s="747">
        <f t="shared" si="2"/>
        <v>0</v>
      </c>
      <c r="Q70" s="748">
        <f>Discount!$H$36</f>
        <v>0</v>
      </c>
      <c r="R70" s="748">
        <f t="shared" si="3"/>
        <v>0</v>
      </c>
      <c r="S70" s="748">
        <f t="shared" si="4"/>
        <v>0</v>
      </c>
      <c r="T70" s="749">
        <f t="shared" si="5"/>
        <v>0</v>
      </c>
      <c r="V70" s="850">
        <f t="shared" si="6"/>
        <v>0</v>
      </c>
      <c r="W70" s="749">
        <f t="shared" si="7"/>
        <v>0</v>
      </c>
      <c r="X70" s="749">
        <f t="shared" si="8"/>
        <v>0.18</v>
      </c>
      <c r="Y70" s="749">
        <f t="shared" si="9"/>
        <v>0</v>
      </c>
      <c r="Z70" s="749">
        <f t="shared" si="10"/>
        <v>0.18</v>
      </c>
      <c r="AA70" s="749">
        <f t="shared" si="11"/>
        <v>0</v>
      </c>
      <c r="AB70" s="526">
        <f t="shared" si="12"/>
        <v>0</v>
      </c>
      <c r="AC70" s="526">
        <f t="shared" si="13"/>
        <v>0</v>
      </c>
      <c r="AD70" s="526">
        <f t="shared" si="14"/>
        <v>0</v>
      </c>
    </row>
    <row r="71" spans="1:30" ht="31.5">
      <c r="A71" s="759">
        <v>54</v>
      </c>
      <c r="B71" s="529">
        <v>7000016907</v>
      </c>
      <c r="C71" s="529">
        <v>540</v>
      </c>
      <c r="D71" s="529" t="s">
        <v>526</v>
      </c>
      <c r="E71" s="529">
        <v>1000031985</v>
      </c>
      <c r="F71" s="529">
        <v>85446020</v>
      </c>
      <c r="G71" s="716"/>
      <c r="H71" s="529">
        <v>18</v>
      </c>
      <c r="I71" s="541"/>
      <c r="J71" s="715" t="s">
        <v>541</v>
      </c>
      <c r="K71" s="529" t="s">
        <v>478</v>
      </c>
      <c r="L71" s="529">
        <v>12</v>
      </c>
      <c r="M71" s="717"/>
      <c r="N71" s="530" t="str">
        <f t="shared" si="0"/>
        <v>INCLUDED</v>
      </c>
      <c r="O71" s="747">
        <f t="shared" si="1"/>
        <v>0</v>
      </c>
      <c r="P71" s="747">
        <f t="shared" si="2"/>
        <v>0</v>
      </c>
      <c r="Q71" s="748">
        <f>Discount!$H$36</f>
        <v>0</v>
      </c>
      <c r="R71" s="748">
        <f t="shared" si="3"/>
        <v>0</v>
      </c>
      <c r="S71" s="748">
        <f t="shared" si="4"/>
        <v>0</v>
      </c>
      <c r="T71" s="749">
        <f t="shared" si="5"/>
        <v>0</v>
      </c>
      <c r="V71" s="850">
        <f t="shared" si="6"/>
        <v>0</v>
      </c>
      <c r="W71" s="749">
        <f t="shared" si="7"/>
        <v>0</v>
      </c>
      <c r="X71" s="749">
        <f t="shared" si="8"/>
        <v>0.18</v>
      </c>
      <c r="Y71" s="749">
        <f t="shared" si="9"/>
        <v>0</v>
      </c>
      <c r="Z71" s="749">
        <f t="shared" si="10"/>
        <v>0.18</v>
      </c>
      <c r="AA71" s="749">
        <f t="shared" si="11"/>
        <v>0</v>
      </c>
      <c r="AB71" s="526">
        <f t="shared" si="12"/>
        <v>0</v>
      </c>
      <c r="AC71" s="526">
        <f t="shared" si="13"/>
        <v>0</v>
      </c>
      <c r="AD71" s="526">
        <f t="shared" si="14"/>
        <v>0</v>
      </c>
    </row>
    <row r="72" spans="1:30" ht="31.5">
      <c r="A72" s="759">
        <v>55</v>
      </c>
      <c r="B72" s="529">
        <v>7000016907</v>
      </c>
      <c r="C72" s="529">
        <v>550</v>
      </c>
      <c r="D72" s="529" t="s">
        <v>526</v>
      </c>
      <c r="E72" s="529">
        <v>1000031976</v>
      </c>
      <c r="F72" s="529">
        <v>85446020</v>
      </c>
      <c r="G72" s="716"/>
      <c r="H72" s="529">
        <v>18</v>
      </c>
      <c r="I72" s="541"/>
      <c r="J72" s="715" t="s">
        <v>542</v>
      </c>
      <c r="K72" s="529" t="s">
        <v>478</v>
      </c>
      <c r="L72" s="529">
        <v>2.5</v>
      </c>
      <c r="M72" s="717"/>
      <c r="N72" s="530" t="str">
        <f t="shared" si="0"/>
        <v>INCLUDED</v>
      </c>
      <c r="O72" s="747">
        <f t="shared" si="1"/>
        <v>0</v>
      </c>
      <c r="P72" s="747">
        <f t="shared" si="2"/>
        <v>0</v>
      </c>
      <c r="Q72" s="748">
        <f>Discount!$H$36</f>
        <v>0</v>
      </c>
      <c r="R72" s="748">
        <f t="shared" si="3"/>
        <v>0</v>
      </c>
      <c r="S72" s="748">
        <f t="shared" si="4"/>
        <v>0</v>
      </c>
      <c r="T72" s="749">
        <f t="shared" si="5"/>
        <v>0</v>
      </c>
      <c r="V72" s="850">
        <f t="shared" si="6"/>
        <v>0</v>
      </c>
      <c r="W72" s="749">
        <f t="shared" si="7"/>
        <v>0</v>
      </c>
      <c r="X72" s="749">
        <f t="shared" si="8"/>
        <v>0.18</v>
      </c>
      <c r="Y72" s="749">
        <f t="shared" si="9"/>
        <v>0</v>
      </c>
      <c r="Z72" s="749">
        <f t="shared" si="10"/>
        <v>0.18</v>
      </c>
      <c r="AA72" s="749">
        <f t="shared" si="11"/>
        <v>0</v>
      </c>
      <c r="AB72" s="526">
        <f t="shared" si="12"/>
        <v>0</v>
      </c>
      <c r="AC72" s="526">
        <f t="shared" si="13"/>
        <v>0</v>
      </c>
      <c r="AD72" s="526">
        <f t="shared" si="14"/>
        <v>0</v>
      </c>
    </row>
    <row r="73" spans="1:30" ht="31.5">
      <c r="A73" s="759">
        <v>56</v>
      </c>
      <c r="B73" s="529">
        <v>7000016907</v>
      </c>
      <c r="C73" s="529">
        <v>560</v>
      </c>
      <c r="D73" s="529" t="s">
        <v>526</v>
      </c>
      <c r="E73" s="529">
        <v>1000031953</v>
      </c>
      <c r="F73" s="529">
        <v>85446020</v>
      </c>
      <c r="G73" s="716"/>
      <c r="H73" s="529">
        <v>18</v>
      </c>
      <c r="I73" s="541"/>
      <c r="J73" s="715" t="s">
        <v>600</v>
      </c>
      <c r="K73" s="529" t="s">
        <v>478</v>
      </c>
      <c r="L73" s="529">
        <v>4.9000000000000004</v>
      </c>
      <c r="M73" s="717"/>
      <c r="N73" s="530" t="str">
        <f t="shared" si="0"/>
        <v>INCLUDED</v>
      </c>
      <c r="O73" s="747">
        <f t="shared" si="1"/>
        <v>0</v>
      </c>
      <c r="P73" s="747">
        <f t="shared" si="2"/>
        <v>0</v>
      </c>
      <c r="Q73" s="748">
        <f>Discount!$H$36</f>
        <v>0</v>
      </c>
      <c r="R73" s="748">
        <f t="shared" si="3"/>
        <v>0</v>
      </c>
      <c r="S73" s="748">
        <f t="shared" si="4"/>
        <v>0</v>
      </c>
      <c r="T73" s="749">
        <f t="shared" si="5"/>
        <v>0</v>
      </c>
      <c r="V73" s="850">
        <f t="shared" si="6"/>
        <v>0</v>
      </c>
      <c r="W73" s="749">
        <f t="shared" si="7"/>
        <v>0</v>
      </c>
      <c r="X73" s="749">
        <f t="shared" si="8"/>
        <v>0.18</v>
      </c>
      <c r="Y73" s="749">
        <f t="shared" si="9"/>
        <v>0</v>
      </c>
      <c r="Z73" s="749">
        <f t="shared" si="10"/>
        <v>0.18</v>
      </c>
      <c r="AA73" s="749">
        <f t="shared" si="11"/>
        <v>0</v>
      </c>
      <c r="AB73" s="526">
        <f t="shared" si="12"/>
        <v>0</v>
      </c>
      <c r="AC73" s="526">
        <f t="shared" si="13"/>
        <v>0</v>
      </c>
      <c r="AD73" s="526">
        <f t="shared" si="14"/>
        <v>0</v>
      </c>
    </row>
    <row r="74" spans="1:30" ht="31.5">
      <c r="A74" s="759">
        <v>57</v>
      </c>
      <c r="B74" s="529">
        <v>7000016907</v>
      </c>
      <c r="C74" s="529">
        <v>570</v>
      </c>
      <c r="D74" s="529" t="s">
        <v>526</v>
      </c>
      <c r="E74" s="529">
        <v>1000031957</v>
      </c>
      <c r="F74" s="529">
        <v>85446020</v>
      </c>
      <c r="G74" s="716"/>
      <c r="H74" s="529">
        <v>18</v>
      </c>
      <c r="I74" s="541"/>
      <c r="J74" s="715" t="s">
        <v>543</v>
      </c>
      <c r="K74" s="529" t="s">
        <v>478</v>
      </c>
      <c r="L74" s="529">
        <v>4.5</v>
      </c>
      <c r="M74" s="717"/>
      <c r="N74" s="530" t="str">
        <f t="shared" si="0"/>
        <v>INCLUDED</v>
      </c>
      <c r="O74" s="747">
        <f t="shared" si="1"/>
        <v>0</v>
      </c>
      <c r="P74" s="747">
        <f t="shared" si="2"/>
        <v>0</v>
      </c>
      <c r="Q74" s="748">
        <f>Discount!$H$36</f>
        <v>0</v>
      </c>
      <c r="R74" s="748">
        <f t="shared" si="3"/>
        <v>0</v>
      </c>
      <c r="S74" s="748">
        <f t="shared" si="4"/>
        <v>0</v>
      </c>
      <c r="T74" s="749">
        <f t="shared" si="5"/>
        <v>0</v>
      </c>
      <c r="V74" s="850">
        <f t="shared" si="6"/>
        <v>0</v>
      </c>
      <c r="W74" s="749">
        <f t="shared" si="7"/>
        <v>0</v>
      </c>
      <c r="X74" s="749">
        <f t="shared" si="8"/>
        <v>0.18</v>
      </c>
      <c r="Y74" s="749">
        <f t="shared" si="9"/>
        <v>0</v>
      </c>
      <c r="Z74" s="749">
        <f t="shared" si="10"/>
        <v>0.18</v>
      </c>
      <c r="AA74" s="749">
        <f t="shared" si="11"/>
        <v>0</v>
      </c>
      <c r="AB74" s="526">
        <f t="shared" si="12"/>
        <v>0</v>
      </c>
      <c r="AC74" s="526">
        <f t="shared" si="13"/>
        <v>0</v>
      </c>
      <c r="AD74" s="526">
        <f t="shared" si="14"/>
        <v>0</v>
      </c>
    </row>
    <row r="75" spans="1:30" ht="47.25">
      <c r="A75" s="759">
        <v>58</v>
      </c>
      <c r="B75" s="529">
        <v>7000016907</v>
      </c>
      <c r="C75" s="529">
        <v>580</v>
      </c>
      <c r="D75" s="529" t="s">
        <v>627</v>
      </c>
      <c r="E75" s="529">
        <v>1000006284</v>
      </c>
      <c r="F75" s="529">
        <v>84151090</v>
      </c>
      <c r="G75" s="716"/>
      <c r="H75" s="529">
        <v>28</v>
      </c>
      <c r="I75" s="541"/>
      <c r="J75" s="715" t="s">
        <v>628</v>
      </c>
      <c r="K75" s="529" t="s">
        <v>300</v>
      </c>
      <c r="L75" s="529">
        <v>2</v>
      </c>
      <c r="M75" s="717"/>
      <c r="N75" s="530" t="str">
        <f t="shared" si="0"/>
        <v>INCLUDED</v>
      </c>
      <c r="O75" s="747">
        <f t="shared" si="1"/>
        <v>0</v>
      </c>
      <c r="P75" s="747">
        <f t="shared" si="2"/>
        <v>0</v>
      </c>
      <c r="Q75" s="748">
        <f>Discount!$H$36</f>
        <v>0</v>
      </c>
      <c r="R75" s="748">
        <f t="shared" si="3"/>
        <v>0</v>
      </c>
      <c r="S75" s="748">
        <f t="shared" si="4"/>
        <v>0</v>
      </c>
      <c r="T75" s="749">
        <f t="shared" si="5"/>
        <v>0</v>
      </c>
      <c r="V75" s="850">
        <f t="shared" si="6"/>
        <v>0</v>
      </c>
      <c r="W75" s="749">
        <f t="shared" si="7"/>
        <v>0</v>
      </c>
      <c r="X75" s="749">
        <f t="shared" si="8"/>
        <v>0.28000000000000003</v>
      </c>
      <c r="Y75" s="749">
        <f t="shared" si="9"/>
        <v>0</v>
      </c>
      <c r="Z75" s="749">
        <f t="shared" si="10"/>
        <v>0</v>
      </c>
      <c r="AA75" s="749">
        <f t="shared" si="11"/>
        <v>0.28000000000000003</v>
      </c>
      <c r="AB75" s="526">
        <f t="shared" si="12"/>
        <v>0</v>
      </c>
      <c r="AC75" s="526">
        <f t="shared" si="13"/>
        <v>0</v>
      </c>
      <c r="AD75" s="526">
        <f t="shared" si="14"/>
        <v>0</v>
      </c>
    </row>
    <row r="76" spans="1:30" ht="63">
      <c r="A76" s="759">
        <v>59</v>
      </c>
      <c r="B76" s="529">
        <v>7000016907</v>
      </c>
      <c r="C76" s="529">
        <v>590</v>
      </c>
      <c r="D76" s="529" t="s">
        <v>527</v>
      </c>
      <c r="E76" s="529">
        <v>1000012072</v>
      </c>
      <c r="F76" s="529">
        <v>84248990</v>
      </c>
      <c r="G76" s="716"/>
      <c r="H76" s="529">
        <v>18</v>
      </c>
      <c r="I76" s="541"/>
      <c r="J76" s="715" t="s">
        <v>705</v>
      </c>
      <c r="K76" s="529" t="s">
        <v>300</v>
      </c>
      <c r="L76" s="529">
        <v>3</v>
      </c>
      <c r="M76" s="717"/>
      <c r="N76" s="530" t="str">
        <f t="shared" si="0"/>
        <v>INCLUDED</v>
      </c>
      <c r="O76" s="747">
        <f t="shared" si="1"/>
        <v>0</v>
      </c>
      <c r="P76" s="747">
        <f t="shared" si="2"/>
        <v>0</v>
      </c>
      <c r="Q76" s="748">
        <f>Discount!$H$36</f>
        <v>0</v>
      </c>
      <c r="R76" s="748">
        <f t="shared" si="3"/>
        <v>0</v>
      </c>
      <c r="S76" s="748">
        <f t="shared" si="4"/>
        <v>0</v>
      </c>
      <c r="T76" s="749">
        <f t="shared" si="5"/>
        <v>0</v>
      </c>
      <c r="V76" s="850">
        <f t="shared" si="6"/>
        <v>0</v>
      </c>
      <c r="W76" s="749">
        <f t="shared" si="7"/>
        <v>0</v>
      </c>
      <c r="X76" s="749">
        <f t="shared" si="8"/>
        <v>0.18</v>
      </c>
      <c r="Y76" s="749">
        <f t="shared" si="9"/>
        <v>0</v>
      </c>
      <c r="Z76" s="749">
        <f t="shared" si="10"/>
        <v>0.18</v>
      </c>
      <c r="AA76" s="749">
        <f t="shared" si="11"/>
        <v>0</v>
      </c>
      <c r="AB76" s="526">
        <f t="shared" si="12"/>
        <v>0</v>
      </c>
      <c r="AC76" s="526">
        <f t="shared" si="13"/>
        <v>0</v>
      </c>
      <c r="AD76" s="526">
        <f t="shared" si="14"/>
        <v>0</v>
      </c>
    </row>
    <row r="77" spans="1:30" ht="31.5">
      <c r="A77" s="759">
        <v>60</v>
      </c>
      <c r="B77" s="529">
        <v>7000016907</v>
      </c>
      <c r="C77" s="529">
        <v>600</v>
      </c>
      <c r="D77" s="529" t="s">
        <v>527</v>
      </c>
      <c r="E77" s="529">
        <v>1000012018</v>
      </c>
      <c r="F77" s="529">
        <v>85311020</v>
      </c>
      <c r="G77" s="716"/>
      <c r="H77" s="529">
        <v>18</v>
      </c>
      <c r="I77" s="541"/>
      <c r="J77" s="715" t="s">
        <v>601</v>
      </c>
      <c r="K77" s="529" t="s">
        <v>300</v>
      </c>
      <c r="L77" s="529">
        <v>2</v>
      </c>
      <c r="M77" s="717"/>
      <c r="N77" s="530" t="str">
        <f t="shared" si="0"/>
        <v>INCLUDED</v>
      </c>
      <c r="O77" s="747">
        <f t="shared" si="1"/>
        <v>0</v>
      </c>
      <c r="P77" s="747">
        <f t="shared" si="2"/>
        <v>0</v>
      </c>
      <c r="Q77" s="748">
        <f>Discount!$H$36</f>
        <v>0</v>
      </c>
      <c r="R77" s="748">
        <f t="shared" si="3"/>
        <v>0</v>
      </c>
      <c r="S77" s="748">
        <f t="shared" si="4"/>
        <v>0</v>
      </c>
      <c r="T77" s="749">
        <f t="shared" si="5"/>
        <v>0</v>
      </c>
      <c r="V77" s="850">
        <f t="shared" si="6"/>
        <v>0</v>
      </c>
      <c r="W77" s="749">
        <f t="shared" si="7"/>
        <v>0</v>
      </c>
      <c r="X77" s="749">
        <f t="shared" si="8"/>
        <v>0.18</v>
      </c>
      <c r="Y77" s="749">
        <f t="shared" si="9"/>
        <v>0</v>
      </c>
      <c r="Z77" s="749">
        <f t="shared" si="10"/>
        <v>0.18</v>
      </c>
      <c r="AA77" s="749">
        <f t="shared" si="11"/>
        <v>0</v>
      </c>
      <c r="AB77" s="526">
        <f t="shared" si="12"/>
        <v>0</v>
      </c>
      <c r="AC77" s="526">
        <f t="shared" si="13"/>
        <v>0</v>
      </c>
      <c r="AD77" s="526">
        <f t="shared" si="14"/>
        <v>0</v>
      </c>
    </row>
    <row r="78" spans="1:30" ht="31.5">
      <c r="A78" s="759">
        <v>61</v>
      </c>
      <c r="B78" s="529">
        <v>7000016907</v>
      </c>
      <c r="C78" s="529">
        <v>610</v>
      </c>
      <c r="D78" s="529" t="s">
        <v>527</v>
      </c>
      <c r="E78" s="529">
        <v>1000012022</v>
      </c>
      <c r="F78" s="529">
        <v>84241000</v>
      </c>
      <c r="G78" s="716"/>
      <c r="H78" s="529">
        <v>18</v>
      </c>
      <c r="I78" s="541"/>
      <c r="J78" s="715" t="s">
        <v>602</v>
      </c>
      <c r="K78" s="529" t="s">
        <v>299</v>
      </c>
      <c r="L78" s="529">
        <v>2</v>
      </c>
      <c r="M78" s="717"/>
      <c r="N78" s="530" t="str">
        <f t="shared" si="0"/>
        <v>INCLUDED</v>
      </c>
      <c r="O78" s="747">
        <f t="shared" si="1"/>
        <v>0</v>
      </c>
      <c r="P78" s="747">
        <f t="shared" si="2"/>
        <v>0</v>
      </c>
      <c r="Q78" s="748">
        <f>Discount!$H$36</f>
        <v>0</v>
      </c>
      <c r="R78" s="748">
        <f t="shared" si="3"/>
        <v>0</v>
      </c>
      <c r="S78" s="748">
        <f t="shared" si="4"/>
        <v>0</v>
      </c>
      <c r="T78" s="749">
        <f t="shared" si="5"/>
        <v>0</v>
      </c>
      <c r="V78" s="850">
        <f t="shared" si="6"/>
        <v>0</v>
      </c>
      <c r="W78" s="749">
        <f t="shared" si="7"/>
        <v>0</v>
      </c>
      <c r="X78" s="749">
        <f t="shared" si="8"/>
        <v>0.18</v>
      </c>
      <c r="Y78" s="749">
        <f t="shared" si="9"/>
        <v>0</v>
      </c>
      <c r="Z78" s="749">
        <f t="shared" si="10"/>
        <v>0.18</v>
      </c>
      <c r="AA78" s="749">
        <f t="shared" si="11"/>
        <v>0</v>
      </c>
      <c r="AB78" s="526">
        <f t="shared" si="12"/>
        <v>0</v>
      </c>
      <c r="AC78" s="526">
        <f t="shared" si="13"/>
        <v>0</v>
      </c>
      <c r="AD78" s="526">
        <f t="shared" si="14"/>
        <v>0</v>
      </c>
    </row>
    <row r="79" spans="1:30" ht="31.5">
      <c r="A79" s="759">
        <v>62</v>
      </c>
      <c r="B79" s="529">
        <v>7000016907</v>
      </c>
      <c r="C79" s="529">
        <v>620</v>
      </c>
      <c r="D79" s="529" t="s">
        <v>528</v>
      </c>
      <c r="E79" s="529">
        <v>1000014547</v>
      </c>
      <c r="F79" s="529">
        <v>85371000</v>
      </c>
      <c r="G79" s="716"/>
      <c r="H79" s="529">
        <v>18</v>
      </c>
      <c r="I79" s="541"/>
      <c r="J79" s="715" t="s">
        <v>603</v>
      </c>
      <c r="K79" s="529" t="s">
        <v>299</v>
      </c>
      <c r="L79" s="529">
        <v>1</v>
      </c>
      <c r="M79" s="717"/>
      <c r="N79" s="530" t="str">
        <f t="shared" si="0"/>
        <v>INCLUDED</v>
      </c>
      <c r="O79" s="747">
        <f t="shared" si="1"/>
        <v>0</v>
      </c>
      <c r="P79" s="747">
        <f t="shared" si="2"/>
        <v>0</v>
      </c>
      <c r="Q79" s="748">
        <f>Discount!$H$36</f>
        <v>0</v>
      </c>
      <c r="R79" s="748">
        <f t="shared" si="3"/>
        <v>0</v>
      </c>
      <c r="S79" s="748">
        <f t="shared" si="4"/>
        <v>0</v>
      </c>
      <c r="T79" s="749">
        <f t="shared" si="5"/>
        <v>0</v>
      </c>
      <c r="V79" s="850">
        <f t="shared" si="6"/>
        <v>0</v>
      </c>
      <c r="W79" s="749">
        <f t="shared" si="7"/>
        <v>0</v>
      </c>
      <c r="X79" s="749">
        <f t="shared" si="8"/>
        <v>0.18</v>
      </c>
      <c r="Y79" s="749">
        <f t="shared" si="9"/>
        <v>0</v>
      </c>
      <c r="Z79" s="749">
        <f t="shared" si="10"/>
        <v>0.18</v>
      </c>
      <c r="AA79" s="749">
        <f t="shared" si="11"/>
        <v>0</v>
      </c>
      <c r="AB79" s="526">
        <f t="shared" si="12"/>
        <v>0</v>
      </c>
      <c r="AC79" s="526">
        <f t="shared" si="13"/>
        <v>0</v>
      </c>
      <c r="AD79" s="526">
        <f t="shared" si="14"/>
        <v>0</v>
      </c>
    </row>
    <row r="80" spans="1:30" ht="31.5">
      <c r="A80" s="759">
        <v>63</v>
      </c>
      <c r="B80" s="529">
        <v>7000016907</v>
      </c>
      <c r="C80" s="529">
        <v>630</v>
      </c>
      <c r="D80" s="529" t="s">
        <v>528</v>
      </c>
      <c r="E80" s="529">
        <v>1000017485</v>
      </c>
      <c r="F80" s="529">
        <v>94059900</v>
      </c>
      <c r="G80" s="716"/>
      <c r="H80" s="529">
        <v>18</v>
      </c>
      <c r="I80" s="541"/>
      <c r="J80" s="715" t="s">
        <v>706</v>
      </c>
      <c r="K80" s="529" t="s">
        <v>299</v>
      </c>
      <c r="L80" s="529">
        <v>3</v>
      </c>
      <c r="M80" s="717"/>
      <c r="N80" s="530" t="str">
        <f t="shared" si="0"/>
        <v>INCLUDED</v>
      </c>
      <c r="O80" s="747">
        <f t="shared" si="1"/>
        <v>0</v>
      </c>
      <c r="P80" s="747">
        <f t="shared" si="2"/>
        <v>0</v>
      </c>
      <c r="Q80" s="748">
        <f>Discount!$H$36</f>
        <v>0</v>
      </c>
      <c r="R80" s="748">
        <f t="shared" si="3"/>
        <v>0</v>
      </c>
      <c r="S80" s="748">
        <f t="shared" si="4"/>
        <v>0</v>
      </c>
      <c r="T80" s="749">
        <f t="shared" si="5"/>
        <v>0</v>
      </c>
      <c r="V80" s="850">
        <f t="shared" si="6"/>
        <v>0</v>
      </c>
      <c r="W80" s="749">
        <f t="shared" si="7"/>
        <v>0</v>
      </c>
      <c r="X80" s="749">
        <f t="shared" si="8"/>
        <v>0.18</v>
      </c>
      <c r="Y80" s="749">
        <f t="shared" si="9"/>
        <v>0</v>
      </c>
      <c r="Z80" s="749">
        <f t="shared" si="10"/>
        <v>0.18</v>
      </c>
      <c r="AA80" s="749">
        <f t="shared" si="11"/>
        <v>0</v>
      </c>
      <c r="AB80" s="526">
        <f t="shared" si="12"/>
        <v>0</v>
      </c>
      <c r="AC80" s="526">
        <f t="shared" si="13"/>
        <v>0</v>
      </c>
      <c r="AD80" s="526">
        <f t="shared" si="14"/>
        <v>0</v>
      </c>
    </row>
    <row r="81" spans="1:30" ht="31.5">
      <c r="A81" s="759">
        <v>64</v>
      </c>
      <c r="B81" s="529">
        <v>7000016907</v>
      </c>
      <c r="C81" s="529">
        <v>640</v>
      </c>
      <c r="D81" s="529" t="s">
        <v>528</v>
      </c>
      <c r="E81" s="529">
        <v>1000004952</v>
      </c>
      <c r="F81" s="529">
        <v>94059900</v>
      </c>
      <c r="G81" s="716"/>
      <c r="H81" s="529">
        <v>18</v>
      </c>
      <c r="I81" s="541"/>
      <c r="J81" s="715" t="s">
        <v>707</v>
      </c>
      <c r="K81" s="529" t="s">
        <v>299</v>
      </c>
      <c r="L81" s="529">
        <v>1</v>
      </c>
      <c r="M81" s="717"/>
      <c r="N81" s="530" t="str">
        <f t="shared" si="0"/>
        <v>INCLUDED</v>
      </c>
      <c r="O81" s="747">
        <f t="shared" si="1"/>
        <v>0</v>
      </c>
      <c r="P81" s="747">
        <f t="shared" si="2"/>
        <v>0</v>
      </c>
      <c r="Q81" s="748">
        <f>Discount!$H$36</f>
        <v>0</v>
      </c>
      <c r="R81" s="748">
        <f t="shared" si="3"/>
        <v>0</v>
      </c>
      <c r="S81" s="748">
        <f t="shared" si="4"/>
        <v>0</v>
      </c>
      <c r="T81" s="749">
        <f t="shared" si="5"/>
        <v>0</v>
      </c>
      <c r="V81" s="850">
        <f t="shared" si="6"/>
        <v>0</v>
      </c>
      <c r="W81" s="749">
        <f t="shared" si="7"/>
        <v>0</v>
      </c>
      <c r="X81" s="749">
        <f t="shared" si="8"/>
        <v>0.18</v>
      </c>
      <c r="Y81" s="749">
        <f t="shared" si="9"/>
        <v>0</v>
      </c>
      <c r="Z81" s="749">
        <f t="shared" si="10"/>
        <v>0.18</v>
      </c>
      <c r="AA81" s="749">
        <f t="shared" si="11"/>
        <v>0</v>
      </c>
      <c r="AB81" s="526">
        <f t="shared" si="12"/>
        <v>0</v>
      </c>
      <c r="AC81" s="526">
        <f t="shared" si="13"/>
        <v>0</v>
      </c>
      <c r="AD81" s="526">
        <f t="shared" si="14"/>
        <v>0</v>
      </c>
    </row>
    <row r="82" spans="1:30" ht="31.5">
      <c r="A82" s="759">
        <v>65</v>
      </c>
      <c r="B82" s="529">
        <v>7000016907</v>
      </c>
      <c r="C82" s="529">
        <v>650</v>
      </c>
      <c r="D82" s="529" t="s">
        <v>528</v>
      </c>
      <c r="E82" s="529">
        <v>1000001894</v>
      </c>
      <c r="F82" s="529">
        <v>94059900</v>
      </c>
      <c r="G82" s="716"/>
      <c r="H82" s="529">
        <v>18</v>
      </c>
      <c r="I82" s="541"/>
      <c r="J82" s="715" t="s">
        <v>708</v>
      </c>
      <c r="K82" s="529" t="s">
        <v>299</v>
      </c>
      <c r="L82" s="529">
        <v>1</v>
      </c>
      <c r="M82" s="717"/>
      <c r="N82" s="530" t="str">
        <f t="shared" si="0"/>
        <v>INCLUDED</v>
      </c>
      <c r="O82" s="747">
        <f t="shared" si="1"/>
        <v>0</v>
      </c>
      <c r="P82" s="747">
        <f t="shared" si="2"/>
        <v>0</v>
      </c>
      <c r="Q82" s="748">
        <f>Discount!$H$36</f>
        <v>0</v>
      </c>
      <c r="R82" s="748">
        <f t="shared" si="3"/>
        <v>0</v>
      </c>
      <c r="S82" s="748">
        <f t="shared" si="4"/>
        <v>0</v>
      </c>
      <c r="T82" s="749">
        <f t="shared" si="5"/>
        <v>0</v>
      </c>
      <c r="V82" s="850">
        <f t="shared" si="6"/>
        <v>0</v>
      </c>
      <c r="W82" s="749">
        <f t="shared" si="7"/>
        <v>0</v>
      </c>
      <c r="X82" s="749">
        <f t="shared" si="8"/>
        <v>0.18</v>
      </c>
      <c r="Y82" s="749">
        <f t="shared" si="9"/>
        <v>0</v>
      </c>
      <c r="Z82" s="749">
        <f t="shared" si="10"/>
        <v>0.18</v>
      </c>
      <c r="AA82" s="749">
        <f t="shared" si="11"/>
        <v>0</v>
      </c>
      <c r="AB82" s="526">
        <f t="shared" si="12"/>
        <v>0</v>
      </c>
      <c r="AC82" s="526">
        <f t="shared" si="13"/>
        <v>0</v>
      </c>
      <c r="AD82" s="526">
        <f t="shared" si="14"/>
        <v>0</v>
      </c>
    </row>
    <row r="83" spans="1:30" ht="31.5">
      <c r="A83" s="759">
        <v>66</v>
      </c>
      <c r="B83" s="529">
        <v>7000016907</v>
      </c>
      <c r="C83" s="529">
        <v>660</v>
      </c>
      <c r="D83" s="529" t="s">
        <v>528</v>
      </c>
      <c r="E83" s="529">
        <v>1000038387</v>
      </c>
      <c r="F83" s="529">
        <v>94051090</v>
      </c>
      <c r="G83" s="716"/>
      <c r="H83" s="529">
        <v>18</v>
      </c>
      <c r="I83" s="541"/>
      <c r="J83" s="715" t="s">
        <v>545</v>
      </c>
      <c r="K83" s="529" t="s">
        <v>299</v>
      </c>
      <c r="L83" s="529">
        <v>20</v>
      </c>
      <c r="M83" s="717"/>
      <c r="N83" s="530" t="str">
        <f t="shared" si="0"/>
        <v>INCLUDED</v>
      </c>
      <c r="O83" s="747">
        <f t="shared" si="1"/>
        <v>0</v>
      </c>
      <c r="P83" s="747">
        <f t="shared" si="2"/>
        <v>0</v>
      </c>
      <c r="Q83" s="748">
        <f>Discount!$H$36</f>
        <v>0</v>
      </c>
      <c r="R83" s="748">
        <f t="shared" si="3"/>
        <v>0</v>
      </c>
      <c r="S83" s="748">
        <f t="shared" si="4"/>
        <v>0</v>
      </c>
      <c r="T83" s="749">
        <f t="shared" si="5"/>
        <v>0</v>
      </c>
      <c r="V83" s="850">
        <f t="shared" si="6"/>
        <v>0</v>
      </c>
      <c r="W83" s="749">
        <f t="shared" si="7"/>
        <v>0</v>
      </c>
      <c r="X83" s="749">
        <f t="shared" si="8"/>
        <v>0.18</v>
      </c>
      <c r="Y83" s="749">
        <f t="shared" si="9"/>
        <v>0</v>
      </c>
      <c r="Z83" s="749">
        <f t="shared" si="10"/>
        <v>0.18</v>
      </c>
      <c r="AA83" s="749">
        <f t="shared" si="11"/>
        <v>0</v>
      </c>
      <c r="AB83" s="526">
        <f t="shared" si="12"/>
        <v>0</v>
      </c>
      <c r="AC83" s="526">
        <f t="shared" si="13"/>
        <v>0</v>
      </c>
      <c r="AD83" s="526">
        <f t="shared" si="14"/>
        <v>0</v>
      </c>
    </row>
    <row r="84" spans="1:30" ht="31.5">
      <c r="A84" s="759">
        <v>67</v>
      </c>
      <c r="B84" s="529">
        <v>7000016907</v>
      </c>
      <c r="C84" s="529">
        <v>670</v>
      </c>
      <c r="D84" s="529" t="s">
        <v>528</v>
      </c>
      <c r="E84" s="529">
        <v>1000038325</v>
      </c>
      <c r="F84" s="529">
        <v>94059900</v>
      </c>
      <c r="G84" s="716"/>
      <c r="H84" s="529">
        <v>18</v>
      </c>
      <c r="I84" s="541"/>
      <c r="J84" s="715" t="s">
        <v>544</v>
      </c>
      <c r="K84" s="529" t="s">
        <v>299</v>
      </c>
      <c r="L84" s="529">
        <v>15</v>
      </c>
      <c r="M84" s="717"/>
      <c r="N84" s="530" t="str">
        <f t="shared" si="0"/>
        <v>INCLUDED</v>
      </c>
      <c r="O84" s="747">
        <f t="shared" si="1"/>
        <v>0</v>
      </c>
      <c r="P84" s="747">
        <f t="shared" si="2"/>
        <v>0</v>
      </c>
      <c r="Q84" s="748">
        <f>Discount!$H$36</f>
        <v>0</v>
      </c>
      <c r="R84" s="748">
        <f t="shared" si="3"/>
        <v>0</v>
      </c>
      <c r="S84" s="748">
        <f t="shared" si="4"/>
        <v>0</v>
      </c>
      <c r="T84" s="749">
        <f t="shared" si="5"/>
        <v>0</v>
      </c>
      <c r="V84" s="850">
        <f t="shared" si="6"/>
        <v>0</v>
      </c>
      <c r="W84" s="749">
        <f t="shared" si="7"/>
        <v>0</v>
      </c>
      <c r="X84" s="749">
        <f t="shared" si="8"/>
        <v>0.18</v>
      </c>
      <c r="Y84" s="749">
        <f t="shared" si="9"/>
        <v>0</v>
      </c>
      <c r="Z84" s="749">
        <f t="shared" si="10"/>
        <v>0.18</v>
      </c>
      <c r="AA84" s="749">
        <f t="shared" si="11"/>
        <v>0</v>
      </c>
      <c r="AB84" s="526">
        <f t="shared" si="12"/>
        <v>0</v>
      </c>
      <c r="AC84" s="526">
        <f t="shared" si="13"/>
        <v>0</v>
      </c>
      <c r="AD84" s="526">
        <f t="shared" si="14"/>
        <v>0</v>
      </c>
    </row>
    <row r="85" spans="1:30" ht="31.5">
      <c r="A85" s="759">
        <v>68</v>
      </c>
      <c r="B85" s="529">
        <v>7000016907</v>
      </c>
      <c r="C85" s="529">
        <v>680</v>
      </c>
      <c r="D85" s="529" t="s">
        <v>528</v>
      </c>
      <c r="E85" s="529">
        <v>1000013795</v>
      </c>
      <c r="F85" s="529">
        <v>94059900</v>
      </c>
      <c r="G85" s="716"/>
      <c r="H85" s="529">
        <v>18</v>
      </c>
      <c r="I85" s="541"/>
      <c r="J85" s="715" t="s">
        <v>604</v>
      </c>
      <c r="K85" s="529" t="s">
        <v>552</v>
      </c>
      <c r="L85" s="529">
        <v>2</v>
      </c>
      <c r="M85" s="717"/>
      <c r="N85" s="530" t="str">
        <f t="shared" si="0"/>
        <v>INCLUDED</v>
      </c>
      <c r="O85" s="747">
        <f t="shared" si="1"/>
        <v>0</v>
      </c>
      <c r="P85" s="747">
        <f t="shared" si="2"/>
        <v>0</v>
      </c>
      <c r="Q85" s="748">
        <f>Discount!$H$36</f>
        <v>0</v>
      </c>
      <c r="R85" s="748">
        <f t="shared" si="3"/>
        <v>0</v>
      </c>
      <c r="S85" s="748">
        <f t="shared" si="4"/>
        <v>0</v>
      </c>
      <c r="T85" s="749">
        <f t="shared" si="5"/>
        <v>0</v>
      </c>
      <c r="V85" s="850">
        <f t="shared" si="6"/>
        <v>0</v>
      </c>
      <c r="W85" s="749">
        <f t="shared" si="7"/>
        <v>0</v>
      </c>
      <c r="X85" s="749">
        <f t="shared" si="8"/>
        <v>0.18</v>
      </c>
      <c r="Y85" s="749">
        <f t="shared" si="9"/>
        <v>0</v>
      </c>
      <c r="Z85" s="749">
        <f t="shared" si="10"/>
        <v>0.18</v>
      </c>
      <c r="AA85" s="749">
        <f t="shared" si="11"/>
        <v>0</v>
      </c>
      <c r="AB85" s="526">
        <f t="shared" si="12"/>
        <v>0</v>
      </c>
      <c r="AC85" s="526">
        <f t="shared" si="13"/>
        <v>0</v>
      </c>
      <c r="AD85" s="526">
        <f t="shared" si="14"/>
        <v>0</v>
      </c>
    </row>
    <row r="86" spans="1:30" ht="63">
      <c r="A86" s="759">
        <v>69</v>
      </c>
      <c r="B86" s="529">
        <v>7000016907</v>
      </c>
      <c r="C86" s="529">
        <v>690</v>
      </c>
      <c r="D86" s="529" t="s">
        <v>669</v>
      </c>
      <c r="E86" s="529">
        <v>1000020120</v>
      </c>
      <c r="F86" s="529">
        <v>73082011</v>
      </c>
      <c r="G86" s="716"/>
      <c r="H86" s="529">
        <v>18</v>
      </c>
      <c r="I86" s="541"/>
      <c r="J86" s="715" t="s">
        <v>709</v>
      </c>
      <c r="K86" s="529" t="s">
        <v>299</v>
      </c>
      <c r="L86" s="529">
        <v>2</v>
      </c>
      <c r="M86" s="717"/>
      <c r="N86" s="530" t="str">
        <f t="shared" si="0"/>
        <v>INCLUDED</v>
      </c>
      <c r="O86" s="747">
        <f t="shared" si="1"/>
        <v>0</v>
      </c>
      <c r="P86" s="747">
        <f t="shared" si="2"/>
        <v>0</v>
      </c>
      <c r="Q86" s="748">
        <f>Discount!$H$36</f>
        <v>0</v>
      </c>
      <c r="R86" s="748">
        <f t="shared" si="3"/>
        <v>0</v>
      </c>
      <c r="S86" s="748">
        <f t="shared" si="4"/>
        <v>0</v>
      </c>
      <c r="T86" s="749">
        <f t="shared" si="5"/>
        <v>0</v>
      </c>
      <c r="V86" s="850">
        <f t="shared" si="6"/>
        <v>0</v>
      </c>
      <c r="W86" s="749">
        <f t="shared" si="7"/>
        <v>0</v>
      </c>
      <c r="X86" s="749">
        <f t="shared" si="8"/>
        <v>0.18</v>
      </c>
      <c r="Y86" s="749">
        <f t="shared" si="9"/>
        <v>0</v>
      </c>
      <c r="Z86" s="749">
        <f t="shared" si="10"/>
        <v>0.18</v>
      </c>
      <c r="AA86" s="749">
        <f t="shared" si="11"/>
        <v>0</v>
      </c>
      <c r="AB86" s="526">
        <f t="shared" si="12"/>
        <v>0</v>
      </c>
      <c r="AC86" s="526">
        <f t="shared" si="13"/>
        <v>0</v>
      </c>
      <c r="AD86" s="526">
        <f t="shared" si="14"/>
        <v>0</v>
      </c>
    </row>
    <row r="87" spans="1:30" ht="63">
      <c r="A87" s="759">
        <v>70</v>
      </c>
      <c r="B87" s="529">
        <v>7000016907</v>
      </c>
      <c r="C87" s="529">
        <v>700</v>
      </c>
      <c r="D87" s="529" t="s">
        <v>669</v>
      </c>
      <c r="E87" s="529">
        <v>1000020119</v>
      </c>
      <c r="F87" s="529">
        <v>73082011</v>
      </c>
      <c r="G87" s="716"/>
      <c r="H87" s="529">
        <v>18</v>
      </c>
      <c r="I87" s="541"/>
      <c r="J87" s="715" t="s">
        <v>710</v>
      </c>
      <c r="K87" s="529" t="s">
        <v>299</v>
      </c>
      <c r="L87" s="529">
        <v>6</v>
      </c>
      <c r="M87" s="717"/>
      <c r="N87" s="530" t="str">
        <f t="shared" si="0"/>
        <v>INCLUDED</v>
      </c>
      <c r="O87" s="747">
        <f t="shared" si="1"/>
        <v>0</v>
      </c>
      <c r="P87" s="747">
        <f t="shared" si="2"/>
        <v>0</v>
      </c>
      <c r="Q87" s="748">
        <f>Discount!$H$36</f>
        <v>0</v>
      </c>
      <c r="R87" s="748">
        <f t="shared" si="3"/>
        <v>0</v>
      </c>
      <c r="S87" s="748">
        <f t="shared" si="4"/>
        <v>0</v>
      </c>
      <c r="T87" s="749">
        <f t="shared" si="5"/>
        <v>0</v>
      </c>
      <c r="V87" s="850">
        <f t="shared" si="6"/>
        <v>0</v>
      </c>
      <c r="W87" s="749">
        <f t="shared" si="7"/>
        <v>0</v>
      </c>
      <c r="X87" s="749">
        <f t="shared" si="8"/>
        <v>0.18</v>
      </c>
      <c r="Y87" s="749">
        <f t="shared" si="9"/>
        <v>0</v>
      </c>
      <c r="Z87" s="749">
        <f t="shared" si="10"/>
        <v>0.18</v>
      </c>
      <c r="AA87" s="749">
        <f t="shared" si="11"/>
        <v>0</v>
      </c>
      <c r="AB87" s="526">
        <f t="shared" si="12"/>
        <v>0</v>
      </c>
      <c r="AC87" s="526">
        <f t="shared" si="13"/>
        <v>0</v>
      </c>
      <c r="AD87" s="526">
        <f t="shared" si="14"/>
        <v>0</v>
      </c>
    </row>
    <row r="88" spans="1:30" ht="63">
      <c r="A88" s="759">
        <v>71</v>
      </c>
      <c r="B88" s="529">
        <v>7000016907</v>
      </c>
      <c r="C88" s="529">
        <v>710</v>
      </c>
      <c r="D88" s="529" t="s">
        <v>669</v>
      </c>
      <c r="E88" s="529">
        <v>1000020118</v>
      </c>
      <c r="F88" s="529">
        <v>73082011</v>
      </c>
      <c r="G88" s="716"/>
      <c r="H88" s="529">
        <v>18</v>
      </c>
      <c r="I88" s="541"/>
      <c r="J88" s="715" t="s">
        <v>711</v>
      </c>
      <c r="K88" s="529" t="s">
        <v>299</v>
      </c>
      <c r="L88" s="529">
        <v>4</v>
      </c>
      <c r="M88" s="717"/>
      <c r="N88" s="530" t="str">
        <f t="shared" si="0"/>
        <v>INCLUDED</v>
      </c>
      <c r="O88" s="747">
        <f t="shared" si="1"/>
        <v>0</v>
      </c>
      <c r="P88" s="747">
        <f t="shared" si="2"/>
        <v>0</v>
      </c>
      <c r="Q88" s="748">
        <f>Discount!$H$36</f>
        <v>0</v>
      </c>
      <c r="R88" s="748">
        <f t="shared" si="3"/>
        <v>0</v>
      </c>
      <c r="S88" s="748">
        <f t="shared" si="4"/>
        <v>0</v>
      </c>
      <c r="T88" s="749">
        <f t="shared" si="5"/>
        <v>0</v>
      </c>
      <c r="V88" s="850">
        <f t="shared" si="6"/>
        <v>0</v>
      </c>
      <c r="W88" s="749">
        <f t="shared" si="7"/>
        <v>0</v>
      </c>
      <c r="X88" s="749">
        <f t="shared" si="8"/>
        <v>0.18</v>
      </c>
      <c r="Y88" s="749">
        <f t="shared" si="9"/>
        <v>0</v>
      </c>
      <c r="Z88" s="749">
        <f t="shared" si="10"/>
        <v>0.18</v>
      </c>
      <c r="AA88" s="749">
        <f t="shared" si="11"/>
        <v>0</v>
      </c>
      <c r="AB88" s="526">
        <f t="shared" si="12"/>
        <v>0</v>
      </c>
      <c r="AC88" s="526">
        <f t="shared" si="13"/>
        <v>0</v>
      </c>
      <c r="AD88" s="526">
        <f t="shared" si="14"/>
        <v>0</v>
      </c>
    </row>
    <row r="89" spans="1:30" ht="47.25">
      <c r="A89" s="759">
        <v>72</v>
      </c>
      <c r="B89" s="529">
        <v>7000016907</v>
      </c>
      <c r="C89" s="529">
        <v>720</v>
      </c>
      <c r="D89" s="529" t="s">
        <v>669</v>
      </c>
      <c r="E89" s="529">
        <v>1000020149</v>
      </c>
      <c r="F89" s="529">
        <v>73082011</v>
      </c>
      <c r="G89" s="716"/>
      <c r="H89" s="529">
        <v>18</v>
      </c>
      <c r="I89" s="541"/>
      <c r="J89" s="715" t="s">
        <v>712</v>
      </c>
      <c r="K89" s="529" t="s">
        <v>299</v>
      </c>
      <c r="L89" s="529">
        <v>1</v>
      </c>
      <c r="M89" s="717"/>
      <c r="N89" s="530" t="str">
        <f t="shared" si="0"/>
        <v>INCLUDED</v>
      </c>
      <c r="O89" s="747">
        <f t="shared" si="1"/>
        <v>0</v>
      </c>
      <c r="P89" s="747">
        <f t="shared" si="2"/>
        <v>0</v>
      </c>
      <c r="Q89" s="748">
        <f>Discount!$H$36</f>
        <v>0</v>
      </c>
      <c r="R89" s="748">
        <f t="shared" si="3"/>
        <v>0</v>
      </c>
      <c r="S89" s="748">
        <f t="shared" si="4"/>
        <v>0</v>
      </c>
      <c r="T89" s="749">
        <f t="shared" si="5"/>
        <v>0</v>
      </c>
      <c r="V89" s="850">
        <f t="shared" si="6"/>
        <v>0</v>
      </c>
      <c r="W89" s="749">
        <f t="shared" si="7"/>
        <v>0</v>
      </c>
      <c r="X89" s="749">
        <f t="shared" si="8"/>
        <v>0.18</v>
      </c>
      <c r="Y89" s="749">
        <f t="shared" si="9"/>
        <v>0</v>
      </c>
      <c r="Z89" s="749">
        <f t="shared" si="10"/>
        <v>0.18</v>
      </c>
      <c r="AA89" s="749">
        <f t="shared" si="11"/>
        <v>0</v>
      </c>
      <c r="AB89" s="526">
        <f t="shared" si="12"/>
        <v>0</v>
      </c>
      <c r="AC89" s="526">
        <f t="shared" si="13"/>
        <v>0</v>
      </c>
      <c r="AD89" s="526">
        <f t="shared" si="14"/>
        <v>0</v>
      </c>
    </row>
    <row r="90" spans="1:30" ht="47.25">
      <c r="A90" s="759">
        <v>73</v>
      </c>
      <c r="B90" s="529">
        <v>7000016907</v>
      </c>
      <c r="C90" s="529">
        <v>730</v>
      </c>
      <c r="D90" s="529" t="s">
        <v>669</v>
      </c>
      <c r="E90" s="529">
        <v>1000020148</v>
      </c>
      <c r="F90" s="529">
        <v>73082011</v>
      </c>
      <c r="G90" s="716"/>
      <c r="H90" s="529">
        <v>18</v>
      </c>
      <c r="I90" s="541"/>
      <c r="J90" s="715" t="s">
        <v>713</v>
      </c>
      <c r="K90" s="529" t="s">
        <v>299</v>
      </c>
      <c r="L90" s="529">
        <v>2</v>
      </c>
      <c r="M90" s="717"/>
      <c r="N90" s="530" t="str">
        <f t="shared" si="0"/>
        <v>INCLUDED</v>
      </c>
      <c r="O90" s="747">
        <f t="shared" si="1"/>
        <v>0</v>
      </c>
      <c r="P90" s="747">
        <f t="shared" si="2"/>
        <v>0</v>
      </c>
      <c r="Q90" s="748">
        <f>Discount!$H$36</f>
        <v>0</v>
      </c>
      <c r="R90" s="748">
        <f t="shared" si="3"/>
        <v>0</v>
      </c>
      <c r="S90" s="748">
        <f t="shared" si="4"/>
        <v>0</v>
      </c>
      <c r="T90" s="749">
        <f t="shared" si="5"/>
        <v>0</v>
      </c>
      <c r="V90" s="850">
        <f t="shared" si="6"/>
        <v>0</v>
      </c>
      <c r="W90" s="749">
        <f t="shared" si="7"/>
        <v>0</v>
      </c>
      <c r="X90" s="749">
        <f t="shared" si="8"/>
        <v>0.18</v>
      </c>
      <c r="Y90" s="749">
        <f t="shared" si="9"/>
        <v>0</v>
      </c>
      <c r="Z90" s="749">
        <f t="shared" si="10"/>
        <v>0.18</v>
      </c>
      <c r="AA90" s="749">
        <f t="shared" si="11"/>
        <v>0</v>
      </c>
      <c r="AB90" s="526">
        <f t="shared" si="12"/>
        <v>0</v>
      </c>
      <c r="AC90" s="526">
        <f t="shared" si="13"/>
        <v>0</v>
      </c>
      <c r="AD90" s="526">
        <f t="shared" si="14"/>
        <v>0</v>
      </c>
    </row>
    <row r="91" spans="1:30" ht="47.25">
      <c r="A91" s="759">
        <v>74</v>
      </c>
      <c r="B91" s="529">
        <v>7000016907</v>
      </c>
      <c r="C91" s="529">
        <v>740</v>
      </c>
      <c r="D91" s="529" t="s">
        <v>669</v>
      </c>
      <c r="E91" s="529">
        <v>1000020146</v>
      </c>
      <c r="F91" s="529">
        <v>73082011</v>
      </c>
      <c r="G91" s="716"/>
      <c r="H91" s="529">
        <v>18</v>
      </c>
      <c r="I91" s="541"/>
      <c r="J91" s="715" t="s">
        <v>714</v>
      </c>
      <c r="K91" s="529" t="s">
        <v>299</v>
      </c>
      <c r="L91" s="529">
        <v>2</v>
      </c>
      <c r="M91" s="717"/>
      <c r="N91" s="530" t="str">
        <f t="shared" si="0"/>
        <v>INCLUDED</v>
      </c>
      <c r="O91" s="747">
        <f t="shared" si="1"/>
        <v>0</v>
      </c>
      <c r="P91" s="747">
        <f t="shared" si="2"/>
        <v>0</v>
      </c>
      <c r="Q91" s="748">
        <f>Discount!$H$36</f>
        <v>0</v>
      </c>
      <c r="R91" s="748">
        <f t="shared" si="3"/>
        <v>0</v>
      </c>
      <c r="S91" s="748">
        <f t="shared" si="4"/>
        <v>0</v>
      </c>
      <c r="T91" s="749">
        <f t="shared" si="5"/>
        <v>0</v>
      </c>
      <c r="V91" s="850">
        <f t="shared" si="6"/>
        <v>0</v>
      </c>
      <c r="W91" s="749">
        <f t="shared" si="7"/>
        <v>0</v>
      </c>
      <c r="X91" s="749">
        <f t="shared" si="8"/>
        <v>0.18</v>
      </c>
      <c r="Y91" s="749">
        <f t="shared" si="9"/>
        <v>0</v>
      </c>
      <c r="Z91" s="749">
        <f t="shared" si="10"/>
        <v>0.18</v>
      </c>
      <c r="AA91" s="749">
        <f t="shared" si="11"/>
        <v>0</v>
      </c>
      <c r="AB91" s="526">
        <f t="shared" si="12"/>
        <v>0</v>
      </c>
      <c r="AC91" s="526">
        <f t="shared" si="13"/>
        <v>0</v>
      </c>
      <c r="AD91" s="526">
        <f t="shared" si="14"/>
        <v>0</v>
      </c>
    </row>
    <row r="92" spans="1:30" ht="63">
      <c r="A92" s="759">
        <v>75</v>
      </c>
      <c r="B92" s="529">
        <v>7000016907</v>
      </c>
      <c r="C92" s="529">
        <v>750</v>
      </c>
      <c r="D92" s="529" t="s">
        <v>669</v>
      </c>
      <c r="E92" s="529">
        <v>1000020132</v>
      </c>
      <c r="F92" s="529">
        <v>73082011</v>
      </c>
      <c r="G92" s="716"/>
      <c r="H92" s="529">
        <v>18</v>
      </c>
      <c r="I92" s="541"/>
      <c r="J92" s="715" t="s">
        <v>715</v>
      </c>
      <c r="K92" s="529" t="s">
        <v>299</v>
      </c>
      <c r="L92" s="529">
        <v>3</v>
      </c>
      <c r="M92" s="717"/>
      <c r="N92" s="530" t="str">
        <f t="shared" ref="N92:N155" si="30">IF(M92=0, "INCLUDED", IF(ISERROR(M92*L92), M92, M92*L92))</f>
        <v>INCLUDED</v>
      </c>
      <c r="O92" s="747">
        <f t="shared" ref="O92:O155" si="31">IF(N92="Included",0,N92)</f>
        <v>0</v>
      </c>
      <c r="P92" s="747">
        <f t="shared" ref="P92:P155" si="32">IF( I92="",H92*(IF(N92="Included",0,N92))/100,I92*(IF(N92="Included",0,N92)))</f>
        <v>0</v>
      </c>
      <c r="Q92" s="748">
        <f>Discount!$H$36</f>
        <v>0</v>
      </c>
      <c r="R92" s="748">
        <f t="shared" ref="R92:R155" si="33">Q92*O92</f>
        <v>0</v>
      </c>
      <c r="S92" s="748">
        <f t="shared" ref="S92:S155" si="34">IF(I92="",H92*R92/100,I92*R92)</f>
        <v>0</v>
      </c>
      <c r="T92" s="749">
        <f t="shared" ref="T92:T155" si="35">M92*L92</f>
        <v>0</v>
      </c>
      <c r="V92" s="850">
        <f t="shared" ref="V92:V155" si="36">ROUND(M92,2)</f>
        <v>0</v>
      </c>
      <c r="W92" s="749">
        <f t="shared" ref="W92:W155" si="37">L92*V92</f>
        <v>0</v>
      </c>
      <c r="X92" s="749">
        <f t="shared" ref="X92:X155" si="38">IF(I92="",H92/100,I92)</f>
        <v>0.18</v>
      </c>
      <c r="Y92" s="749">
        <f t="shared" ref="Y92:Y155" si="39">IF(X92=0.12,0.12,0)</f>
        <v>0</v>
      </c>
      <c r="Z92" s="749">
        <f t="shared" ref="Z92:Z155" si="40">IF(X92=0.18,0.18,0)</f>
        <v>0.18</v>
      </c>
      <c r="AA92" s="749">
        <f t="shared" ref="AA92:AA155" si="41">IF(X92=0.28,0.28,0)</f>
        <v>0</v>
      </c>
      <c r="AB92" s="526">
        <f t="shared" ref="AB92:AB155" si="42">W92*Y92</f>
        <v>0</v>
      </c>
      <c r="AC92" s="526">
        <f t="shared" ref="AC92:AC155" si="43">W92*Z92</f>
        <v>0</v>
      </c>
      <c r="AD92" s="526">
        <f t="shared" ref="AD92:AD155" si="44">W92*AA92</f>
        <v>0</v>
      </c>
    </row>
    <row r="93" spans="1:30" ht="63">
      <c r="A93" s="759">
        <v>76</v>
      </c>
      <c r="B93" s="529">
        <v>7000016907</v>
      </c>
      <c r="C93" s="529">
        <v>760</v>
      </c>
      <c r="D93" s="529" t="s">
        <v>669</v>
      </c>
      <c r="E93" s="529">
        <v>1000020130</v>
      </c>
      <c r="F93" s="529">
        <v>73082011</v>
      </c>
      <c r="G93" s="716"/>
      <c r="H93" s="529">
        <v>18</v>
      </c>
      <c r="I93" s="541"/>
      <c r="J93" s="715" t="s">
        <v>716</v>
      </c>
      <c r="K93" s="529" t="s">
        <v>299</v>
      </c>
      <c r="L93" s="529">
        <v>2</v>
      </c>
      <c r="M93" s="717"/>
      <c r="N93" s="530" t="str">
        <f t="shared" si="30"/>
        <v>INCLUDED</v>
      </c>
      <c r="O93" s="747">
        <f t="shared" si="31"/>
        <v>0</v>
      </c>
      <c r="P93" s="747">
        <f t="shared" si="32"/>
        <v>0</v>
      </c>
      <c r="Q93" s="748">
        <f>Discount!$H$36</f>
        <v>0</v>
      </c>
      <c r="R93" s="748">
        <f t="shared" si="33"/>
        <v>0</v>
      </c>
      <c r="S93" s="748">
        <f t="shared" si="34"/>
        <v>0</v>
      </c>
      <c r="T93" s="749">
        <f t="shared" si="35"/>
        <v>0</v>
      </c>
      <c r="V93" s="850">
        <f t="shared" si="36"/>
        <v>0</v>
      </c>
      <c r="W93" s="749">
        <f t="shared" si="37"/>
        <v>0</v>
      </c>
      <c r="X93" s="749">
        <f t="shared" si="38"/>
        <v>0.18</v>
      </c>
      <c r="Y93" s="749">
        <f t="shared" si="39"/>
        <v>0</v>
      </c>
      <c r="Z93" s="749">
        <f t="shared" si="40"/>
        <v>0.18</v>
      </c>
      <c r="AA93" s="749">
        <f t="shared" si="41"/>
        <v>0</v>
      </c>
      <c r="AB93" s="526">
        <f t="shared" si="42"/>
        <v>0</v>
      </c>
      <c r="AC93" s="526">
        <f t="shared" si="43"/>
        <v>0</v>
      </c>
      <c r="AD93" s="526">
        <f t="shared" si="44"/>
        <v>0</v>
      </c>
    </row>
    <row r="94" spans="1:30" ht="63">
      <c r="A94" s="759">
        <v>77</v>
      </c>
      <c r="B94" s="529">
        <v>7000016907</v>
      </c>
      <c r="C94" s="529">
        <v>770</v>
      </c>
      <c r="D94" s="529" t="s">
        <v>669</v>
      </c>
      <c r="E94" s="529">
        <v>1000020125</v>
      </c>
      <c r="F94" s="529">
        <v>73082011</v>
      </c>
      <c r="G94" s="716"/>
      <c r="H94" s="529">
        <v>18</v>
      </c>
      <c r="I94" s="541"/>
      <c r="J94" s="715" t="s">
        <v>717</v>
      </c>
      <c r="K94" s="529" t="s">
        <v>299</v>
      </c>
      <c r="L94" s="529">
        <v>2</v>
      </c>
      <c r="M94" s="717"/>
      <c r="N94" s="530" t="str">
        <f t="shared" si="30"/>
        <v>INCLUDED</v>
      </c>
      <c r="O94" s="747">
        <f t="shared" si="31"/>
        <v>0</v>
      </c>
      <c r="P94" s="747">
        <f t="shared" si="32"/>
        <v>0</v>
      </c>
      <c r="Q94" s="748">
        <f>Discount!$H$36</f>
        <v>0</v>
      </c>
      <c r="R94" s="748">
        <f t="shared" si="33"/>
        <v>0</v>
      </c>
      <c r="S94" s="748">
        <f t="shared" si="34"/>
        <v>0</v>
      </c>
      <c r="T94" s="749">
        <f t="shared" si="35"/>
        <v>0</v>
      </c>
      <c r="V94" s="850">
        <f t="shared" si="36"/>
        <v>0</v>
      </c>
      <c r="W94" s="749">
        <f t="shared" si="37"/>
        <v>0</v>
      </c>
      <c r="X94" s="749">
        <f t="shared" si="38"/>
        <v>0.18</v>
      </c>
      <c r="Y94" s="749">
        <f t="shared" si="39"/>
        <v>0</v>
      </c>
      <c r="Z94" s="749">
        <f t="shared" si="40"/>
        <v>0.18</v>
      </c>
      <c r="AA94" s="749">
        <f t="shared" si="41"/>
        <v>0</v>
      </c>
      <c r="AB94" s="526">
        <f t="shared" si="42"/>
        <v>0</v>
      </c>
      <c r="AC94" s="526">
        <f t="shared" si="43"/>
        <v>0</v>
      </c>
      <c r="AD94" s="526">
        <f t="shared" si="44"/>
        <v>0</v>
      </c>
    </row>
    <row r="95" spans="1:30" ht="31.5">
      <c r="A95" s="759">
        <v>78</v>
      </c>
      <c r="B95" s="529">
        <v>7000016907</v>
      </c>
      <c r="C95" s="529">
        <v>780</v>
      </c>
      <c r="D95" s="529" t="s">
        <v>529</v>
      </c>
      <c r="E95" s="529">
        <v>1000017567</v>
      </c>
      <c r="F95" s="529">
        <v>73045930</v>
      </c>
      <c r="G95" s="716"/>
      <c r="H95" s="529">
        <v>18</v>
      </c>
      <c r="I95" s="541"/>
      <c r="J95" s="715" t="s">
        <v>718</v>
      </c>
      <c r="K95" s="529" t="s">
        <v>299</v>
      </c>
      <c r="L95" s="529">
        <v>60</v>
      </c>
      <c r="M95" s="717"/>
      <c r="N95" s="530" t="str">
        <f t="shared" si="30"/>
        <v>INCLUDED</v>
      </c>
      <c r="O95" s="747">
        <f t="shared" si="31"/>
        <v>0</v>
      </c>
      <c r="P95" s="747">
        <f t="shared" si="32"/>
        <v>0</v>
      </c>
      <c r="Q95" s="748">
        <f>Discount!$H$36</f>
        <v>0</v>
      </c>
      <c r="R95" s="748">
        <f t="shared" si="33"/>
        <v>0</v>
      </c>
      <c r="S95" s="748">
        <f t="shared" si="34"/>
        <v>0</v>
      </c>
      <c r="T95" s="749">
        <f t="shared" si="35"/>
        <v>0</v>
      </c>
      <c r="V95" s="850">
        <f t="shared" si="36"/>
        <v>0</v>
      </c>
      <c r="W95" s="749">
        <f t="shared" si="37"/>
        <v>0</v>
      </c>
      <c r="X95" s="749">
        <f t="shared" si="38"/>
        <v>0.18</v>
      </c>
      <c r="Y95" s="749">
        <f t="shared" si="39"/>
        <v>0</v>
      </c>
      <c r="Z95" s="749">
        <f t="shared" si="40"/>
        <v>0.18</v>
      </c>
      <c r="AA95" s="749">
        <f t="shared" si="41"/>
        <v>0</v>
      </c>
      <c r="AB95" s="526">
        <f t="shared" si="42"/>
        <v>0</v>
      </c>
      <c r="AC95" s="526">
        <f t="shared" si="43"/>
        <v>0</v>
      </c>
      <c r="AD95" s="526">
        <f t="shared" si="44"/>
        <v>0</v>
      </c>
    </row>
    <row r="96" spans="1:30" ht="63">
      <c r="A96" s="759">
        <v>79</v>
      </c>
      <c r="B96" s="529">
        <v>7000016907</v>
      </c>
      <c r="C96" s="529">
        <v>790</v>
      </c>
      <c r="D96" s="529" t="s">
        <v>529</v>
      </c>
      <c r="E96" s="529">
        <v>1000020192</v>
      </c>
      <c r="F96" s="529">
        <v>73045930</v>
      </c>
      <c r="G96" s="716"/>
      <c r="H96" s="529">
        <v>18</v>
      </c>
      <c r="I96" s="541"/>
      <c r="J96" s="715" t="s">
        <v>719</v>
      </c>
      <c r="K96" s="529" t="s">
        <v>299</v>
      </c>
      <c r="L96" s="529">
        <v>15</v>
      </c>
      <c r="M96" s="717"/>
      <c r="N96" s="530" t="str">
        <f t="shared" si="30"/>
        <v>INCLUDED</v>
      </c>
      <c r="O96" s="747">
        <f t="shared" si="31"/>
        <v>0</v>
      </c>
      <c r="P96" s="747">
        <f t="shared" si="32"/>
        <v>0</v>
      </c>
      <c r="Q96" s="748">
        <f>Discount!$H$36</f>
        <v>0</v>
      </c>
      <c r="R96" s="748">
        <f t="shared" si="33"/>
        <v>0</v>
      </c>
      <c r="S96" s="748">
        <f t="shared" si="34"/>
        <v>0</v>
      </c>
      <c r="T96" s="749">
        <f t="shared" si="35"/>
        <v>0</v>
      </c>
      <c r="V96" s="850">
        <f t="shared" si="36"/>
        <v>0</v>
      </c>
      <c r="W96" s="749">
        <f t="shared" si="37"/>
        <v>0</v>
      </c>
      <c r="X96" s="749">
        <f t="shared" si="38"/>
        <v>0.18</v>
      </c>
      <c r="Y96" s="749">
        <f t="shared" si="39"/>
        <v>0</v>
      </c>
      <c r="Z96" s="749">
        <f t="shared" si="40"/>
        <v>0.18</v>
      </c>
      <c r="AA96" s="749">
        <f t="shared" si="41"/>
        <v>0</v>
      </c>
      <c r="AB96" s="526">
        <f t="shared" si="42"/>
        <v>0</v>
      </c>
      <c r="AC96" s="526">
        <f t="shared" si="43"/>
        <v>0</v>
      </c>
      <c r="AD96" s="526">
        <f t="shared" si="44"/>
        <v>0</v>
      </c>
    </row>
    <row r="97" spans="1:30" ht="63">
      <c r="A97" s="759">
        <v>80</v>
      </c>
      <c r="B97" s="529">
        <v>7000016907</v>
      </c>
      <c r="C97" s="529">
        <v>800</v>
      </c>
      <c r="D97" s="529" t="s">
        <v>529</v>
      </c>
      <c r="E97" s="529">
        <v>1000020193</v>
      </c>
      <c r="F97" s="529">
        <v>73045930</v>
      </c>
      <c r="G97" s="716"/>
      <c r="H97" s="529">
        <v>18</v>
      </c>
      <c r="I97" s="541"/>
      <c r="J97" s="715" t="s">
        <v>720</v>
      </c>
      <c r="K97" s="529" t="s">
        <v>299</v>
      </c>
      <c r="L97" s="529">
        <v>6</v>
      </c>
      <c r="M97" s="717"/>
      <c r="N97" s="530" t="str">
        <f t="shared" si="30"/>
        <v>INCLUDED</v>
      </c>
      <c r="O97" s="747">
        <f t="shared" si="31"/>
        <v>0</v>
      </c>
      <c r="P97" s="747">
        <f t="shared" si="32"/>
        <v>0</v>
      </c>
      <c r="Q97" s="748">
        <f>Discount!$H$36</f>
        <v>0</v>
      </c>
      <c r="R97" s="748">
        <f t="shared" si="33"/>
        <v>0</v>
      </c>
      <c r="S97" s="748">
        <f t="shared" si="34"/>
        <v>0</v>
      </c>
      <c r="T97" s="749">
        <f t="shared" si="35"/>
        <v>0</v>
      </c>
      <c r="V97" s="850">
        <f t="shared" si="36"/>
        <v>0</v>
      </c>
      <c r="W97" s="749">
        <f t="shared" si="37"/>
        <v>0</v>
      </c>
      <c r="X97" s="749">
        <f t="shared" si="38"/>
        <v>0.18</v>
      </c>
      <c r="Y97" s="749">
        <f t="shared" si="39"/>
        <v>0</v>
      </c>
      <c r="Z97" s="749">
        <f t="shared" si="40"/>
        <v>0.18</v>
      </c>
      <c r="AA97" s="749">
        <f t="shared" si="41"/>
        <v>0</v>
      </c>
      <c r="AB97" s="526">
        <f t="shared" si="42"/>
        <v>0</v>
      </c>
      <c r="AC97" s="526">
        <f t="shared" si="43"/>
        <v>0</v>
      </c>
      <c r="AD97" s="526">
        <f t="shared" si="44"/>
        <v>0</v>
      </c>
    </row>
    <row r="98" spans="1:30" ht="63">
      <c r="A98" s="759">
        <v>81</v>
      </c>
      <c r="B98" s="529">
        <v>7000016907</v>
      </c>
      <c r="C98" s="529">
        <v>810</v>
      </c>
      <c r="D98" s="529" t="s">
        <v>529</v>
      </c>
      <c r="E98" s="529">
        <v>1000020194</v>
      </c>
      <c r="F98" s="529">
        <v>73045930</v>
      </c>
      <c r="G98" s="716"/>
      <c r="H98" s="529">
        <v>18</v>
      </c>
      <c r="I98" s="541"/>
      <c r="J98" s="715" t="s">
        <v>721</v>
      </c>
      <c r="K98" s="529" t="s">
        <v>299</v>
      </c>
      <c r="L98" s="529">
        <v>13</v>
      </c>
      <c r="M98" s="717"/>
      <c r="N98" s="530" t="str">
        <f t="shared" si="30"/>
        <v>INCLUDED</v>
      </c>
      <c r="O98" s="747">
        <f t="shared" si="31"/>
        <v>0</v>
      </c>
      <c r="P98" s="747">
        <f t="shared" si="32"/>
        <v>0</v>
      </c>
      <c r="Q98" s="748">
        <f>Discount!$H$36</f>
        <v>0</v>
      </c>
      <c r="R98" s="748">
        <f t="shared" si="33"/>
        <v>0</v>
      </c>
      <c r="S98" s="748">
        <f t="shared" si="34"/>
        <v>0</v>
      </c>
      <c r="T98" s="749">
        <f t="shared" si="35"/>
        <v>0</v>
      </c>
      <c r="V98" s="850">
        <f t="shared" si="36"/>
        <v>0</v>
      </c>
      <c r="W98" s="749">
        <f t="shared" si="37"/>
        <v>0</v>
      </c>
      <c r="X98" s="749">
        <f t="shared" si="38"/>
        <v>0.18</v>
      </c>
      <c r="Y98" s="749">
        <f t="shared" si="39"/>
        <v>0</v>
      </c>
      <c r="Z98" s="749">
        <f t="shared" si="40"/>
        <v>0.18</v>
      </c>
      <c r="AA98" s="749">
        <f t="shared" si="41"/>
        <v>0</v>
      </c>
      <c r="AB98" s="526">
        <f t="shared" si="42"/>
        <v>0</v>
      </c>
      <c r="AC98" s="526">
        <f t="shared" si="43"/>
        <v>0</v>
      </c>
      <c r="AD98" s="526">
        <f t="shared" si="44"/>
        <v>0</v>
      </c>
    </row>
    <row r="99" spans="1:30" ht="63">
      <c r="A99" s="759">
        <v>82</v>
      </c>
      <c r="B99" s="529">
        <v>7000016907</v>
      </c>
      <c r="C99" s="529">
        <v>820</v>
      </c>
      <c r="D99" s="529" t="s">
        <v>529</v>
      </c>
      <c r="E99" s="529">
        <v>1000020195</v>
      </c>
      <c r="F99" s="529">
        <v>73045930</v>
      </c>
      <c r="G99" s="716"/>
      <c r="H99" s="529">
        <v>18</v>
      </c>
      <c r="I99" s="541"/>
      <c r="J99" s="715" t="s">
        <v>722</v>
      </c>
      <c r="K99" s="529" t="s">
        <v>299</v>
      </c>
      <c r="L99" s="529">
        <v>9</v>
      </c>
      <c r="M99" s="717"/>
      <c r="N99" s="530" t="str">
        <f t="shared" si="30"/>
        <v>INCLUDED</v>
      </c>
      <c r="O99" s="747">
        <f t="shared" si="31"/>
        <v>0</v>
      </c>
      <c r="P99" s="747">
        <f t="shared" si="32"/>
        <v>0</v>
      </c>
      <c r="Q99" s="748">
        <f>Discount!$H$36</f>
        <v>0</v>
      </c>
      <c r="R99" s="748">
        <f t="shared" si="33"/>
        <v>0</v>
      </c>
      <c r="S99" s="748">
        <f t="shared" si="34"/>
        <v>0</v>
      </c>
      <c r="T99" s="749">
        <f t="shared" si="35"/>
        <v>0</v>
      </c>
      <c r="V99" s="850">
        <f t="shared" si="36"/>
        <v>0</v>
      </c>
      <c r="W99" s="749">
        <f t="shared" si="37"/>
        <v>0</v>
      </c>
      <c r="X99" s="749">
        <f t="shared" si="38"/>
        <v>0.18</v>
      </c>
      <c r="Y99" s="749">
        <f t="shared" si="39"/>
        <v>0</v>
      </c>
      <c r="Z99" s="749">
        <f t="shared" si="40"/>
        <v>0.18</v>
      </c>
      <c r="AA99" s="749">
        <f t="shared" si="41"/>
        <v>0</v>
      </c>
      <c r="AB99" s="526">
        <f t="shared" si="42"/>
        <v>0</v>
      </c>
      <c r="AC99" s="526">
        <f t="shared" si="43"/>
        <v>0</v>
      </c>
      <c r="AD99" s="526">
        <f t="shared" si="44"/>
        <v>0</v>
      </c>
    </row>
    <row r="100" spans="1:30" ht="31.5">
      <c r="A100" s="759">
        <v>83</v>
      </c>
      <c r="B100" s="529">
        <v>7000016907</v>
      </c>
      <c r="C100" s="529">
        <v>830</v>
      </c>
      <c r="D100" s="529" t="s">
        <v>529</v>
      </c>
      <c r="E100" s="529">
        <v>1000017568</v>
      </c>
      <c r="F100" s="529">
        <v>73045930</v>
      </c>
      <c r="G100" s="716"/>
      <c r="H100" s="529">
        <v>18</v>
      </c>
      <c r="I100" s="541"/>
      <c r="J100" s="715" t="s">
        <v>723</v>
      </c>
      <c r="K100" s="529" t="s">
        <v>299</v>
      </c>
      <c r="L100" s="529">
        <v>12</v>
      </c>
      <c r="M100" s="717"/>
      <c r="N100" s="530" t="str">
        <f t="shared" si="30"/>
        <v>INCLUDED</v>
      </c>
      <c r="O100" s="747">
        <f t="shared" si="31"/>
        <v>0</v>
      </c>
      <c r="P100" s="747">
        <f t="shared" si="32"/>
        <v>0</v>
      </c>
      <c r="Q100" s="748">
        <f>Discount!$H$36</f>
        <v>0</v>
      </c>
      <c r="R100" s="748">
        <f t="shared" si="33"/>
        <v>0</v>
      </c>
      <c r="S100" s="748">
        <f t="shared" si="34"/>
        <v>0</v>
      </c>
      <c r="T100" s="749">
        <f t="shared" si="35"/>
        <v>0</v>
      </c>
      <c r="V100" s="850">
        <f t="shared" si="36"/>
        <v>0</v>
      </c>
      <c r="W100" s="749">
        <f t="shared" si="37"/>
        <v>0</v>
      </c>
      <c r="X100" s="749">
        <f t="shared" si="38"/>
        <v>0.18</v>
      </c>
      <c r="Y100" s="749">
        <f t="shared" si="39"/>
        <v>0</v>
      </c>
      <c r="Z100" s="749">
        <f t="shared" si="40"/>
        <v>0.18</v>
      </c>
      <c r="AA100" s="749">
        <f t="shared" si="41"/>
        <v>0</v>
      </c>
      <c r="AB100" s="526">
        <f t="shared" si="42"/>
        <v>0</v>
      </c>
      <c r="AC100" s="526">
        <f t="shared" si="43"/>
        <v>0</v>
      </c>
      <c r="AD100" s="526">
        <f t="shared" si="44"/>
        <v>0</v>
      </c>
    </row>
    <row r="101" spans="1:30">
      <c r="A101" s="759">
        <v>84</v>
      </c>
      <c r="B101" s="529">
        <v>7000016907</v>
      </c>
      <c r="C101" s="529">
        <v>840</v>
      </c>
      <c r="D101" s="529" t="s">
        <v>530</v>
      </c>
      <c r="E101" s="529">
        <v>1000053851</v>
      </c>
      <c r="F101" s="529">
        <v>76169990</v>
      </c>
      <c r="G101" s="716"/>
      <c r="H101" s="529">
        <v>18</v>
      </c>
      <c r="I101" s="541"/>
      <c r="J101" s="715" t="s">
        <v>606</v>
      </c>
      <c r="K101" s="529" t="s">
        <v>607</v>
      </c>
      <c r="L101" s="529">
        <v>1</v>
      </c>
      <c r="M101" s="717"/>
      <c r="N101" s="530" t="str">
        <f t="shared" si="30"/>
        <v>INCLUDED</v>
      </c>
      <c r="O101" s="747">
        <f t="shared" si="31"/>
        <v>0</v>
      </c>
      <c r="P101" s="747">
        <f t="shared" si="32"/>
        <v>0</v>
      </c>
      <c r="Q101" s="748">
        <f>Discount!$H$36</f>
        <v>0</v>
      </c>
      <c r="R101" s="748">
        <f t="shared" si="33"/>
        <v>0</v>
      </c>
      <c r="S101" s="748">
        <f t="shared" si="34"/>
        <v>0</v>
      </c>
      <c r="T101" s="749">
        <f t="shared" si="35"/>
        <v>0</v>
      </c>
      <c r="V101" s="850">
        <f t="shared" si="36"/>
        <v>0</v>
      </c>
      <c r="W101" s="749">
        <f t="shared" si="37"/>
        <v>0</v>
      </c>
      <c r="X101" s="749">
        <f t="shared" si="38"/>
        <v>0.18</v>
      </c>
      <c r="Y101" s="749">
        <f t="shared" si="39"/>
        <v>0</v>
      </c>
      <c r="Z101" s="749">
        <f t="shared" si="40"/>
        <v>0.18</v>
      </c>
      <c r="AA101" s="749">
        <f t="shared" si="41"/>
        <v>0</v>
      </c>
      <c r="AB101" s="526">
        <f t="shared" si="42"/>
        <v>0</v>
      </c>
      <c r="AC101" s="526">
        <f t="shared" si="43"/>
        <v>0</v>
      </c>
      <c r="AD101" s="526">
        <f t="shared" si="44"/>
        <v>0</v>
      </c>
    </row>
    <row r="102" spans="1:30">
      <c r="A102" s="759">
        <v>85</v>
      </c>
      <c r="B102" s="529">
        <v>7000016907</v>
      </c>
      <c r="C102" s="529">
        <v>850</v>
      </c>
      <c r="D102" s="529" t="s">
        <v>530</v>
      </c>
      <c r="E102" s="529">
        <v>1000032289</v>
      </c>
      <c r="F102" s="529">
        <v>84819090</v>
      </c>
      <c r="G102" s="716"/>
      <c r="H102" s="529">
        <v>18</v>
      </c>
      <c r="I102" s="541"/>
      <c r="J102" s="715" t="s">
        <v>724</v>
      </c>
      <c r="K102" s="529" t="s">
        <v>300</v>
      </c>
      <c r="L102" s="529">
        <v>1</v>
      </c>
      <c r="M102" s="717"/>
      <c r="N102" s="530" t="str">
        <f t="shared" si="30"/>
        <v>INCLUDED</v>
      </c>
      <c r="O102" s="747">
        <f t="shared" si="31"/>
        <v>0</v>
      </c>
      <c r="P102" s="747">
        <f t="shared" si="32"/>
        <v>0</v>
      </c>
      <c r="Q102" s="748">
        <f>Discount!$H$36</f>
        <v>0</v>
      </c>
      <c r="R102" s="748">
        <f t="shared" si="33"/>
        <v>0</v>
      </c>
      <c r="S102" s="748">
        <f t="shared" si="34"/>
        <v>0</v>
      </c>
      <c r="T102" s="749">
        <f t="shared" si="35"/>
        <v>0</v>
      </c>
      <c r="V102" s="850">
        <f t="shared" si="36"/>
        <v>0</v>
      </c>
      <c r="W102" s="749">
        <f t="shared" si="37"/>
        <v>0</v>
      </c>
      <c r="X102" s="749">
        <f t="shared" si="38"/>
        <v>0.18</v>
      </c>
      <c r="Y102" s="749">
        <f t="shared" si="39"/>
        <v>0</v>
      </c>
      <c r="Z102" s="749">
        <f t="shared" si="40"/>
        <v>0.18</v>
      </c>
      <c r="AA102" s="749">
        <f t="shared" si="41"/>
        <v>0</v>
      </c>
      <c r="AB102" s="526">
        <f t="shared" si="42"/>
        <v>0</v>
      </c>
      <c r="AC102" s="526">
        <f t="shared" si="43"/>
        <v>0</v>
      </c>
      <c r="AD102" s="526">
        <f t="shared" si="44"/>
        <v>0</v>
      </c>
    </row>
    <row r="103" spans="1:30">
      <c r="A103" s="759">
        <v>86</v>
      </c>
      <c r="B103" s="529">
        <v>7000016907</v>
      </c>
      <c r="C103" s="529">
        <v>860</v>
      </c>
      <c r="D103" s="529" t="s">
        <v>530</v>
      </c>
      <c r="E103" s="529">
        <v>1000025950</v>
      </c>
      <c r="F103" s="529">
        <v>85176210</v>
      </c>
      <c r="G103" s="716"/>
      <c r="H103" s="529">
        <v>18</v>
      </c>
      <c r="I103" s="541"/>
      <c r="J103" s="715" t="s">
        <v>725</v>
      </c>
      <c r="K103" s="529" t="s">
        <v>300</v>
      </c>
      <c r="L103" s="529">
        <v>1</v>
      </c>
      <c r="M103" s="717"/>
      <c r="N103" s="530" t="str">
        <f t="shared" si="30"/>
        <v>INCLUDED</v>
      </c>
      <c r="O103" s="747">
        <f t="shared" si="31"/>
        <v>0</v>
      </c>
      <c r="P103" s="747">
        <f t="shared" si="32"/>
        <v>0</v>
      </c>
      <c r="Q103" s="748">
        <f>Discount!$H$36</f>
        <v>0</v>
      </c>
      <c r="R103" s="748">
        <f t="shared" si="33"/>
        <v>0</v>
      </c>
      <c r="S103" s="748">
        <f t="shared" si="34"/>
        <v>0</v>
      </c>
      <c r="T103" s="749">
        <f t="shared" si="35"/>
        <v>0</v>
      </c>
      <c r="V103" s="850">
        <f t="shared" si="36"/>
        <v>0</v>
      </c>
      <c r="W103" s="749">
        <f t="shared" si="37"/>
        <v>0</v>
      </c>
      <c r="X103" s="749">
        <f t="shared" si="38"/>
        <v>0.18</v>
      </c>
      <c r="Y103" s="749">
        <f t="shared" si="39"/>
        <v>0</v>
      </c>
      <c r="Z103" s="749">
        <f t="shared" si="40"/>
        <v>0.18</v>
      </c>
      <c r="AA103" s="749">
        <f t="shared" si="41"/>
        <v>0</v>
      </c>
      <c r="AB103" s="526">
        <f t="shared" si="42"/>
        <v>0</v>
      </c>
      <c r="AC103" s="526">
        <f t="shared" si="43"/>
        <v>0</v>
      </c>
      <c r="AD103" s="526">
        <f t="shared" si="44"/>
        <v>0</v>
      </c>
    </row>
    <row r="104" spans="1:30">
      <c r="A104" s="759">
        <v>87</v>
      </c>
      <c r="B104" s="529">
        <v>7000016907</v>
      </c>
      <c r="C104" s="529">
        <v>870</v>
      </c>
      <c r="D104" s="529" t="s">
        <v>530</v>
      </c>
      <c r="E104" s="529">
        <v>1000019927</v>
      </c>
      <c r="F104" s="529">
        <v>85389000</v>
      </c>
      <c r="G104" s="716"/>
      <c r="H104" s="529">
        <v>18</v>
      </c>
      <c r="I104" s="541"/>
      <c r="J104" s="715" t="s">
        <v>546</v>
      </c>
      <c r="K104" s="529" t="s">
        <v>552</v>
      </c>
      <c r="L104" s="529">
        <v>1</v>
      </c>
      <c r="M104" s="717"/>
      <c r="N104" s="530" t="str">
        <f t="shared" si="30"/>
        <v>INCLUDED</v>
      </c>
      <c r="O104" s="747">
        <f t="shared" si="31"/>
        <v>0</v>
      </c>
      <c r="P104" s="747">
        <f t="shared" si="32"/>
        <v>0</v>
      </c>
      <c r="Q104" s="748">
        <f>Discount!$H$36</f>
        <v>0</v>
      </c>
      <c r="R104" s="748">
        <f t="shared" si="33"/>
        <v>0</v>
      </c>
      <c r="S104" s="748">
        <f t="shared" si="34"/>
        <v>0</v>
      </c>
      <c r="T104" s="749">
        <f t="shared" si="35"/>
        <v>0</v>
      </c>
      <c r="V104" s="850">
        <f t="shared" si="36"/>
        <v>0</v>
      </c>
      <c r="W104" s="749">
        <f t="shared" si="37"/>
        <v>0</v>
      </c>
      <c r="X104" s="749">
        <f t="shared" si="38"/>
        <v>0.18</v>
      </c>
      <c r="Y104" s="749">
        <f t="shared" si="39"/>
        <v>0</v>
      </c>
      <c r="Z104" s="749">
        <f t="shared" si="40"/>
        <v>0.18</v>
      </c>
      <c r="AA104" s="749">
        <f t="shared" si="41"/>
        <v>0</v>
      </c>
      <c r="AB104" s="526">
        <f t="shared" si="42"/>
        <v>0</v>
      </c>
      <c r="AC104" s="526">
        <f t="shared" si="43"/>
        <v>0</v>
      </c>
      <c r="AD104" s="526">
        <f t="shared" si="44"/>
        <v>0</v>
      </c>
    </row>
    <row r="105" spans="1:30">
      <c r="A105" s="759">
        <v>88</v>
      </c>
      <c r="B105" s="529">
        <v>7000016907</v>
      </c>
      <c r="C105" s="529">
        <v>880</v>
      </c>
      <c r="D105" s="529" t="s">
        <v>530</v>
      </c>
      <c r="E105" s="529">
        <v>1000019912</v>
      </c>
      <c r="F105" s="529">
        <v>85371000</v>
      </c>
      <c r="G105" s="716"/>
      <c r="H105" s="529">
        <v>18</v>
      </c>
      <c r="I105" s="541"/>
      <c r="J105" s="715" t="s">
        <v>547</v>
      </c>
      <c r="K105" s="529" t="s">
        <v>552</v>
      </c>
      <c r="L105" s="529">
        <v>1</v>
      </c>
      <c r="M105" s="717"/>
      <c r="N105" s="530" t="str">
        <f t="shared" si="30"/>
        <v>INCLUDED</v>
      </c>
      <c r="O105" s="747">
        <f t="shared" si="31"/>
        <v>0</v>
      </c>
      <c r="P105" s="747">
        <f t="shared" si="32"/>
        <v>0</v>
      </c>
      <c r="Q105" s="748">
        <f>Discount!$H$36</f>
        <v>0</v>
      </c>
      <c r="R105" s="748">
        <f t="shared" si="33"/>
        <v>0</v>
      </c>
      <c r="S105" s="748">
        <f t="shared" si="34"/>
        <v>0</v>
      </c>
      <c r="T105" s="749">
        <f t="shared" si="35"/>
        <v>0</v>
      </c>
      <c r="V105" s="850">
        <f t="shared" si="36"/>
        <v>0</v>
      </c>
      <c r="W105" s="749">
        <f t="shared" si="37"/>
        <v>0</v>
      </c>
      <c r="X105" s="749">
        <f t="shared" si="38"/>
        <v>0.18</v>
      </c>
      <c r="Y105" s="749">
        <f t="shared" si="39"/>
        <v>0</v>
      </c>
      <c r="Z105" s="749">
        <f t="shared" si="40"/>
        <v>0.18</v>
      </c>
      <c r="AA105" s="749">
        <f t="shared" si="41"/>
        <v>0</v>
      </c>
      <c r="AB105" s="526">
        <f t="shared" si="42"/>
        <v>0</v>
      </c>
      <c r="AC105" s="526">
        <f t="shared" si="43"/>
        <v>0</v>
      </c>
      <c r="AD105" s="526">
        <f t="shared" si="44"/>
        <v>0</v>
      </c>
    </row>
    <row r="106" spans="1:30">
      <c r="A106" s="759">
        <v>89</v>
      </c>
      <c r="B106" s="529">
        <v>7000016907</v>
      </c>
      <c r="C106" s="529">
        <v>890</v>
      </c>
      <c r="D106" s="529" t="s">
        <v>530</v>
      </c>
      <c r="E106" s="529">
        <v>1000025941</v>
      </c>
      <c r="F106" s="529">
        <v>85389000</v>
      </c>
      <c r="G106" s="716"/>
      <c r="H106" s="529">
        <v>18</v>
      </c>
      <c r="I106" s="541"/>
      <c r="J106" s="715" t="s">
        <v>548</v>
      </c>
      <c r="K106" s="529" t="s">
        <v>300</v>
      </c>
      <c r="L106" s="529">
        <v>1</v>
      </c>
      <c r="M106" s="717"/>
      <c r="N106" s="530" t="str">
        <f t="shared" si="30"/>
        <v>INCLUDED</v>
      </c>
      <c r="O106" s="747">
        <f t="shared" si="31"/>
        <v>0</v>
      </c>
      <c r="P106" s="747">
        <f t="shared" si="32"/>
        <v>0</v>
      </c>
      <c r="Q106" s="748">
        <f>Discount!$H$36</f>
        <v>0</v>
      </c>
      <c r="R106" s="748">
        <f t="shared" si="33"/>
        <v>0</v>
      </c>
      <c r="S106" s="748">
        <f t="shared" si="34"/>
        <v>0</v>
      </c>
      <c r="T106" s="749">
        <f t="shared" si="35"/>
        <v>0</v>
      </c>
      <c r="V106" s="850">
        <f t="shared" si="36"/>
        <v>0</v>
      </c>
      <c r="W106" s="749">
        <f t="shared" si="37"/>
        <v>0</v>
      </c>
      <c r="X106" s="749">
        <f t="shared" si="38"/>
        <v>0.18</v>
      </c>
      <c r="Y106" s="749">
        <f t="shared" si="39"/>
        <v>0</v>
      </c>
      <c r="Z106" s="749">
        <f t="shared" si="40"/>
        <v>0.18</v>
      </c>
      <c r="AA106" s="749">
        <f t="shared" si="41"/>
        <v>0</v>
      </c>
      <c r="AB106" s="526">
        <f t="shared" si="42"/>
        <v>0</v>
      </c>
      <c r="AC106" s="526">
        <f t="shared" si="43"/>
        <v>0</v>
      </c>
      <c r="AD106" s="526">
        <f t="shared" si="44"/>
        <v>0</v>
      </c>
    </row>
    <row r="107" spans="1:30">
      <c r="A107" s="759">
        <v>90</v>
      </c>
      <c r="B107" s="529">
        <v>7000016907</v>
      </c>
      <c r="C107" s="529">
        <v>900</v>
      </c>
      <c r="D107" s="529" t="s">
        <v>530</v>
      </c>
      <c r="E107" s="529">
        <v>1000025940</v>
      </c>
      <c r="F107" s="529">
        <v>85462040</v>
      </c>
      <c r="G107" s="716"/>
      <c r="H107" s="529">
        <v>18</v>
      </c>
      <c r="I107" s="541"/>
      <c r="J107" s="715" t="s">
        <v>605</v>
      </c>
      <c r="K107" s="529" t="s">
        <v>300</v>
      </c>
      <c r="L107" s="529">
        <v>1</v>
      </c>
      <c r="M107" s="717"/>
      <c r="N107" s="530" t="str">
        <f t="shared" si="30"/>
        <v>INCLUDED</v>
      </c>
      <c r="O107" s="747">
        <f t="shared" si="31"/>
        <v>0</v>
      </c>
      <c r="P107" s="747">
        <f t="shared" si="32"/>
        <v>0</v>
      </c>
      <c r="Q107" s="748">
        <f>Discount!$H$36</f>
        <v>0</v>
      </c>
      <c r="R107" s="748">
        <f t="shared" si="33"/>
        <v>0</v>
      </c>
      <c r="S107" s="748">
        <f t="shared" si="34"/>
        <v>0</v>
      </c>
      <c r="T107" s="749">
        <f t="shared" si="35"/>
        <v>0</v>
      </c>
      <c r="V107" s="850">
        <f t="shared" si="36"/>
        <v>0</v>
      </c>
      <c r="W107" s="749">
        <f t="shared" si="37"/>
        <v>0</v>
      </c>
      <c r="X107" s="749">
        <f t="shared" si="38"/>
        <v>0.18</v>
      </c>
      <c r="Y107" s="749">
        <f t="shared" si="39"/>
        <v>0</v>
      </c>
      <c r="Z107" s="749">
        <f t="shared" si="40"/>
        <v>0.18</v>
      </c>
      <c r="AA107" s="749">
        <f t="shared" si="41"/>
        <v>0</v>
      </c>
      <c r="AB107" s="526">
        <f t="shared" si="42"/>
        <v>0</v>
      </c>
      <c r="AC107" s="526">
        <f t="shared" si="43"/>
        <v>0</v>
      </c>
      <c r="AD107" s="526">
        <f t="shared" si="44"/>
        <v>0</v>
      </c>
    </row>
    <row r="108" spans="1:30">
      <c r="A108" s="759">
        <v>91</v>
      </c>
      <c r="B108" s="529">
        <v>7000016907</v>
      </c>
      <c r="C108" s="529">
        <v>910</v>
      </c>
      <c r="D108" s="529" t="s">
        <v>530</v>
      </c>
      <c r="E108" s="529">
        <v>1000025943</v>
      </c>
      <c r="F108" s="529">
        <v>85359090</v>
      </c>
      <c r="G108" s="716"/>
      <c r="H108" s="529">
        <v>18</v>
      </c>
      <c r="I108" s="541"/>
      <c r="J108" s="715" t="s">
        <v>623</v>
      </c>
      <c r="K108" s="529" t="s">
        <v>300</v>
      </c>
      <c r="L108" s="529">
        <v>1</v>
      </c>
      <c r="M108" s="717"/>
      <c r="N108" s="530" t="str">
        <f t="shared" si="30"/>
        <v>INCLUDED</v>
      </c>
      <c r="O108" s="747">
        <f t="shared" si="31"/>
        <v>0</v>
      </c>
      <c r="P108" s="747">
        <f t="shared" si="32"/>
        <v>0</v>
      </c>
      <c r="Q108" s="748">
        <f>Discount!$H$36</f>
        <v>0</v>
      </c>
      <c r="R108" s="748">
        <f t="shared" si="33"/>
        <v>0</v>
      </c>
      <c r="S108" s="748">
        <f t="shared" si="34"/>
        <v>0</v>
      </c>
      <c r="T108" s="749">
        <f t="shared" si="35"/>
        <v>0</v>
      </c>
      <c r="V108" s="850">
        <f t="shared" si="36"/>
        <v>0</v>
      </c>
      <c r="W108" s="749">
        <f t="shared" si="37"/>
        <v>0</v>
      </c>
      <c r="X108" s="749">
        <f t="shared" si="38"/>
        <v>0.18</v>
      </c>
      <c r="Y108" s="749">
        <f t="shared" si="39"/>
        <v>0</v>
      </c>
      <c r="Z108" s="749">
        <f t="shared" si="40"/>
        <v>0.18</v>
      </c>
      <c r="AA108" s="749">
        <f t="shared" si="41"/>
        <v>0</v>
      </c>
      <c r="AB108" s="526">
        <f t="shared" si="42"/>
        <v>0</v>
      </c>
      <c r="AC108" s="526">
        <f t="shared" si="43"/>
        <v>0</v>
      </c>
      <c r="AD108" s="526">
        <f t="shared" si="44"/>
        <v>0</v>
      </c>
    </row>
    <row r="109" spans="1:30">
      <c r="A109" s="759">
        <v>92</v>
      </c>
      <c r="B109" s="529">
        <v>7000016907</v>
      </c>
      <c r="C109" s="529">
        <v>920</v>
      </c>
      <c r="D109" s="529" t="s">
        <v>530</v>
      </c>
      <c r="E109" s="529">
        <v>1000024186</v>
      </c>
      <c r="F109" s="529">
        <v>85354010</v>
      </c>
      <c r="G109" s="716"/>
      <c r="H109" s="529">
        <v>18</v>
      </c>
      <c r="I109" s="541"/>
      <c r="J109" s="715" t="s">
        <v>549</v>
      </c>
      <c r="K109" s="529" t="s">
        <v>552</v>
      </c>
      <c r="L109" s="529">
        <v>1</v>
      </c>
      <c r="M109" s="717"/>
      <c r="N109" s="530" t="str">
        <f t="shared" si="30"/>
        <v>INCLUDED</v>
      </c>
      <c r="O109" s="747">
        <f t="shared" si="31"/>
        <v>0</v>
      </c>
      <c r="P109" s="747">
        <f t="shared" si="32"/>
        <v>0</v>
      </c>
      <c r="Q109" s="748">
        <f>Discount!$H$36</f>
        <v>0</v>
      </c>
      <c r="R109" s="748">
        <f t="shared" si="33"/>
        <v>0</v>
      </c>
      <c r="S109" s="748">
        <f t="shared" si="34"/>
        <v>0</v>
      </c>
      <c r="T109" s="749">
        <f t="shared" si="35"/>
        <v>0</v>
      </c>
      <c r="V109" s="850">
        <f t="shared" si="36"/>
        <v>0</v>
      </c>
      <c r="W109" s="749">
        <f t="shared" si="37"/>
        <v>0</v>
      </c>
      <c r="X109" s="749">
        <f t="shared" si="38"/>
        <v>0.18</v>
      </c>
      <c r="Y109" s="749">
        <f t="shared" si="39"/>
        <v>0</v>
      </c>
      <c r="Z109" s="749">
        <f t="shared" si="40"/>
        <v>0.18</v>
      </c>
      <c r="AA109" s="749">
        <f t="shared" si="41"/>
        <v>0</v>
      </c>
      <c r="AB109" s="526">
        <f t="shared" si="42"/>
        <v>0</v>
      </c>
      <c r="AC109" s="526">
        <f t="shared" si="43"/>
        <v>0</v>
      </c>
      <c r="AD109" s="526">
        <f t="shared" si="44"/>
        <v>0</v>
      </c>
    </row>
    <row r="110" spans="1:30">
      <c r="A110" s="759">
        <v>93</v>
      </c>
      <c r="B110" s="529">
        <v>7000016907</v>
      </c>
      <c r="C110" s="529">
        <v>930</v>
      </c>
      <c r="D110" s="529" t="s">
        <v>530</v>
      </c>
      <c r="E110" s="529">
        <v>1000019919</v>
      </c>
      <c r="F110" s="529">
        <v>85353090</v>
      </c>
      <c r="G110" s="716"/>
      <c r="H110" s="529">
        <v>18</v>
      </c>
      <c r="I110" s="541"/>
      <c r="J110" s="715" t="s">
        <v>550</v>
      </c>
      <c r="K110" s="529" t="s">
        <v>552</v>
      </c>
      <c r="L110" s="529">
        <v>1</v>
      </c>
      <c r="M110" s="717"/>
      <c r="N110" s="530" t="str">
        <f t="shared" si="30"/>
        <v>INCLUDED</v>
      </c>
      <c r="O110" s="747">
        <f t="shared" si="31"/>
        <v>0</v>
      </c>
      <c r="P110" s="747">
        <f t="shared" si="32"/>
        <v>0</v>
      </c>
      <c r="Q110" s="748">
        <f>Discount!$H$36</f>
        <v>0</v>
      </c>
      <c r="R110" s="748">
        <f t="shared" si="33"/>
        <v>0</v>
      </c>
      <c r="S110" s="748">
        <f t="shared" si="34"/>
        <v>0</v>
      </c>
      <c r="T110" s="749">
        <f t="shared" si="35"/>
        <v>0</v>
      </c>
      <c r="V110" s="850">
        <f t="shared" si="36"/>
        <v>0</v>
      </c>
      <c r="W110" s="749">
        <f t="shared" si="37"/>
        <v>0</v>
      </c>
      <c r="X110" s="749">
        <f t="shared" si="38"/>
        <v>0.18</v>
      </c>
      <c r="Y110" s="749">
        <f t="shared" si="39"/>
        <v>0</v>
      </c>
      <c r="Z110" s="749">
        <f t="shared" si="40"/>
        <v>0.18</v>
      </c>
      <c r="AA110" s="749">
        <f t="shared" si="41"/>
        <v>0</v>
      </c>
      <c r="AB110" s="526">
        <f t="shared" si="42"/>
        <v>0</v>
      </c>
      <c r="AC110" s="526">
        <f t="shared" si="43"/>
        <v>0</v>
      </c>
      <c r="AD110" s="526">
        <f t="shared" si="44"/>
        <v>0</v>
      </c>
    </row>
    <row r="111" spans="1:30">
      <c r="A111" s="759">
        <v>94</v>
      </c>
      <c r="B111" s="529">
        <v>7000016907</v>
      </c>
      <c r="C111" s="529">
        <v>940</v>
      </c>
      <c r="D111" s="529" t="s">
        <v>530</v>
      </c>
      <c r="E111" s="529">
        <v>1000019918</v>
      </c>
      <c r="F111" s="529">
        <v>85359090</v>
      </c>
      <c r="G111" s="716"/>
      <c r="H111" s="529">
        <v>18</v>
      </c>
      <c r="I111" s="541"/>
      <c r="J111" s="715" t="s">
        <v>551</v>
      </c>
      <c r="K111" s="529" t="s">
        <v>552</v>
      </c>
      <c r="L111" s="529">
        <v>1</v>
      </c>
      <c r="M111" s="717"/>
      <c r="N111" s="530" t="str">
        <f t="shared" si="30"/>
        <v>INCLUDED</v>
      </c>
      <c r="O111" s="747">
        <f t="shared" si="31"/>
        <v>0</v>
      </c>
      <c r="P111" s="747">
        <f t="shared" si="32"/>
        <v>0</v>
      </c>
      <c r="Q111" s="748">
        <f>Discount!$H$36</f>
        <v>0</v>
      </c>
      <c r="R111" s="748">
        <f t="shared" si="33"/>
        <v>0</v>
      </c>
      <c r="S111" s="748">
        <f t="shared" si="34"/>
        <v>0</v>
      </c>
      <c r="T111" s="749">
        <f t="shared" si="35"/>
        <v>0</v>
      </c>
      <c r="V111" s="850">
        <f t="shared" si="36"/>
        <v>0</v>
      </c>
      <c r="W111" s="749">
        <f t="shared" si="37"/>
        <v>0</v>
      </c>
      <c r="X111" s="749">
        <f t="shared" si="38"/>
        <v>0.18</v>
      </c>
      <c r="Y111" s="749">
        <f t="shared" si="39"/>
        <v>0</v>
      </c>
      <c r="Z111" s="749">
        <f t="shared" si="40"/>
        <v>0.18</v>
      </c>
      <c r="AA111" s="749">
        <f t="shared" si="41"/>
        <v>0</v>
      </c>
      <c r="AB111" s="526">
        <f t="shared" si="42"/>
        <v>0</v>
      </c>
      <c r="AC111" s="526">
        <f t="shared" si="43"/>
        <v>0</v>
      </c>
      <c r="AD111" s="526">
        <f t="shared" si="44"/>
        <v>0</v>
      </c>
    </row>
    <row r="112" spans="1:30">
      <c r="A112" s="759">
        <v>95</v>
      </c>
      <c r="B112" s="529">
        <v>7000016907</v>
      </c>
      <c r="C112" s="529">
        <v>950</v>
      </c>
      <c r="D112" s="529" t="s">
        <v>530</v>
      </c>
      <c r="E112" s="529">
        <v>1000028372</v>
      </c>
      <c r="F112" s="529">
        <v>85354010</v>
      </c>
      <c r="G112" s="716"/>
      <c r="H112" s="529">
        <v>18</v>
      </c>
      <c r="I112" s="541"/>
      <c r="J112" s="715" t="s">
        <v>726</v>
      </c>
      <c r="K112" s="529" t="s">
        <v>552</v>
      </c>
      <c r="L112" s="529">
        <v>1</v>
      </c>
      <c r="M112" s="717"/>
      <c r="N112" s="530" t="str">
        <f t="shared" si="30"/>
        <v>INCLUDED</v>
      </c>
      <c r="O112" s="747">
        <f t="shared" si="31"/>
        <v>0</v>
      </c>
      <c r="P112" s="747">
        <f t="shared" si="32"/>
        <v>0</v>
      </c>
      <c r="Q112" s="748">
        <f>Discount!$H$36</f>
        <v>0</v>
      </c>
      <c r="R112" s="748">
        <f t="shared" si="33"/>
        <v>0</v>
      </c>
      <c r="S112" s="748">
        <f t="shared" si="34"/>
        <v>0</v>
      </c>
      <c r="T112" s="749">
        <f t="shared" si="35"/>
        <v>0</v>
      </c>
      <c r="V112" s="850">
        <f t="shared" si="36"/>
        <v>0</v>
      </c>
      <c r="W112" s="749">
        <f t="shared" si="37"/>
        <v>0</v>
      </c>
      <c r="X112" s="749">
        <f t="shared" si="38"/>
        <v>0.18</v>
      </c>
      <c r="Y112" s="749">
        <f t="shared" si="39"/>
        <v>0</v>
      </c>
      <c r="Z112" s="749">
        <f t="shared" si="40"/>
        <v>0.18</v>
      </c>
      <c r="AA112" s="749">
        <f t="shared" si="41"/>
        <v>0</v>
      </c>
      <c r="AB112" s="526">
        <f t="shared" si="42"/>
        <v>0</v>
      </c>
      <c r="AC112" s="526">
        <f t="shared" si="43"/>
        <v>0</v>
      </c>
      <c r="AD112" s="526">
        <f t="shared" si="44"/>
        <v>0</v>
      </c>
    </row>
    <row r="113" spans="1:30">
      <c r="A113" s="759">
        <v>96</v>
      </c>
      <c r="B113" s="529">
        <v>7000016907</v>
      </c>
      <c r="C113" s="529">
        <v>960</v>
      </c>
      <c r="D113" s="529" t="s">
        <v>530</v>
      </c>
      <c r="E113" s="529">
        <v>1000054977</v>
      </c>
      <c r="F113" s="529">
        <v>85352919</v>
      </c>
      <c r="G113" s="716"/>
      <c r="H113" s="529">
        <v>18</v>
      </c>
      <c r="I113" s="541"/>
      <c r="J113" s="715" t="s">
        <v>727</v>
      </c>
      <c r="K113" s="529" t="s">
        <v>607</v>
      </c>
      <c r="L113" s="529">
        <v>1</v>
      </c>
      <c r="M113" s="717"/>
      <c r="N113" s="530" t="str">
        <f t="shared" si="30"/>
        <v>INCLUDED</v>
      </c>
      <c r="O113" s="747">
        <f t="shared" si="31"/>
        <v>0</v>
      </c>
      <c r="P113" s="747">
        <f t="shared" si="32"/>
        <v>0</v>
      </c>
      <c r="Q113" s="748">
        <f>Discount!$H$36</f>
        <v>0</v>
      </c>
      <c r="R113" s="748">
        <f t="shared" si="33"/>
        <v>0</v>
      </c>
      <c r="S113" s="748">
        <f t="shared" si="34"/>
        <v>0</v>
      </c>
      <c r="T113" s="749">
        <f t="shared" si="35"/>
        <v>0</v>
      </c>
      <c r="V113" s="850">
        <f t="shared" si="36"/>
        <v>0</v>
      </c>
      <c r="W113" s="749">
        <f t="shared" si="37"/>
        <v>0</v>
      </c>
      <c r="X113" s="749">
        <f t="shared" si="38"/>
        <v>0.18</v>
      </c>
      <c r="Y113" s="749">
        <f t="shared" si="39"/>
        <v>0</v>
      </c>
      <c r="Z113" s="749">
        <f t="shared" si="40"/>
        <v>0.18</v>
      </c>
      <c r="AA113" s="749">
        <f t="shared" si="41"/>
        <v>0</v>
      </c>
      <c r="AB113" s="526">
        <f t="shared" si="42"/>
        <v>0</v>
      </c>
      <c r="AC113" s="526">
        <f t="shared" si="43"/>
        <v>0</v>
      </c>
      <c r="AD113" s="526">
        <f t="shared" si="44"/>
        <v>0</v>
      </c>
    </row>
    <row r="114" spans="1:30">
      <c r="A114" s="759">
        <v>97</v>
      </c>
      <c r="B114" s="529">
        <v>7000016907</v>
      </c>
      <c r="C114" s="529">
        <v>970</v>
      </c>
      <c r="D114" s="529" t="s">
        <v>530</v>
      </c>
      <c r="E114" s="529">
        <v>1000054976</v>
      </c>
      <c r="F114" s="529">
        <v>85352919</v>
      </c>
      <c r="G114" s="716"/>
      <c r="H114" s="529">
        <v>18</v>
      </c>
      <c r="I114" s="541"/>
      <c r="J114" s="715" t="s">
        <v>728</v>
      </c>
      <c r="K114" s="529" t="s">
        <v>607</v>
      </c>
      <c r="L114" s="529">
        <v>1</v>
      </c>
      <c r="M114" s="717"/>
      <c r="N114" s="530" t="str">
        <f t="shared" si="30"/>
        <v>INCLUDED</v>
      </c>
      <c r="O114" s="747">
        <f t="shared" si="31"/>
        <v>0</v>
      </c>
      <c r="P114" s="747">
        <f t="shared" si="32"/>
        <v>0</v>
      </c>
      <c r="Q114" s="748">
        <f>Discount!$H$36</f>
        <v>0</v>
      </c>
      <c r="R114" s="748">
        <f t="shared" si="33"/>
        <v>0</v>
      </c>
      <c r="S114" s="748">
        <f t="shared" si="34"/>
        <v>0</v>
      </c>
      <c r="T114" s="749">
        <f t="shared" si="35"/>
        <v>0</v>
      </c>
      <c r="V114" s="850">
        <f t="shared" si="36"/>
        <v>0</v>
      </c>
      <c r="W114" s="749">
        <f t="shared" si="37"/>
        <v>0</v>
      </c>
      <c r="X114" s="749">
        <f t="shared" si="38"/>
        <v>0.18</v>
      </c>
      <c r="Y114" s="749">
        <f t="shared" si="39"/>
        <v>0</v>
      </c>
      <c r="Z114" s="749">
        <f t="shared" si="40"/>
        <v>0.18</v>
      </c>
      <c r="AA114" s="749">
        <f t="shared" si="41"/>
        <v>0</v>
      </c>
      <c r="AB114" s="526">
        <f t="shared" si="42"/>
        <v>0</v>
      </c>
      <c r="AC114" s="526">
        <f t="shared" si="43"/>
        <v>0</v>
      </c>
      <c r="AD114" s="526">
        <f t="shared" si="44"/>
        <v>0</v>
      </c>
    </row>
    <row r="115" spans="1:30">
      <c r="A115" s="759">
        <v>98</v>
      </c>
      <c r="B115" s="529">
        <v>7000016907</v>
      </c>
      <c r="C115" s="529">
        <v>980</v>
      </c>
      <c r="D115" s="529" t="s">
        <v>530</v>
      </c>
      <c r="E115" s="529">
        <v>1000028091</v>
      </c>
      <c r="F115" s="529">
        <v>85353090</v>
      </c>
      <c r="G115" s="716"/>
      <c r="H115" s="529">
        <v>18</v>
      </c>
      <c r="I115" s="541"/>
      <c r="J115" s="715" t="s">
        <v>729</v>
      </c>
      <c r="K115" s="529" t="s">
        <v>607</v>
      </c>
      <c r="L115" s="529">
        <v>1</v>
      </c>
      <c r="M115" s="717"/>
      <c r="N115" s="530" t="str">
        <f t="shared" si="30"/>
        <v>INCLUDED</v>
      </c>
      <c r="O115" s="747">
        <f t="shared" si="31"/>
        <v>0</v>
      </c>
      <c r="P115" s="747">
        <f t="shared" si="32"/>
        <v>0</v>
      </c>
      <c r="Q115" s="748">
        <f>Discount!$H$36</f>
        <v>0</v>
      </c>
      <c r="R115" s="748">
        <f t="shared" si="33"/>
        <v>0</v>
      </c>
      <c r="S115" s="748">
        <f t="shared" si="34"/>
        <v>0</v>
      </c>
      <c r="T115" s="749">
        <f t="shared" si="35"/>
        <v>0</v>
      </c>
      <c r="V115" s="850">
        <f t="shared" si="36"/>
        <v>0</v>
      </c>
      <c r="W115" s="749">
        <f t="shared" si="37"/>
        <v>0</v>
      </c>
      <c r="X115" s="749">
        <f t="shared" si="38"/>
        <v>0.18</v>
      </c>
      <c r="Y115" s="749">
        <f t="shared" si="39"/>
        <v>0</v>
      </c>
      <c r="Z115" s="749">
        <f t="shared" si="40"/>
        <v>0.18</v>
      </c>
      <c r="AA115" s="749">
        <f t="shared" si="41"/>
        <v>0</v>
      </c>
      <c r="AB115" s="526">
        <f t="shared" si="42"/>
        <v>0</v>
      </c>
      <c r="AC115" s="526">
        <f t="shared" si="43"/>
        <v>0</v>
      </c>
      <c r="AD115" s="526">
        <f t="shared" si="44"/>
        <v>0</v>
      </c>
    </row>
    <row r="116" spans="1:30">
      <c r="A116" s="759">
        <v>99</v>
      </c>
      <c r="B116" s="529">
        <v>7000016907</v>
      </c>
      <c r="C116" s="529">
        <v>990</v>
      </c>
      <c r="D116" s="529" t="s">
        <v>530</v>
      </c>
      <c r="E116" s="529">
        <v>1000027625</v>
      </c>
      <c r="F116" s="529">
        <v>85352919</v>
      </c>
      <c r="G116" s="716"/>
      <c r="H116" s="529">
        <v>18</v>
      </c>
      <c r="I116" s="541"/>
      <c r="J116" s="715" t="s">
        <v>730</v>
      </c>
      <c r="K116" s="529" t="s">
        <v>607</v>
      </c>
      <c r="L116" s="529">
        <v>1</v>
      </c>
      <c r="M116" s="717"/>
      <c r="N116" s="530" t="str">
        <f t="shared" si="30"/>
        <v>INCLUDED</v>
      </c>
      <c r="O116" s="747">
        <f t="shared" si="31"/>
        <v>0</v>
      </c>
      <c r="P116" s="747">
        <f t="shared" si="32"/>
        <v>0</v>
      </c>
      <c r="Q116" s="748">
        <f>Discount!$H$36</f>
        <v>0</v>
      </c>
      <c r="R116" s="748">
        <f t="shared" si="33"/>
        <v>0</v>
      </c>
      <c r="S116" s="748">
        <f t="shared" si="34"/>
        <v>0</v>
      </c>
      <c r="T116" s="749">
        <f t="shared" si="35"/>
        <v>0</v>
      </c>
      <c r="V116" s="850">
        <f t="shared" si="36"/>
        <v>0</v>
      </c>
      <c r="W116" s="749">
        <f t="shared" si="37"/>
        <v>0</v>
      </c>
      <c r="X116" s="749">
        <f t="shared" si="38"/>
        <v>0.18</v>
      </c>
      <c r="Y116" s="749">
        <f t="shared" si="39"/>
        <v>0</v>
      </c>
      <c r="Z116" s="749">
        <f t="shared" si="40"/>
        <v>0.18</v>
      </c>
      <c r="AA116" s="749">
        <f t="shared" si="41"/>
        <v>0</v>
      </c>
      <c r="AB116" s="526">
        <f t="shared" si="42"/>
        <v>0</v>
      </c>
      <c r="AC116" s="526">
        <f t="shared" si="43"/>
        <v>0</v>
      </c>
      <c r="AD116" s="526">
        <f t="shared" si="44"/>
        <v>0</v>
      </c>
    </row>
    <row r="117" spans="1:30" ht="47.25">
      <c r="A117" s="759">
        <v>100</v>
      </c>
      <c r="B117" s="529">
        <v>7000016907</v>
      </c>
      <c r="C117" s="529">
        <v>1210</v>
      </c>
      <c r="D117" s="529" t="s">
        <v>670</v>
      </c>
      <c r="E117" s="529">
        <v>1000012366</v>
      </c>
      <c r="F117" s="529">
        <v>73082011</v>
      </c>
      <c r="G117" s="716"/>
      <c r="H117" s="529">
        <v>18</v>
      </c>
      <c r="I117" s="541"/>
      <c r="J117" s="715" t="s">
        <v>731</v>
      </c>
      <c r="K117" s="529" t="s">
        <v>299</v>
      </c>
      <c r="L117" s="529">
        <v>1052</v>
      </c>
      <c r="M117" s="717"/>
      <c r="N117" s="530" t="str">
        <f t="shared" si="30"/>
        <v>INCLUDED</v>
      </c>
      <c r="O117" s="747">
        <f t="shared" si="31"/>
        <v>0</v>
      </c>
      <c r="P117" s="747">
        <f t="shared" si="32"/>
        <v>0</v>
      </c>
      <c r="Q117" s="748">
        <f>Discount!$H$36</f>
        <v>0</v>
      </c>
      <c r="R117" s="748">
        <f t="shared" si="33"/>
        <v>0</v>
      </c>
      <c r="S117" s="748">
        <f t="shared" si="34"/>
        <v>0</v>
      </c>
      <c r="T117" s="749">
        <f t="shared" si="35"/>
        <v>0</v>
      </c>
      <c r="V117" s="850">
        <f t="shared" si="36"/>
        <v>0</v>
      </c>
      <c r="W117" s="749">
        <f t="shared" si="37"/>
        <v>0</v>
      </c>
      <c r="X117" s="749">
        <f t="shared" si="38"/>
        <v>0.18</v>
      </c>
      <c r="Y117" s="749">
        <f t="shared" si="39"/>
        <v>0</v>
      </c>
      <c r="Z117" s="749">
        <f t="shared" si="40"/>
        <v>0.18</v>
      </c>
      <c r="AA117" s="749">
        <f t="shared" si="41"/>
        <v>0</v>
      </c>
      <c r="AB117" s="526">
        <f t="shared" si="42"/>
        <v>0</v>
      </c>
      <c r="AC117" s="526">
        <f t="shared" si="43"/>
        <v>0</v>
      </c>
      <c r="AD117" s="526">
        <f t="shared" si="44"/>
        <v>0</v>
      </c>
    </row>
    <row r="118" spans="1:30" ht="47.25">
      <c r="A118" s="759">
        <v>101</v>
      </c>
      <c r="B118" s="529">
        <v>7000016907</v>
      </c>
      <c r="C118" s="529">
        <v>1220</v>
      </c>
      <c r="D118" s="529" t="s">
        <v>670</v>
      </c>
      <c r="E118" s="529">
        <v>1000012367</v>
      </c>
      <c r="F118" s="529">
        <v>73082011</v>
      </c>
      <c r="G118" s="716"/>
      <c r="H118" s="529">
        <v>18</v>
      </c>
      <c r="I118" s="541"/>
      <c r="J118" s="715" t="s">
        <v>732</v>
      </c>
      <c r="K118" s="529" t="s">
        <v>299</v>
      </c>
      <c r="L118" s="529">
        <v>1056</v>
      </c>
      <c r="M118" s="717"/>
      <c r="N118" s="530" t="str">
        <f t="shared" si="30"/>
        <v>INCLUDED</v>
      </c>
      <c r="O118" s="747">
        <f t="shared" si="31"/>
        <v>0</v>
      </c>
      <c r="P118" s="747">
        <f t="shared" si="32"/>
        <v>0</v>
      </c>
      <c r="Q118" s="748">
        <f>Discount!$H$36</f>
        <v>0</v>
      </c>
      <c r="R118" s="748">
        <f t="shared" si="33"/>
        <v>0</v>
      </c>
      <c r="S118" s="748">
        <f t="shared" si="34"/>
        <v>0</v>
      </c>
      <c r="T118" s="749">
        <f t="shared" si="35"/>
        <v>0</v>
      </c>
      <c r="V118" s="850">
        <f t="shared" si="36"/>
        <v>0</v>
      </c>
      <c r="W118" s="749">
        <f t="shared" si="37"/>
        <v>0</v>
      </c>
      <c r="X118" s="749">
        <f t="shared" si="38"/>
        <v>0.18</v>
      </c>
      <c r="Y118" s="749">
        <f t="shared" si="39"/>
        <v>0</v>
      </c>
      <c r="Z118" s="749">
        <f t="shared" si="40"/>
        <v>0.18</v>
      </c>
      <c r="AA118" s="749">
        <f t="shared" si="41"/>
        <v>0</v>
      </c>
      <c r="AB118" s="526">
        <f t="shared" si="42"/>
        <v>0</v>
      </c>
      <c r="AC118" s="526">
        <f t="shared" si="43"/>
        <v>0</v>
      </c>
      <c r="AD118" s="526">
        <f t="shared" si="44"/>
        <v>0</v>
      </c>
    </row>
    <row r="119" spans="1:30" ht="47.25">
      <c r="A119" s="759">
        <v>102</v>
      </c>
      <c r="B119" s="529">
        <v>7000016907</v>
      </c>
      <c r="C119" s="529">
        <v>1230</v>
      </c>
      <c r="D119" s="529" t="s">
        <v>670</v>
      </c>
      <c r="E119" s="529">
        <v>1000012369</v>
      </c>
      <c r="F119" s="529">
        <v>73082011</v>
      </c>
      <c r="G119" s="716"/>
      <c r="H119" s="529">
        <v>18</v>
      </c>
      <c r="I119" s="541"/>
      <c r="J119" s="715" t="s">
        <v>733</v>
      </c>
      <c r="K119" s="529" t="s">
        <v>299</v>
      </c>
      <c r="L119" s="529">
        <v>80</v>
      </c>
      <c r="M119" s="717"/>
      <c r="N119" s="530" t="str">
        <f t="shared" si="30"/>
        <v>INCLUDED</v>
      </c>
      <c r="O119" s="747">
        <f t="shared" si="31"/>
        <v>0</v>
      </c>
      <c r="P119" s="747">
        <f t="shared" si="32"/>
        <v>0</v>
      </c>
      <c r="Q119" s="748">
        <f>Discount!$H$36</f>
        <v>0</v>
      </c>
      <c r="R119" s="748">
        <f t="shared" si="33"/>
        <v>0</v>
      </c>
      <c r="S119" s="748">
        <f t="shared" si="34"/>
        <v>0</v>
      </c>
      <c r="T119" s="749">
        <f t="shared" si="35"/>
        <v>0</v>
      </c>
      <c r="V119" s="850">
        <f t="shared" si="36"/>
        <v>0</v>
      </c>
      <c r="W119" s="749">
        <f t="shared" si="37"/>
        <v>0</v>
      </c>
      <c r="X119" s="749">
        <f t="shared" si="38"/>
        <v>0.18</v>
      </c>
      <c r="Y119" s="749">
        <f t="shared" si="39"/>
        <v>0</v>
      </c>
      <c r="Z119" s="749">
        <f t="shared" si="40"/>
        <v>0.18</v>
      </c>
      <c r="AA119" s="749">
        <f t="shared" si="41"/>
        <v>0</v>
      </c>
      <c r="AB119" s="526">
        <f t="shared" si="42"/>
        <v>0</v>
      </c>
      <c r="AC119" s="526">
        <f t="shared" si="43"/>
        <v>0</v>
      </c>
      <c r="AD119" s="526">
        <f t="shared" si="44"/>
        <v>0</v>
      </c>
    </row>
    <row r="120" spans="1:30" ht="47.25">
      <c r="A120" s="759">
        <v>103</v>
      </c>
      <c r="B120" s="529">
        <v>7000016907</v>
      </c>
      <c r="C120" s="529">
        <v>1240</v>
      </c>
      <c r="D120" s="529" t="s">
        <v>670</v>
      </c>
      <c r="E120" s="529">
        <v>1000012370</v>
      </c>
      <c r="F120" s="529">
        <v>73082011</v>
      </c>
      <c r="G120" s="716"/>
      <c r="H120" s="529">
        <v>18</v>
      </c>
      <c r="I120" s="541"/>
      <c r="J120" s="715" t="s">
        <v>734</v>
      </c>
      <c r="K120" s="529" t="s">
        <v>299</v>
      </c>
      <c r="L120" s="529">
        <v>64</v>
      </c>
      <c r="M120" s="717"/>
      <c r="N120" s="530" t="str">
        <f t="shared" si="30"/>
        <v>INCLUDED</v>
      </c>
      <c r="O120" s="747">
        <f t="shared" si="31"/>
        <v>0</v>
      </c>
      <c r="P120" s="747">
        <f t="shared" si="32"/>
        <v>0</v>
      </c>
      <c r="Q120" s="748">
        <f>Discount!$H$36</f>
        <v>0</v>
      </c>
      <c r="R120" s="748">
        <f t="shared" si="33"/>
        <v>0</v>
      </c>
      <c r="S120" s="748">
        <f t="shared" si="34"/>
        <v>0</v>
      </c>
      <c r="T120" s="749">
        <f t="shared" si="35"/>
        <v>0</v>
      </c>
      <c r="V120" s="850">
        <f t="shared" si="36"/>
        <v>0</v>
      </c>
      <c r="W120" s="749">
        <f t="shared" si="37"/>
        <v>0</v>
      </c>
      <c r="X120" s="749">
        <f t="shared" si="38"/>
        <v>0.18</v>
      </c>
      <c r="Y120" s="749">
        <f t="shared" si="39"/>
        <v>0</v>
      </c>
      <c r="Z120" s="749">
        <f t="shared" si="40"/>
        <v>0.18</v>
      </c>
      <c r="AA120" s="749">
        <f t="shared" si="41"/>
        <v>0</v>
      </c>
      <c r="AB120" s="526">
        <f t="shared" si="42"/>
        <v>0</v>
      </c>
      <c r="AC120" s="526">
        <f t="shared" si="43"/>
        <v>0</v>
      </c>
      <c r="AD120" s="526">
        <f t="shared" si="44"/>
        <v>0</v>
      </c>
    </row>
    <row r="121" spans="1:30" ht="47.25">
      <c r="A121" s="759">
        <v>104</v>
      </c>
      <c r="B121" s="529">
        <v>7000016907</v>
      </c>
      <c r="C121" s="529">
        <v>1250</v>
      </c>
      <c r="D121" s="529" t="s">
        <v>670</v>
      </c>
      <c r="E121" s="529">
        <v>1000012371</v>
      </c>
      <c r="F121" s="529">
        <v>73082011</v>
      </c>
      <c r="G121" s="716"/>
      <c r="H121" s="529">
        <v>18</v>
      </c>
      <c r="I121" s="541"/>
      <c r="J121" s="715" t="s">
        <v>735</v>
      </c>
      <c r="K121" s="529" t="s">
        <v>299</v>
      </c>
      <c r="L121" s="529">
        <v>32</v>
      </c>
      <c r="M121" s="717"/>
      <c r="N121" s="530" t="str">
        <f t="shared" si="30"/>
        <v>INCLUDED</v>
      </c>
      <c r="O121" s="747">
        <f t="shared" si="31"/>
        <v>0</v>
      </c>
      <c r="P121" s="747">
        <f t="shared" si="32"/>
        <v>0</v>
      </c>
      <c r="Q121" s="748">
        <f>Discount!$H$36</f>
        <v>0</v>
      </c>
      <c r="R121" s="748">
        <f t="shared" si="33"/>
        <v>0</v>
      </c>
      <c r="S121" s="748">
        <f t="shared" si="34"/>
        <v>0</v>
      </c>
      <c r="T121" s="749">
        <f t="shared" si="35"/>
        <v>0</v>
      </c>
      <c r="V121" s="850">
        <f t="shared" si="36"/>
        <v>0</v>
      </c>
      <c r="W121" s="749">
        <f t="shared" si="37"/>
        <v>0</v>
      </c>
      <c r="X121" s="749">
        <f t="shared" si="38"/>
        <v>0.18</v>
      </c>
      <c r="Y121" s="749">
        <f t="shared" si="39"/>
        <v>0</v>
      </c>
      <c r="Z121" s="749">
        <f t="shared" si="40"/>
        <v>0.18</v>
      </c>
      <c r="AA121" s="749">
        <f t="shared" si="41"/>
        <v>0</v>
      </c>
      <c r="AB121" s="526">
        <f t="shared" si="42"/>
        <v>0</v>
      </c>
      <c r="AC121" s="526">
        <f t="shared" si="43"/>
        <v>0</v>
      </c>
      <c r="AD121" s="526">
        <f t="shared" si="44"/>
        <v>0</v>
      </c>
    </row>
    <row r="122" spans="1:30" ht="47.25">
      <c r="A122" s="759">
        <v>105</v>
      </c>
      <c r="B122" s="529">
        <v>7000016907</v>
      </c>
      <c r="C122" s="529">
        <v>1260</v>
      </c>
      <c r="D122" s="529" t="s">
        <v>671</v>
      </c>
      <c r="E122" s="529">
        <v>1000020181</v>
      </c>
      <c r="F122" s="529">
        <v>73082011</v>
      </c>
      <c r="G122" s="716"/>
      <c r="H122" s="529">
        <v>18</v>
      </c>
      <c r="I122" s="541"/>
      <c r="J122" s="715" t="s">
        <v>736</v>
      </c>
      <c r="K122" s="529" t="s">
        <v>299</v>
      </c>
      <c r="L122" s="529">
        <v>1</v>
      </c>
      <c r="M122" s="717"/>
      <c r="N122" s="530" t="str">
        <f t="shared" si="30"/>
        <v>INCLUDED</v>
      </c>
      <c r="O122" s="747">
        <f t="shared" si="31"/>
        <v>0</v>
      </c>
      <c r="P122" s="747">
        <f t="shared" si="32"/>
        <v>0</v>
      </c>
      <c r="Q122" s="748">
        <f>Discount!$H$36</f>
        <v>0</v>
      </c>
      <c r="R122" s="748">
        <f t="shared" si="33"/>
        <v>0</v>
      </c>
      <c r="S122" s="748">
        <f t="shared" si="34"/>
        <v>0</v>
      </c>
      <c r="T122" s="749">
        <f t="shared" si="35"/>
        <v>0</v>
      </c>
      <c r="V122" s="850">
        <f t="shared" si="36"/>
        <v>0</v>
      </c>
      <c r="W122" s="749">
        <f t="shared" si="37"/>
        <v>0</v>
      </c>
      <c r="X122" s="749">
        <f t="shared" si="38"/>
        <v>0.18</v>
      </c>
      <c r="Y122" s="749">
        <f t="shared" si="39"/>
        <v>0</v>
      </c>
      <c r="Z122" s="749">
        <f t="shared" si="40"/>
        <v>0.18</v>
      </c>
      <c r="AA122" s="749">
        <f t="shared" si="41"/>
        <v>0</v>
      </c>
      <c r="AB122" s="526">
        <f t="shared" si="42"/>
        <v>0</v>
      </c>
      <c r="AC122" s="526">
        <f t="shared" si="43"/>
        <v>0</v>
      </c>
      <c r="AD122" s="526">
        <f t="shared" si="44"/>
        <v>0</v>
      </c>
    </row>
    <row r="123" spans="1:30" ht="63">
      <c r="A123" s="759">
        <v>106</v>
      </c>
      <c r="B123" s="529">
        <v>7000016907</v>
      </c>
      <c r="C123" s="529">
        <v>1270</v>
      </c>
      <c r="D123" s="529" t="s">
        <v>672</v>
      </c>
      <c r="E123" s="529">
        <v>1000020175</v>
      </c>
      <c r="F123" s="529">
        <v>73082011</v>
      </c>
      <c r="G123" s="716"/>
      <c r="H123" s="529">
        <v>18</v>
      </c>
      <c r="I123" s="541"/>
      <c r="J123" s="715" t="s">
        <v>737</v>
      </c>
      <c r="K123" s="529" t="s">
        <v>299</v>
      </c>
      <c r="L123" s="529">
        <v>3</v>
      </c>
      <c r="M123" s="717"/>
      <c r="N123" s="530" t="str">
        <f t="shared" si="30"/>
        <v>INCLUDED</v>
      </c>
      <c r="O123" s="747">
        <f t="shared" si="31"/>
        <v>0</v>
      </c>
      <c r="P123" s="747">
        <f t="shared" si="32"/>
        <v>0</v>
      </c>
      <c r="Q123" s="748">
        <f>Discount!$H$36</f>
        <v>0</v>
      </c>
      <c r="R123" s="748">
        <f t="shared" si="33"/>
        <v>0</v>
      </c>
      <c r="S123" s="748">
        <f t="shared" si="34"/>
        <v>0</v>
      </c>
      <c r="T123" s="749">
        <f t="shared" si="35"/>
        <v>0</v>
      </c>
      <c r="V123" s="850">
        <f t="shared" si="36"/>
        <v>0</v>
      </c>
      <c r="W123" s="749">
        <f t="shared" si="37"/>
        <v>0</v>
      </c>
      <c r="X123" s="749">
        <f t="shared" si="38"/>
        <v>0.18</v>
      </c>
      <c r="Y123" s="749">
        <f t="shared" si="39"/>
        <v>0</v>
      </c>
      <c r="Z123" s="749">
        <f t="shared" si="40"/>
        <v>0.18</v>
      </c>
      <c r="AA123" s="749">
        <f t="shared" si="41"/>
        <v>0</v>
      </c>
      <c r="AB123" s="526">
        <f t="shared" si="42"/>
        <v>0</v>
      </c>
      <c r="AC123" s="526">
        <f t="shared" si="43"/>
        <v>0</v>
      </c>
      <c r="AD123" s="526">
        <f t="shared" si="44"/>
        <v>0</v>
      </c>
    </row>
    <row r="124" spans="1:30" ht="63">
      <c r="A124" s="759">
        <v>107</v>
      </c>
      <c r="B124" s="529">
        <v>7000016907</v>
      </c>
      <c r="C124" s="529">
        <v>1280</v>
      </c>
      <c r="D124" s="529" t="s">
        <v>672</v>
      </c>
      <c r="E124" s="529">
        <v>1000020174</v>
      </c>
      <c r="F124" s="529">
        <v>73082011</v>
      </c>
      <c r="G124" s="716"/>
      <c r="H124" s="529">
        <v>18</v>
      </c>
      <c r="I124" s="541"/>
      <c r="J124" s="715" t="s">
        <v>738</v>
      </c>
      <c r="K124" s="529" t="s">
        <v>299</v>
      </c>
      <c r="L124" s="529">
        <v>3</v>
      </c>
      <c r="M124" s="717"/>
      <c r="N124" s="530" t="str">
        <f t="shared" si="30"/>
        <v>INCLUDED</v>
      </c>
      <c r="O124" s="747">
        <f t="shared" si="31"/>
        <v>0</v>
      </c>
      <c r="P124" s="747">
        <f t="shared" si="32"/>
        <v>0</v>
      </c>
      <c r="Q124" s="748">
        <f>Discount!$H$36</f>
        <v>0</v>
      </c>
      <c r="R124" s="748">
        <f t="shared" si="33"/>
        <v>0</v>
      </c>
      <c r="S124" s="748">
        <f t="shared" si="34"/>
        <v>0</v>
      </c>
      <c r="T124" s="749">
        <f t="shared" si="35"/>
        <v>0</v>
      </c>
      <c r="V124" s="850">
        <f t="shared" si="36"/>
        <v>0</v>
      </c>
      <c r="W124" s="749">
        <f t="shared" si="37"/>
        <v>0</v>
      </c>
      <c r="X124" s="749">
        <f t="shared" si="38"/>
        <v>0.18</v>
      </c>
      <c r="Y124" s="749">
        <f t="shared" si="39"/>
        <v>0</v>
      </c>
      <c r="Z124" s="749">
        <f t="shared" si="40"/>
        <v>0.18</v>
      </c>
      <c r="AA124" s="749">
        <f t="shared" si="41"/>
        <v>0</v>
      </c>
      <c r="AB124" s="526">
        <f t="shared" si="42"/>
        <v>0</v>
      </c>
      <c r="AC124" s="526">
        <f t="shared" si="43"/>
        <v>0</v>
      </c>
      <c r="AD124" s="526">
        <f t="shared" si="44"/>
        <v>0</v>
      </c>
    </row>
    <row r="125" spans="1:30" ht="63">
      <c r="A125" s="759">
        <v>108</v>
      </c>
      <c r="B125" s="529">
        <v>7000016907</v>
      </c>
      <c r="C125" s="529">
        <v>1290</v>
      </c>
      <c r="D125" s="529" t="s">
        <v>672</v>
      </c>
      <c r="E125" s="529">
        <v>1000020177</v>
      </c>
      <c r="F125" s="529">
        <v>73082011</v>
      </c>
      <c r="G125" s="716"/>
      <c r="H125" s="529">
        <v>18</v>
      </c>
      <c r="I125" s="541"/>
      <c r="J125" s="715" t="s">
        <v>739</v>
      </c>
      <c r="K125" s="529" t="s">
        <v>299</v>
      </c>
      <c r="L125" s="529">
        <v>1</v>
      </c>
      <c r="M125" s="717"/>
      <c r="N125" s="530" t="str">
        <f t="shared" si="30"/>
        <v>INCLUDED</v>
      </c>
      <c r="O125" s="747">
        <f t="shared" si="31"/>
        <v>0</v>
      </c>
      <c r="P125" s="747">
        <f t="shared" si="32"/>
        <v>0</v>
      </c>
      <c r="Q125" s="748">
        <f>Discount!$H$36</f>
        <v>0</v>
      </c>
      <c r="R125" s="748">
        <f t="shared" si="33"/>
        <v>0</v>
      </c>
      <c r="S125" s="748">
        <f t="shared" si="34"/>
        <v>0</v>
      </c>
      <c r="T125" s="749">
        <f t="shared" si="35"/>
        <v>0</v>
      </c>
      <c r="V125" s="850">
        <f t="shared" si="36"/>
        <v>0</v>
      </c>
      <c r="W125" s="749">
        <f t="shared" si="37"/>
        <v>0</v>
      </c>
      <c r="X125" s="749">
        <f t="shared" si="38"/>
        <v>0.18</v>
      </c>
      <c r="Y125" s="749">
        <f t="shared" si="39"/>
        <v>0</v>
      </c>
      <c r="Z125" s="749">
        <f t="shared" si="40"/>
        <v>0.18</v>
      </c>
      <c r="AA125" s="749">
        <f t="shared" si="41"/>
        <v>0</v>
      </c>
      <c r="AB125" s="526">
        <f t="shared" si="42"/>
        <v>0</v>
      </c>
      <c r="AC125" s="526">
        <f t="shared" si="43"/>
        <v>0</v>
      </c>
      <c r="AD125" s="526">
        <f t="shared" si="44"/>
        <v>0</v>
      </c>
    </row>
    <row r="126" spans="1:30" ht="78.75">
      <c r="A126" s="759">
        <v>109</v>
      </c>
      <c r="B126" s="529">
        <v>7000016907</v>
      </c>
      <c r="C126" s="529">
        <v>1300</v>
      </c>
      <c r="D126" s="529" t="s">
        <v>672</v>
      </c>
      <c r="E126" s="529">
        <v>1000030445</v>
      </c>
      <c r="F126" s="529">
        <v>73045930</v>
      </c>
      <c r="G126" s="716"/>
      <c r="H126" s="529">
        <v>18</v>
      </c>
      <c r="I126" s="541"/>
      <c r="J126" s="715" t="s">
        <v>740</v>
      </c>
      <c r="K126" s="529" t="s">
        <v>299</v>
      </c>
      <c r="L126" s="529">
        <v>9</v>
      </c>
      <c r="M126" s="717"/>
      <c r="N126" s="530" t="str">
        <f t="shared" si="30"/>
        <v>INCLUDED</v>
      </c>
      <c r="O126" s="747">
        <f t="shared" si="31"/>
        <v>0</v>
      </c>
      <c r="P126" s="747">
        <f t="shared" si="32"/>
        <v>0</v>
      </c>
      <c r="Q126" s="748">
        <f>Discount!$H$36</f>
        <v>0</v>
      </c>
      <c r="R126" s="748">
        <f t="shared" si="33"/>
        <v>0</v>
      </c>
      <c r="S126" s="748">
        <f t="shared" si="34"/>
        <v>0</v>
      </c>
      <c r="T126" s="749">
        <f t="shared" si="35"/>
        <v>0</v>
      </c>
      <c r="V126" s="850">
        <f t="shared" si="36"/>
        <v>0</v>
      </c>
      <c r="W126" s="749">
        <f t="shared" si="37"/>
        <v>0</v>
      </c>
      <c r="X126" s="749">
        <f t="shared" si="38"/>
        <v>0.18</v>
      </c>
      <c r="Y126" s="749">
        <f t="shared" si="39"/>
        <v>0</v>
      </c>
      <c r="Z126" s="749">
        <f t="shared" si="40"/>
        <v>0.18</v>
      </c>
      <c r="AA126" s="749">
        <f t="shared" si="41"/>
        <v>0</v>
      </c>
      <c r="AB126" s="526">
        <f t="shared" si="42"/>
        <v>0</v>
      </c>
      <c r="AC126" s="526">
        <f t="shared" si="43"/>
        <v>0</v>
      </c>
      <c r="AD126" s="526">
        <f t="shared" si="44"/>
        <v>0</v>
      </c>
    </row>
    <row r="127" spans="1:30" ht="63">
      <c r="A127" s="759">
        <v>110</v>
      </c>
      <c r="B127" s="529">
        <v>7000016907</v>
      </c>
      <c r="C127" s="529">
        <v>1310</v>
      </c>
      <c r="D127" s="529" t="s">
        <v>672</v>
      </c>
      <c r="E127" s="529">
        <v>1000020178</v>
      </c>
      <c r="F127" s="529">
        <v>73082011</v>
      </c>
      <c r="G127" s="716"/>
      <c r="H127" s="529">
        <v>18</v>
      </c>
      <c r="I127" s="541"/>
      <c r="J127" s="715" t="s">
        <v>741</v>
      </c>
      <c r="K127" s="529" t="s">
        <v>299</v>
      </c>
      <c r="L127" s="529">
        <v>3</v>
      </c>
      <c r="M127" s="717"/>
      <c r="N127" s="530" t="str">
        <f t="shared" si="30"/>
        <v>INCLUDED</v>
      </c>
      <c r="O127" s="747">
        <f t="shared" si="31"/>
        <v>0</v>
      </c>
      <c r="P127" s="747">
        <f t="shared" si="32"/>
        <v>0</v>
      </c>
      <c r="Q127" s="748">
        <f>Discount!$H$36</f>
        <v>0</v>
      </c>
      <c r="R127" s="748">
        <f t="shared" si="33"/>
        <v>0</v>
      </c>
      <c r="S127" s="748">
        <f t="shared" si="34"/>
        <v>0</v>
      </c>
      <c r="T127" s="749">
        <f t="shared" si="35"/>
        <v>0</v>
      </c>
      <c r="V127" s="850">
        <f t="shared" si="36"/>
        <v>0</v>
      </c>
      <c r="W127" s="749">
        <f t="shared" si="37"/>
        <v>0</v>
      </c>
      <c r="X127" s="749">
        <f t="shared" si="38"/>
        <v>0.18</v>
      </c>
      <c r="Y127" s="749">
        <f t="shared" si="39"/>
        <v>0</v>
      </c>
      <c r="Z127" s="749">
        <f t="shared" si="40"/>
        <v>0.18</v>
      </c>
      <c r="AA127" s="749">
        <f t="shared" si="41"/>
        <v>0</v>
      </c>
      <c r="AB127" s="526">
        <f t="shared" si="42"/>
        <v>0</v>
      </c>
      <c r="AC127" s="526">
        <f t="shared" si="43"/>
        <v>0</v>
      </c>
      <c r="AD127" s="526">
        <f t="shared" si="44"/>
        <v>0</v>
      </c>
    </row>
    <row r="128" spans="1:30" ht="31.5">
      <c r="A128" s="759">
        <v>111</v>
      </c>
      <c r="B128" s="529">
        <v>7000016907</v>
      </c>
      <c r="C128" s="529">
        <v>1340</v>
      </c>
      <c r="D128" s="529" t="s">
        <v>673</v>
      </c>
      <c r="E128" s="529">
        <v>1000010014</v>
      </c>
      <c r="F128" s="529">
        <v>85176210</v>
      </c>
      <c r="G128" s="716"/>
      <c r="H128" s="529">
        <v>18</v>
      </c>
      <c r="I128" s="541"/>
      <c r="J128" s="715" t="s">
        <v>700</v>
      </c>
      <c r="K128" s="529" t="s">
        <v>300</v>
      </c>
      <c r="L128" s="529">
        <v>2</v>
      </c>
      <c r="M128" s="717"/>
      <c r="N128" s="530" t="str">
        <f t="shared" si="30"/>
        <v>INCLUDED</v>
      </c>
      <c r="O128" s="747">
        <f t="shared" si="31"/>
        <v>0</v>
      </c>
      <c r="P128" s="747">
        <f t="shared" si="32"/>
        <v>0</v>
      </c>
      <c r="Q128" s="748">
        <f>Discount!$H$36</f>
        <v>0</v>
      </c>
      <c r="R128" s="748">
        <f t="shared" si="33"/>
        <v>0</v>
      </c>
      <c r="S128" s="748">
        <f t="shared" si="34"/>
        <v>0</v>
      </c>
      <c r="T128" s="749">
        <f t="shared" si="35"/>
        <v>0</v>
      </c>
      <c r="V128" s="850">
        <f t="shared" si="36"/>
        <v>0</v>
      </c>
      <c r="W128" s="749">
        <f t="shared" si="37"/>
        <v>0</v>
      </c>
      <c r="X128" s="749">
        <f t="shared" si="38"/>
        <v>0.18</v>
      </c>
      <c r="Y128" s="749">
        <f t="shared" si="39"/>
        <v>0</v>
      </c>
      <c r="Z128" s="749">
        <f t="shared" si="40"/>
        <v>0.18</v>
      </c>
      <c r="AA128" s="749">
        <f t="shared" si="41"/>
        <v>0</v>
      </c>
      <c r="AB128" s="526">
        <f t="shared" si="42"/>
        <v>0</v>
      </c>
      <c r="AC128" s="526">
        <f t="shared" si="43"/>
        <v>0</v>
      </c>
      <c r="AD128" s="526">
        <f t="shared" si="44"/>
        <v>0</v>
      </c>
    </row>
    <row r="129" spans="1:30" ht="31.5">
      <c r="A129" s="759">
        <v>112</v>
      </c>
      <c r="B129" s="529">
        <v>7000016907</v>
      </c>
      <c r="C129" s="529">
        <v>1350</v>
      </c>
      <c r="D129" s="529" t="s">
        <v>673</v>
      </c>
      <c r="E129" s="529">
        <v>1000000046</v>
      </c>
      <c r="F129" s="529">
        <v>85176210</v>
      </c>
      <c r="G129" s="716"/>
      <c r="H129" s="529">
        <v>18</v>
      </c>
      <c r="I129" s="541"/>
      <c r="J129" s="715" t="s">
        <v>701</v>
      </c>
      <c r="K129" s="529" t="s">
        <v>299</v>
      </c>
      <c r="L129" s="529">
        <v>2</v>
      </c>
      <c r="M129" s="717"/>
      <c r="N129" s="530" t="str">
        <f t="shared" si="30"/>
        <v>INCLUDED</v>
      </c>
      <c r="O129" s="747">
        <f t="shared" si="31"/>
        <v>0</v>
      </c>
      <c r="P129" s="747">
        <f t="shared" si="32"/>
        <v>0</v>
      </c>
      <c r="Q129" s="748">
        <f>Discount!$H$36</f>
        <v>0</v>
      </c>
      <c r="R129" s="748">
        <f t="shared" si="33"/>
        <v>0</v>
      </c>
      <c r="S129" s="748">
        <f t="shared" si="34"/>
        <v>0</v>
      </c>
      <c r="T129" s="749">
        <f t="shared" si="35"/>
        <v>0</v>
      </c>
      <c r="V129" s="850">
        <f t="shared" si="36"/>
        <v>0</v>
      </c>
      <c r="W129" s="749">
        <f t="shared" si="37"/>
        <v>0</v>
      </c>
      <c r="X129" s="749">
        <f t="shared" si="38"/>
        <v>0.18</v>
      </c>
      <c r="Y129" s="749">
        <f t="shared" si="39"/>
        <v>0</v>
      </c>
      <c r="Z129" s="749">
        <f t="shared" si="40"/>
        <v>0.18</v>
      </c>
      <c r="AA129" s="749">
        <f t="shared" si="41"/>
        <v>0</v>
      </c>
      <c r="AB129" s="526">
        <f t="shared" si="42"/>
        <v>0</v>
      </c>
      <c r="AC129" s="526">
        <f t="shared" si="43"/>
        <v>0</v>
      </c>
      <c r="AD129" s="526">
        <f t="shared" si="44"/>
        <v>0</v>
      </c>
    </row>
    <row r="130" spans="1:30" ht="31.5">
      <c r="A130" s="759">
        <v>113</v>
      </c>
      <c r="B130" s="529">
        <v>7000016907</v>
      </c>
      <c r="C130" s="529">
        <v>1360</v>
      </c>
      <c r="D130" s="529" t="s">
        <v>673</v>
      </c>
      <c r="E130" s="529">
        <v>1000010638</v>
      </c>
      <c r="F130" s="529">
        <v>85176210</v>
      </c>
      <c r="G130" s="716"/>
      <c r="H130" s="529">
        <v>18</v>
      </c>
      <c r="I130" s="541"/>
      <c r="J130" s="715" t="s">
        <v>703</v>
      </c>
      <c r="K130" s="529" t="s">
        <v>299</v>
      </c>
      <c r="L130" s="529">
        <v>2</v>
      </c>
      <c r="M130" s="717"/>
      <c r="N130" s="530" t="str">
        <f t="shared" si="30"/>
        <v>INCLUDED</v>
      </c>
      <c r="O130" s="747">
        <f t="shared" si="31"/>
        <v>0</v>
      </c>
      <c r="P130" s="747">
        <f t="shared" si="32"/>
        <v>0</v>
      </c>
      <c r="Q130" s="748">
        <f>Discount!$H$36</f>
        <v>0</v>
      </c>
      <c r="R130" s="748">
        <f t="shared" si="33"/>
        <v>0</v>
      </c>
      <c r="S130" s="748">
        <f t="shared" si="34"/>
        <v>0</v>
      </c>
      <c r="T130" s="749">
        <f t="shared" si="35"/>
        <v>0</v>
      </c>
      <c r="V130" s="850">
        <f t="shared" si="36"/>
        <v>0</v>
      </c>
      <c r="W130" s="749">
        <f t="shared" si="37"/>
        <v>0</v>
      </c>
      <c r="X130" s="749">
        <f t="shared" si="38"/>
        <v>0.18</v>
      </c>
      <c r="Y130" s="749">
        <f t="shared" si="39"/>
        <v>0</v>
      </c>
      <c r="Z130" s="749">
        <f t="shared" si="40"/>
        <v>0.18</v>
      </c>
      <c r="AA130" s="749">
        <f t="shared" si="41"/>
        <v>0</v>
      </c>
      <c r="AB130" s="526">
        <f t="shared" si="42"/>
        <v>0</v>
      </c>
      <c r="AC130" s="526">
        <f t="shared" si="43"/>
        <v>0</v>
      </c>
      <c r="AD130" s="526">
        <f t="shared" si="44"/>
        <v>0</v>
      </c>
    </row>
    <row r="131" spans="1:30" ht="31.5">
      <c r="A131" s="759">
        <v>114</v>
      </c>
      <c r="B131" s="529">
        <v>7000016907</v>
      </c>
      <c r="C131" s="529">
        <v>1370</v>
      </c>
      <c r="D131" s="529" t="s">
        <v>673</v>
      </c>
      <c r="E131" s="529">
        <v>1000036908</v>
      </c>
      <c r="F131" s="529">
        <v>85446020</v>
      </c>
      <c r="G131" s="716"/>
      <c r="H131" s="529">
        <v>18</v>
      </c>
      <c r="I131" s="541"/>
      <c r="J131" s="715" t="s">
        <v>704</v>
      </c>
      <c r="K131" s="529" t="s">
        <v>478</v>
      </c>
      <c r="L131" s="529">
        <v>1.5</v>
      </c>
      <c r="M131" s="717"/>
      <c r="N131" s="530" t="str">
        <f t="shared" si="30"/>
        <v>INCLUDED</v>
      </c>
      <c r="O131" s="747">
        <f t="shared" si="31"/>
        <v>0</v>
      </c>
      <c r="P131" s="747">
        <f t="shared" si="32"/>
        <v>0</v>
      </c>
      <c r="Q131" s="748">
        <f>Discount!$H$36</f>
        <v>0</v>
      </c>
      <c r="R131" s="748">
        <f t="shared" si="33"/>
        <v>0</v>
      </c>
      <c r="S131" s="748">
        <f t="shared" si="34"/>
        <v>0</v>
      </c>
      <c r="T131" s="749">
        <f t="shared" si="35"/>
        <v>0</v>
      </c>
      <c r="V131" s="850">
        <f t="shared" si="36"/>
        <v>0</v>
      </c>
      <c r="W131" s="749">
        <f t="shared" si="37"/>
        <v>0</v>
      </c>
      <c r="X131" s="749">
        <f t="shared" si="38"/>
        <v>0.18</v>
      </c>
      <c r="Y131" s="749">
        <f t="shared" si="39"/>
        <v>0</v>
      </c>
      <c r="Z131" s="749">
        <f t="shared" si="40"/>
        <v>0.18</v>
      </c>
      <c r="AA131" s="749">
        <f t="shared" si="41"/>
        <v>0</v>
      </c>
      <c r="AB131" s="526">
        <f t="shared" si="42"/>
        <v>0</v>
      </c>
      <c r="AC131" s="526">
        <f t="shared" si="43"/>
        <v>0</v>
      </c>
      <c r="AD131" s="526">
        <f t="shared" si="44"/>
        <v>0</v>
      </c>
    </row>
    <row r="132" spans="1:30" ht="31.5">
      <c r="A132" s="759">
        <v>115</v>
      </c>
      <c r="B132" s="529">
        <v>7000016907</v>
      </c>
      <c r="C132" s="529">
        <v>1380</v>
      </c>
      <c r="D132" s="529" t="s">
        <v>673</v>
      </c>
      <c r="E132" s="529">
        <v>1000017887</v>
      </c>
      <c r="F132" s="529">
        <v>85176210</v>
      </c>
      <c r="G132" s="716"/>
      <c r="H132" s="529">
        <v>18</v>
      </c>
      <c r="I132" s="541"/>
      <c r="J132" s="715" t="s">
        <v>702</v>
      </c>
      <c r="K132" s="529" t="s">
        <v>299</v>
      </c>
      <c r="L132" s="529">
        <v>2</v>
      </c>
      <c r="M132" s="717"/>
      <c r="N132" s="530" t="str">
        <f t="shared" si="30"/>
        <v>INCLUDED</v>
      </c>
      <c r="O132" s="747">
        <f t="shared" si="31"/>
        <v>0</v>
      </c>
      <c r="P132" s="747">
        <f t="shared" si="32"/>
        <v>0</v>
      </c>
      <c r="Q132" s="748">
        <f>Discount!$H$36</f>
        <v>0</v>
      </c>
      <c r="R132" s="748">
        <f t="shared" si="33"/>
        <v>0</v>
      </c>
      <c r="S132" s="748">
        <f t="shared" si="34"/>
        <v>0</v>
      </c>
      <c r="T132" s="749">
        <f t="shared" si="35"/>
        <v>0</v>
      </c>
      <c r="V132" s="850">
        <f t="shared" si="36"/>
        <v>0</v>
      </c>
      <c r="W132" s="749">
        <f t="shared" si="37"/>
        <v>0</v>
      </c>
      <c r="X132" s="749">
        <f t="shared" si="38"/>
        <v>0.18</v>
      </c>
      <c r="Y132" s="749">
        <f t="shared" si="39"/>
        <v>0</v>
      </c>
      <c r="Z132" s="749">
        <f t="shared" si="40"/>
        <v>0.18</v>
      </c>
      <c r="AA132" s="749">
        <f t="shared" si="41"/>
        <v>0</v>
      </c>
      <c r="AB132" s="526">
        <f t="shared" si="42"/>
        <v>0</v>
      </c>
      <c r="AC132" s="526">
        <f t="shared" si="43"/>
        <v>0</v>
      </c>
      <c r="AD132" s="526">
        <f t="shared" si="44"/>
        <v>0</v>
      </c>
    </row>
    <row r="133" spans="1:30" ht="126">
      <c r="A133" s="759">
        <v>116</v>
      </c>
      <c r="B133" s="529">
        <v>7000016907</v>
      </c>
      <c r="C133" s="529">
        <v>1950</v>
      </c>
      <c r="D133" s="529" t="s">
        <v>674</v>
      </c>
      <c r="E133" s="529">
        <v>1000031367</v>
      </c>
      <c r="F133" s="529">
        <v>85176260</v>
      </c>
      <c r="G133" s="716"/>
      <c r="H133" s="529">
        <v>18</v>
      </c>
      <c r="I133" s="541"/>
      <c r="J133" s="715" t="s">
        <v>608</v>
      </c>
      <c r="K133" s="529" t="s">
        <v>299</v>
      </c>
      <c r="L133" s="529">
        <v>1</v>
      </c>
      <c r="M133" s="717"/>
      <c r="N133" s="530" t="str">
        <f t="shared" si="30"/>
        <v>INCLUDED</v>
      </c>
      <c r="O133" s="747">
        <f t="shared" si="31"/>
        <v>0</v>
      </c>
      <c r="P133" s="747">
        <f t="shared" si="32"/>
        <v>0</v>
      </c>
      <c r="Q133" s="748">
        <f>Discount!$H$36</f>
        <v>0</v>
      </c>
      <c r="R133" s="748">
        <f t="shared" si="33"/>
        <v>0</v>
      </c>
      <c r="S133" s="748">
        <f t="shared" si="34"/>
        <v>0</v>
      </c>
      <c r="T133" s="749">
        <f t="shared" si="35"/>
        <v>0</v>
      </c>
      <c r="V133" s="850">
        <f t="shared" si="36"/>
        <v>0</v>
      </c>
      <c r="W133" s="749">
        <f t="shared" si="37"/>
        <v>0</v>
      </c>
      <c r="X133" s="749">
        <f t="shared" si="38"/>
        <v>0.18</v>
      </c>
      <c r="Y133" s="749">
        <f t="shared" si="39"/>
        <v>0</v>
      </c>
      <c r="Z133" s="749">
        <f t="shared" si="40"/>
        <v>0.18</v>
      </c>
      <c r="AA133" s="749">
        <f t="shared" si="41"/>
        <v>0</v>
      </c>
      <c r="AB133" s="526">
        <f t="shared" si="42"/>
        <v>0</v>
      </c>
      <c r="AC133" s="526">
        <f t="shared" si="43"/>
        <v>0</v>
      </c>
      <c r="AD133" s="526">
        <f t="shared" si="44"/>
        <v>0</v>
      </c>
    </row>
    <row r="134" spans="1:30" ht="47.25">
      <c r="A134" s="759">
        <v>117</v>
      </c>
      <c r="B134" s="529">
        <v>7000016907</v>
      </c>
      <c r="C134" s="529">
        <v>1960</v>
      </c>
      <c r="D134" s="529" t="s">
        <v>674</v>
      </c>
      <c r="E134" s="529">
        <v>1000018706</v>
      </c>
      <c r="F134" s="529">
        <v>85176990</v>
      </c>
      <c r="G134" s="716"/>
      <c r="H134" s="529">
        <v>18</v>
      </c>
      <c r="I134" s="541"/>
      <c r="J134" s="715" t="s">
        <v>609</v>
      </c>
      <c r="K134" s="529" t="s">
        <v>299</v>
      </c>
      <c r="L134" s="529">
        <v>4</v>
      </c>
      <c r="M134" s="717"/>
      <c r="N134" s="530" t="str">
        <f t="shared" si="30"/>
        <v>INCLUDED</v>
      </c>
      <c r="O134" s="747">
        <f t="shared" si="31"/>
        <v>0</v>
      </c>
      <c r="P134" s="747">
        <f t="shared" si="32"/>
        <v>0</v>
      </c>
      <c r="Q134" s="748">
        <f>Discount!$H$36</f>
        <v>0</v>
      </c>
      <c r="R134" s="748">
        <f t="shared" si="33"/>
        <v>0</v>
      </c>
      <c r="S134" s="748">
        <f t="shared" si="34"/>
        <v>0</v>
      </c>
      <c r="T134" s="749">
        <f t="shared" si="35"/>
        <v>0</v>
      </c>
      <c r="V134" s="850">
        <f t="shared" si="36"/>
        <v>0</v>
      </c>
      <c r="W134" s="749">
        <f t="shared" si="37"/>
        <v>0</v>
      </c>
      <c r="X134" s="749">
        <f t="shared" si="38"/>
        <v>0.18</v>
      </c>
      <c r="Y134" s="749">
        <f t="shared" si="39"/>
        <v>0</v>
      </c>
      <c r="Z134" s="749">
        <f t="shared" si="40"/>
        <v>0.18</v>
      </c>
      <c r="AA134" s="749">
        <f t="shared" si="41"/>
        <v>0</v>
      </c>
      <c r="AB134" s="526">
        <f t="shared" si="42"/>
        <v>0</v>
      </c>
      <c r="AC134" s="526">
        <f t="shared" si="43"/>
        <v>0</v>
      </c>
      <c r="AD134" s="526">
        <f t="shared" si="44"/>
        <v>0</v>
      </c>
    </row>
    <row r="135" spans="1:30" ht="47.25">
      <c r="A135" s="759">
        <v>118</v>
      </c>
      <c r="B135" s="529">
        <v>7000016907</v>
      </c>
      <c r="C135" s="529">
        <v>1970</v>
      </c>
      <c r="D135" s="529" t="s">
        <v>674</v>
      </c>
      <c r="E135" s="529">
        <v>1000014272</v>
      </c>
      <c r="F135" s="529">
        <v>85176290</v>
      </c>
      <c r="G135" s="716"/>
      <c r="H135" s="529">
        <v>18</v>
      </c>
      <c r="I135" s="541"/>
      <c r="J135" s="715" t="s">
        <v>624</v>
      </c>
      <c r="K135" s="529" t="s">
        <v>299</v>
      </c>
      <c r="L135" s="529">
        <v>2</v>
      </c>
      <c r="M135" s="717"/>
      <c r="N135" s="530" t="str">
        <f t="shared" si="30"/>
        <v>INCLUDED</v>
      </c>
      <c r="O135" s="747">
        <f t="shared" si="31"/>
        <v>0</v>
      </c>
      <c r="P135" s="747">
        <f t="shared" si="32"/>
        <v>0</v>
      </c>
      <c r="Q135" s="748">
        <f>Discount!$H$36</f>
        <v>0</v>
      </c>
      <c r="R135" s="748">
        <f t="shared" si="33"/>
        <v>0</v>
      </c>
      <c r="S135" s="748">
        <f t="shared" si="34"/>
        <v>0</v>
      </c>
      <c r="T135" s="749">
        <f t="shared" si="35"/>
        <v>0</v>
      </c>
      <c r="V135" s="850">
        <f t="shared" si="36"/>
        <v>0</v>
      </c>
      <c r="W135" s="749">
        <f t="shared" si="37"/>
        <v>0</v>
      </c>
      <c r="X135" s="749">
        <f t="shared" si="38"/>
        <v>0.18</v>
      </c>
      <c r="Y135" s="749">
        <f t="shared" si="39"/>
        <v>0</v>
      </c>
      <c r="Z135" s="749">
        <f t="shared" si="40"/>
        <v>0.18</v>
      </c>
      <c r="AA135" s="749">
        <f t="shared" si="41"/>
        <v>0</v>
      </c>
      <c r="AB135" s="526">
        <f t="shared" si="42"/>
        <v>0</v>
      </c>
      <c r="AC135" s="526">
        <f t="shared" si="43"/>
        <v>0</v>
      </c>
      <c r="AD135" s="526">
        <f t="shared" si="44"/>
        <v>0</v>
      </c>
    </row>
    <row r="136" spans="1:30" ht="47.25">
      <c r="A136" s="759">
        <v>119</v>
      </c>
      <c r="B136" s="529">
        <v>7000016907</v>
      </c>
      <c r="C136" s="529">
        <v>1980</v>
      </c>
      <c r="D136" s="529" t="s">
        <v>674</v>
      </c>
      <c r="E136" s="529">
        <v>1000031374</v>
      </c>
      <c r="F136" s="529">
        <v>85176290</v>
      </c>
      <c r="G136" s="716"/>
      <c r="H136" s="529">
        <v>18</v>
      </c>
      <c r="I136" s="541"/>
      <c r="J136" s="715" t="s">
        <v>610</v>
      </c>
      <c r="K136" s="529" t="s">
        <v>300</v>
      </c>
      <c r="L136" s="529">
        <v>2</v>
      </c>
      <c r="M136" s="717"/>
      <c r="N136" s="530" t="str">
        <f t="shared" si="30"/>
        <v>INCLUDED</v>
      </c>
      <c r="O136" s="747">
        <f t="shared" si="31"/>
        <v>0</v>
      </c>
      <c r="P136" s="747">
        <f t="shared" si="32"/>
        <v>0</v>
      </c>
      <c r="Q136" s="748">
        <f>Discount!$H$36</f>
        <v>0</v>
      </c>
      <c r="R136" s="748">
        <f t="shared" si="33"/>
        <v>0</v>
      </c>
      <c r="S136" s="748">
        <f t="shared" si="34"/>
        <v>0</v>
      </c>
      <c r="T136" s="749">
        <f t="shared" si="35"/>
        <v>0</v>
      </c>
      <c r="V136" s="850">
        <f t="shared" si="36"/>
        <v>0</v>
      </c>
      <c r="W136" s="749">
        <f t="shared" si="37"/>
        <v>0</v>
      </c>
      <c r="X136" s="749">
        <f t="shared" si="38"/>
        <v>0.18</v>
      </c>
      <c r="Y136" s="749">
        <f t="shared" si="39"/>
        <v>0</v>
      </c>
      <c r="Z136" s="749">
        <f t="shared" si="40"/>
        <v>0.18</v>
      </c>
      <c r="AA136" s="749">
        <f t="shared" si="41"/>
        <v>0</v>
      </c>
      <c r="AB136" s="526">
        <f t="shared" si="42"/>
        <v>0</v>
      </c>
      <c r="AC136" s="526">
        <f t="shared" si="43"/>
        <v>0</v>
      </c>
      <c r="AD136" s="526">
        <f t="shared" si="44"/>
        <v>0</v>
      </c>
    </row>
    <row r="137" spans="1:30" ht="47.25">
      <c r="A137" s="759">
        <v>120</v>
      </c>
      <c r="B137" s="529">
        <v>7000016907</v>
      </c>
      <c r="C137" s="529">
        <v>1990</v>
      </c>
      <c r="D137" s="529" t="s">
        <v>674</v>
      </c>
      <c r="E137" s="529">
        <v>1000034950</v>
      </c>
      <c r="F137" s="529">
        <v>85176990</v>
      </c>
      <c r="G137" s="716"/>
      <c r="H137" s="529">
        <v>18</v>
      </c>
      <c r="I137" s="541"/>
      <c r="J137" s="715" t="s">
        <v>611</v>
      </c>
      <c r="K137" s="529" t="s">
        <v>299</v>
      </c>
      <c r="L137" s="529">
        <v>2</v>
      </c>
      <c r="M137" s="717"/>
      <c r="N137" s="530" t="str">
        <f t="shared" si="30"/>
        <v>INCLUDED</v>
      </c>
      <c r="O137" s="747">
        <f t="shared" si="31"/>
        <v>0</v>
      </c>
      <c r="P137" s="747">
        <f t="shared" si="32"/>
        <v>0</v>
      </c>
      <c r="Q137" s="748">
        <f>Discount!$H$36</f>
        <v>0</v>
      </c>
      <c r="R137" s="748">
        <f t="shared" si="33"/>
        <v>0</v>
      </c>
      <c r="S137" s="748">
        <f t="shared" si="34"/>
        <v>0</v>
      </c>
      <c r="T137" s="749">
        <f t="shared" si="35"/>
        <v>0</v>
      </c>
      <c r="V137" s="850">
        <f t="shared" si="36"/>
        <v>0</v>
      </c>
      <c r="W137" s="749">
        <f t="shared" si="37"/>
        <v>0</v>
      </c>
      <c r="X137" s="749">
        <f t="shared" si="38"/>
        <v>0.18</v>
      </c>
      <c r="Y137" s="749">
        <f t="shared" si="39"/>
        <v>0</v>
      </c>
      <c r="Z137" s="749">
        <f t="shared" si="40"/>
        <v>0.18</v>
      </c>
      <c r="AA137" s="749">
        <f t="shared" si="41"/>
        <v>0</v>
      </c>
      <c r="AB137" s="526">
        <f t="shared" si="42"/>
        <v>0</v>
      </c>
      <c r="AC137" s="526">
        <f t="shared" si="43"/>
        <v>0</v>
      </c>
      <c r="AD137" s="526">
        <f t="shared" si="44"/>
        <v>0</v>
      </c>
    </row>
    <row r="138" spans="1:30" ht="47.25">
      <c r="A138" s="759">
        <v>121</v>
      </c>
      <c r="B138" s="529">
        <v>7000016907</v>
      </c>
      <c r="C138" s="529">
        <v>2000</v>
      </c>
      <c r="D138" s="529" t="s">
        <v>674</v>
      </c>
      <c r="E138" s="529">
        <v>1000031381</v>
      </c>
      <c r="F138" s="529">
        <v>85176290</v>
      </c>
      <c r="G138" s="716"/>
      <c r="H138" s="529">
        <v>18</v>
      </c>
      <c r="I138" s="541"/>
      <c r="J138" s="715" t="s">
        <v>612</v>
      </c>
      <c r="K138" s="529" t="s">
        <v>300</v>
      </c>
      <c r="L138" s="529">
        <v>1</v>
      </c>
      <c r="M138" s="717"/>
      <c r="N138" s="530" t="str">
        <f t="shared" si="30"/>
        <v>INCLUDED</v>
      </c>
      <c r="O138" s="747">
        <f t="shared" si="31"/>
        <v>0</v>
      </c>
      <c r="P138" s="747">
        <f t="shared" si="32"/>
        <v>0</v>
      </c>
      <c r="Q138" s="748">
        <f>Discount!$H$36</f>
        <v>0</v>
      </c>
      <c r="R138" s="748">
        <f t="shared" si="33"/>
        <v>0</v>
      </c>
      <c r="S138" s="748">
        <f t="shared" si="34"/>
        <v>0</v>
      </c>
      <c r="T138" s="749">
        <f t="shared" si="35"/>
        <v>0</v>
      </c>
      <c r="V138" s="850">
        <f t="shared" si="36"/>
        <v>0</v>
      </c>
      <c r="W138" s="749">
        <f t="shared" si="37"/>
        <v>0</v>
      </c>
      <c r="X138" s="749">
        <f t="shared" si="38"/>
        <v>0.18</v>
      </c>
      <c r="Y138" s="749">
        <f t="shared" si="39"/>
        <v>0</v>
      </c>
      <c r="Z138" s="749">
        <f t="shared" si="40"/>
        <v>0.18</v>
      </c>
      <c r="AA138" s="749">
        <f t="shared" si="41"/>
        <v>0</v>
      </c>
      <c r="AB138" s="526">
        <f t="shared" si="42"/>
        <v>0</v>
      </c>
      <c r="AC138" s="526">
        <f t="shared" si="43"/>
        <v>0</v>
      </c>
      <c r="AD138" s="526">
        <f t="shared" si="44"/>
        <v>0</v>
      </c>
    </row>
    <row r="139" spans="1:30" ht="47.25">
      <c r="A139" s="759">
        <v>122</v>
      </c>
      <c r="B139" s="529">
        <v>7000016907</v>
      </c>
      <c r="C139" s="529">
        <v>2010</v>
      </c>
      <c r="D139" s="529" t="s">
        <v>674</v>
      </c>
      <c r="E139" s="529">
        <v>1000026228</v>
      </c>
      <c r="F139" s="529">
        <v>85176290</v>
      </c>
      <c r="G139" s="716"/>
      <c r="H139" s="529">
        <v>18</v>
      </c>
      <c r="I139" s="541"/>
      <c r="J139" s="715" t="s">
        <v>613</v>
      </c>
      <c r="K139" s="529" t="s">
        <v>299</v>
      </c>
      <c r="L139" s="529">
        <v>1</v>
      </c>
      <c r="M139" s="717"/>
      <c r="N139" s="530" t="str">
        <f t="shared" si="30"/>
        <v>INCLUDED</v>
      </c>
      <c r="O139" s="747">
        <f t="shared" si="31"/>
        <v>0</v>
      </c>
      <c r="P139" s="747">
        <f t="shared" si="32"/>
        <v>0</v>
      </c>
      <c r="Q139" s="748">
        <f>Discount!$H$36</f>
        <v>0</v>
      </c>
      <c r="R139" s="748">
        <f t="shared" si="33"/>
        <v>0</v>
      </c>
      <c r="S139" s="748">
        <f t="shared" si="34"/>
        <v>0</v>
      </c>
      <c r="T139" s="749">
        <f t="shared" si="35"/>
        <v>0</v>
      </c>
      <c r="V139" s="850">
        <f t="shared" si="36"/>
        <v>0</v>
      </c>
      <c r="W139" s="749">
        <f t="shared" si="37"/>
        <v>0</v>
      </c>
      <c r="X139" s="749">
        <f t="shared" si="38"/>
        <v>0.18</v>
      </c>
      <c r="Y139" s="749">
        <f t="shared" si="39"/>
        <v>0</v>
      </c>
      <c r="Z139" s="749">
        <f t="shared" si="40"/>
        <v>0.18</v>
      </c>
      <c r="AA139" s="749">
        <f t="shared" si="41"/>
        <v>0</v>
      </c>
      <c r="AB139" s="526">
        <f t="shared" si="42"/>
        <v>0</v>
      </c>
      <c r="AC139" s="526">
        <f t="shared" si="43"/>
        <v>0</v>
      </c>
      <c r="AD139" s="526">
        <f t="shared" si="44"/>
        <v>0</v>
      </c>
    </row>
    <row r="140" spans="1:30" ht="47.25">
      <c r="A140" s="759">
        <v>123</v>
      </c>
      <c r="B140" s="529">
        <v>7000016907</v>
      </c>
      <c r="C140" s="529">
        <v>2020</v>
      </c>
      <c r="D140" s="529" t="s">
        <v>674</v>
      </c>
      <c r="E140" s="529">
        <v>1000028495</v>
      </c>
      <c r="F140" s="529">
        <v>84715000</v>
      </c>
      <c r="G140" s="716"/>
      <c r="H140" s="529">
        <v>18</v>
      </c>
      <c r="I140" s="541"/>
      <c r="J140" s="715" t="s">
        <v>625</v>
      </c>
      <c r="K140" s="529" t="s">
        <v>299</v>
      </c>
      <c r="L140" s="529">
        <v>1</v>
      </c>
      <c r="M140" s="717"/>
      <c r="N140" s="530" t="str">
        <f t="shared" si="30"/>
        <v>INCLUDED</v>
      </c>
      <c r="O140" s="747">
        <f t="shared" si="31"/>
        <v>0</v>
      </c>
      <c r="P140" s="747">
        <f t="shared" si="32"/>
        <v>0</v>
      </c>
      <c r="Q140" s="748">
        <f>Discount!$H$36</f>
        <v>0</v>
      </c>
      <c r="R140" s="748">
        <f t="shared" si="33"/>
        <v>0</v>
      </c>
      <c r="S140" s="748">
        <f t="shared" si="34"/>
        <v>0</v>
      </c>
      <c r="T140" s="749">
        <f t="shared" si="35"/>
        <v>0</v>
      </c>
      <c r="V140" s="850">
        <f t="shared" si="36"/>
        <v>0</v>
      </c>
      <c r="W140" s="749">
        <f t="shared" si="37"/>
        <v>0</v>
      </c>
      <c r="X140" s="749">
        <f t="shared" si="38"/>
        <v>0.18</v>
      </c>
      <c r="Y140" s="749">
        <f t="shared" si="39"/>
        <v>0</v>
      </c>
      <c r="Z140" s="749">
        <f t="shared" si="40"/>
        <v>0.18</v>
      </c>
      <c r="AA140" s="749">
        <f t="shared" si="41"/>
        <v>0</v>
      </c>
      <c r="AB140" s="526">
        <f t="shared" si="42"/>
        <v>0</v>
      </c>
      <c r="AC140" s="526">
        <f t="shared" si="43"/>
        <v>0</v>
      </c>
      <c r="AD140" s="526">
        <f t="shared" si="44"/>
        <v>0</v>
      </c>
    </row>
    <row r="141" spans="1:30" ht="47.25">
      <c r="A141" s="759">
        <v>124</v>
      </c>
      <c r="B141" s="529">
        <v>7000016907</v>
      </c>
      <c r="C141" s="529">
        <v>2030</v>
      </c>
      <c r="D141" s="529" t="s">
        <v>674</v>
      </c>
      <c r="E141" s="529">
        <v>1000028265</v>
      </c>
      <c r="F141" s="529">
        <v>85238020</v>
      </c>
      <c r="G141" s="716"/>
      <c r="H141" s="529">
        <v>18</v>
      </c>
      <c r="I141" s="541"/>
      <c r="J141" s="715" t="s">
        <v>626</v>
      </c>
      <c r="K141" s="529" t="s">
        <v>299</v>
      </c>
      <c r="L141" s="529">
        <v>1</v>
      </c>
      <c r="M141" s="717"/>
      <c r="N141" s="530" t="str">
        <f t="shared" si="30"/>
        <v>INCLUDED</v>
      </c>
      <c r="O141" s="747">
        <f t="shared" si="31"/>
        <v>0</v>
      </c>
      <c r="P141" s="747">
        <f t="shared" si="32"/>
        <v>0</v>
      </c>
      <c r="Q141" s="748">
        <f>Discount!$H$36</f>
        <v>0</v>
      </c>
      <c r="R141" s="748">
        <f t="shared" si="33"/>
        <v>0</v>
      </c>
      <c r="S141" s="748">
        <f t="shared" si="34"/>
        <v>0</v>
      </c>
      <c r="T141" s="749">
        <f t="shared" si="35"/>
        <v>0</v>
      </c>
      <c r="V141" s="850">
        <f t="shared" si="36"/>
        <v>0</v>
      </c>
      <c r="W141" s="749">
        <f t="shared" si="37"/>
        <v>0</v>
      </c>
      <c r="X141" s="749">
        <f t="shared" si="38"/>
        <v>0.18</v>
      </c>
      <c r="Y141" s="749">
        <f t="shared" si="39"/>
        <v>0</v>
      </c>
      <c r="Z141" s="749">
        <f t="shared" si="40"/>
        <v>0.18</v>
      </c>
      <c r="AA141" s="749">
        <f t="shared" si="41"/>
        <v>0</v>
      </c>
      <c r="AB141" s="526">
        <f t="shared" si="42"/>
        <v>0</v>
      </c>
      <c r="AC141" s="526">
        <f t="shared" si="43"/>
        <v>0</v>
      </c>
      <c r="AD141" s="526">
        <f t="shared" si="44"/>
        <v>0</v>
      </c>
    </row>
    <row r="142" spans="1:30" ht="47.25">
      <c r="A142" s="759">
        <v>125</v>
      </c>
      <c r="B142" s="529">
        <v>7000016907</v>
      </c>
      <c r="C142" s="529">
        <v>2040</v>
      </c>
      <c r="D142" s="529" t="s">
        <v>674</v>
      </c>
      <c r="E142" s="529">
        <v>1000034998</v>
      </c>
      <c r="F142" s="529">
        <v>85171890</v>
      </c>
      <c r="G142" s="716"/>
      <c r="H142" s="529">
        <v>18</v>
      </c>
      <c r="I142" s="541"/>
      <c r="J142" s="715" t="s">
        <v>614</v>
      </c>
      <c r="K142" s="529" t="s">
        <v>299</v>
      </c>
      <c r="L142" s="529">
        <v>2</v>
      </c>
      <c r="M142" s="717"/>
      <c r="N142" s="530" t="str">
        <f t="shared" si="30"/>
        <v>INCLUDED</v>
      </c>
      <c r="O142" s="747">
        <f t="shared" si="31"/>
        <v>0</v>
      </c>
      <c r="P142" s="747">
        <f t="shared" si="32"/>
        <v>0</v>
      </c>
      <c r="Q142" s="748">
        <f>Discount!$H$36</f>
        <v>0</v>
      </c>
      <c r="R142" s="748">
        <f t="shared" si="33"/>
        <v>0</v>
      </c>
      <c r="S142" s="748">
        <f t="shared" si="34"/>
        <v>0</v>
      </c>
      <c r="T142" s="749">
        <f t="shared" si="35"/>
        <v>0</v>
      </c>
      <c r="V142" s="850">
        <f t="shared" si="36"/>
        <v>0</v>
      </c>
      <c r="W142" s="749">
        <f t="shared" si="37"/>
        <v>0</v>
      </c>
      <c r="X142" s="749">
        <f t="shared" si="38"/>
        <v>0.18</v>
      </c>
      <c r="Y142" s="749">
        <f t="shared" si="39"/>
        <v>0</v>
      </c>
      <c r="Z142" s="749">
        <f t="shared" si="40"/>
        <v>0.18</v>
      </c>
      <c r="AA142" s="749">
        <f t="shared" si="41"/>
        <v>0</v>
      </c>
      <c r="AB142" s="526">
        <f t="shared" si="42"/>
        <v>0</v>
      </c>
      <c r="AC142" s="526">
        <f t="shared" si="43"/>
        <v>0</v>
      </c>
      <c r="AD142" s="526">
        <f t="shared" si="44"/>
        <v>0</v>
      </c>
    </row>
    <row r="143" spans="1:30" ht="78.75">
      <c r="A143" s="759">
        <v>126</v>
      </c>
      <c r="B143" s="529">
        <v>7000016907</v>
      </c>
      <c r="C143" s="529">
        <v>2060</v>
      </c>
      <c r="D143" s="529" t="s">
        <v>675</v>
      </c>
      <c r="E143" s="529">
        <v>1000031369</v>
      </c>
      <c r="F143" s="529">
        <v>85176260</v>
      </c>
      <c r="G143" s="716"/>
      <c r="H143" s="529">
        <v>18</v>
      </c>
      <c r="I143" s="541"/>
      <c r="J143" s="715" t="s">
        <v>617</v>
      </c>
      <c r="K143" s="529" t="s">
        <v>300</v>
      </c>
      <c r="L143" s="529">
        <v>1</v>
      </c>
      <c r="M143" s="717"/>
      <c r="N143" s="530" t="str">
        <f t="shared" si="30"/>
        <v>INCLUDED</v>
      </c>
      <c r="O143" s="747">
        <f t="shared" si="31"/>
        <v>0</v>
      </c>
      <c r="P143" s="747">
        <f t="shared" si="32"/>
        <v>0</v>
      </c>
      <c r="Q143" s="748">
        <f>Discount!$H$36</f>
        <v>0</v>
      </c>
      <c r="R143" s="748">
        <f t="shared" si="33"/>
        <v>0</v>
      </c>
      <c r="S143" s="748">
        <f t="shared" si="34"/>
        <v>0</v>
      </c>
      <c r="T143" s="749">
        <f t="shared" si="35"/>
        <v>0</v>
      </c>
      <c r="V143" s="850">
        <f t="shared" si="36"/>
        <v>0</v>
      </c>
      <c r="W143" s="749">
        <f t="shared" si="37"/>
        <v>0</v>
      </c>
      <c r="X143" s="749">
        <f t="shared" si="38"/>
        <v>0.18</v>
      </c>
      <c r="Y143" s="749">
        <f t="shared" si="39"/>
        <v>0</v>
      </c>
      <c r="Z143" s="749">
        <f t="shared" si="40"/>
        <v>0.18</v>
      </c>
      <c r="AA143" s="749">
        <f t="shared" si="41"/>
        <v>0</v>
      </c>
      <c r="AB143" s="526">
        <f t="shared" si="42"/>
        <v>0</v>
      </c>
      <c r="AC143" s="526">
        <f t="shared" si="43"/>
        <v>0</v>
      </c>
      <c r="AD143" s="526">
        <f t="shared" si="44"/>
        <v>0</v>
      </c>
    </row>
    <row r="144" spans="1:30" ht="31.5">
      <c r="A144" s="759">
        <v>127</v>
      </c>
      <c r="B144" s="529">
        <v>7000016907</v>
      </c>
      <c r="C144" s="529">
        <v>2070</v>
      </c>
      <c r="D144" s="529" t="s">
        <v>675</v>
      </c>
      <c r="E144" s="529">
        <v>1000018706</v>
      </c>
      <c r="F144" s="529">
        <v>85176990</v>
      </c>
      <c r="G144" s="716"/>
      <c r="H144" s="529">
        <v>18</v>
      </c>
      <c r="I144" s="541"/>
      <c r="J144" s="715" t="s">
        <v>609</v>
      </c>
      <c r="K144" s="529" t="s">
        <v>299</v>
      </c>
      <c r="L144" s="529">
        <v>1</v>
      </c>
      <c r="M144" s="717"/>
      <c r="N144" s="530" t="str">
        <f t="shared" si="30"/>
        <v>INCLUDED</v>
      </c>
      <c r="O144" s="747">
        <f t="shared" si="31"/>
        <v>0</v>
      </c>
      <c r="P144" s="747">
        <f t="shared" si="32"/>
        <v>0</v>
      </c>
      <c r="Q144" s="748">
        <f>Discount!$H$36</f>
        <v>0</v>
      </c>
      <c r="R144" s="748">
        <f t="shared" si="33"/>
        <v>0</v>
      </c>
      <c r="S144" s="748">
        <f t="shared" si="34"/>
        <v>0</v>
      </c>
      <c r="T144" s="749">
        <f t="shared" si="35"/>
        <v>0</v>
      </c>
      <c r="V144" s="850">
        <f t="shared" si="36"/>
        <v>0</v>
      </c>
      <c r="W144" s="749">
        <f t="shared" si="37"/>
        <v>0</v>
      </c>
      <c r="X144" s="749">
        <f t="shared" si="38"/>
        <v>0.18</v>
      </c>
      <c r="Y144" s="749">
        <f t="shared" si="39"/>
        <v>0</v>
      </c>
      <c r="Z144" s="749">
        <f t="shared" si="40"/>
        <v>0.18</v>
      </c>
      <c r="AA144" s="749">
        <f t="shared" si="41"/>
        <v>0</v>
      </c>
      <c r="AB144" s="526">
        <f t="shared" si="42"/>
        <v>0</v>
      </c>
      <c r="AC144" s="526">
        <f t="shared" si="43"/>
        <v>0</v>
      </c>
      <c r="AD144" s="526">
        <f t="shared" si="44"/>
        <v>0</v>
      </c>
    </row>
    <row r="145" spans="1:30" ht="31.5">
      <c r="A145" s="759">
        <v>128</v>
      </c>
      <c r="B145" s="529">
        <v>7000016907</v>
      </c>
      <c r="C145" s="529">
        <v>2080</v>
      </c>
      <c r="D145" s="529" t="s">
        <v>675</v>
      </c>
      <c r="E145" s="529">
        <v>1000023721</v>
      </c>
      <c r="F145" s="529">
        <v>85176260</v>
      </c>
      <c r="G145" s="716"/>
      <c r="H145" s="529">
        <v>18</v>
      </c>
      <c r="I145" s="541"/>
      <c r="J145" s="715" t="s">
        <v>742</v>
      </c>
      <c r="K145" s="529" t="s">
        <v>299</v>
      </c>
      <c r="L145" s="529">
        <v>1</v>
      </c>
      <c r="M145" s="717"/>
      <c r="N145" s="530" t="str">
        <f t="shared" si="30"/>
        <v>INCLUDED</v>
      </c>
      <c r="O145" s="747">
        <f t="shared" si="31"/>
        <v>0</v>
      </c>
      <c r="P145" s="747">
        <f t="shared" si="32"/>
        <v>0</v>
      </c>
      <c r="Q145" s="748">
        <f>Discount!$H$36</f>
        <v>0</v>
      </c>
      <c r="R145" s="748">
        <f t="shared" si="33"/>
        <v>0</v>
      </c>
      <c r="S145" s="748">
        <f t="shared" si="34"/>
        <v>0</v>
      </c>
      <c r="T145" s="749">
        <f t="shared" si="35"/>
        <v>0</v>
      </c>
      <c r="V145" s="850">
        <f t="shared" si="36"/>
        <v>0</v>
      </c>
      <c r="W145" s="749">
        <f t="shared" si="37"/>
        <v>0</v>
      </c>
      <c r="X145" s="749">
        <f t="shared" si="38"/>
        <v>0.18</v>
      </c>
      <c r="Y145" s="749">
        <f t="shared" si="39"/>
        <v>0</v>
      </c>
      <c r="Z145" s="749">
        <f t="shared" si="40"/>
        <v>0.18</v>
      </c>
      <c r="AA145" s="749">
        <f t="shared" si="41"/>
        <v>0</v>
      </c>
      <c r="AB145" s="526">
        <f t="shared" si="42"/>
        <v>0</v>
      </c>
      <c r="AC145" s="526">
        <f t="shared" si="43"/>
        <v>0</v>
      </c>
      <c r="AD145" s="526">
        <f t="shared" si="44"/>
        <v>0</v>
      </c>
    </row>
    <row r="146" spans="1:30" ht="31.5">
      <c r="A146" s="759">
        <v>129</v>
      </c>
      <c r="B146" s="529">
        <v>7000016907</v>
      </c>
      <c r="C146" s="529">
        <v>2090</v>
      </c>
      <c r="D146" s="529" t="s">
        <v>675</v>
      </c>
      <c r="E146" s="529">
        <v>1000014272</v>
      </c>
      <c r="F146" s="529">
        <v>85176290</v>
      </c>
      <c r="G146" s="716"/>
      <c r="H146" s="529">
        <v>18</v>
      </c>
      <c r="I146" s="541"/>
      <c r="J146" s="715" t="s">
        <v>624</v>
      </c>
      <c r="K146" s="529" t="s">
        <v>299</v>
      </c>
      <c r="L146" s="529">
        <v>1</v>
      </c>
      <c r="M146" s="717"/>
      <c r="N146" s="530" t="str">
        <f t="shared" si="30"/>
        <v>INCLUDED</v>
      </c>
      <c r="O146" s="747">
        <f t="shared" si="31"/>
        <v>0</v>
      </c>
      <c r="P146" s="747">
        <f t="shared" si="32"/>
        <v>0</v>
      </c>
      <c r="Q146" s="748">
        <f>Discount!$H$36</f>
        <v>0</v>
      </c>
      <c r="R146" s="748">
        <f t="shared" si="33"/>
        <v>0</v>
      </c>
      <c r="S146" s="748">
        <f t="shared" si="34"/>
        <v>0</v>
      </c>
      <c r="T146" s="749">
        <f t="shared" si="35"/>
        <v>0</v>
      </c>
      <c r="V146" s="850">
        <f t="shared" si="36"/>
        <v>0</v>
      </c>
      <c r="W146" s="749">
        <f t="shared" si="37"/>
        <v>0</v>
      </c>
      <c r="X146" s="749">
        <f t="shared" si="38"/>
        <v>0.18</v>
      </c>
      <c r="Y146" s="749">
        <f t="shared" si="39"/>
        <v>0</v>
      </c>
      <c r="Z146" s="749">
        <f t="shared" si="40"/>
        <v>0.18</v>
      </c>
      <c r="AA146" s="749">
        <f t="shared" si="41"/>
        <v>0</v>
      </c>
      <c r="AB146" s="526">
        <f t="shared" si="42"/>
        <v>0</v>
      </c>
      <c r="AC146" s="526">
        <f t="shared" si="43"/>
        <v>0</v>
      </c>
      <c r="AD146" s="526">
        <f t="shared" si="44"/>
        <v>0</v>
      </c>
    </row>
    <row r="147" spans="1:30" ht="31.5">
      <c r="A147" s="759">
        <v>130</v>
      </c>
      <c r="B147" s="529">
        <v>7000016907</v>
      </c>
      <c r="C147" s="529">
        <v>2100</v>
      </c>
      <c r="D147" s="529" t="s">
        <v>675</v>
      </c>
      <c r="E147" s="529">
        <v>1000031374</v>
      </c>
      <c r="F147" s="529">
        <v>85176290</v>
      </c>
      <c r="G147" s="716"/>
      <c r="H147" s="529">
        <v>18</v>
      </c>
      <c r="I147" s="541"/>
      <c r="J147" s="715" t="s">
        <v>610</v>
      </c>
      <c r="K147" s="529" t="s">
        <v>300</v>
      </c>
      <c r="L147" s="529">
        <v>1</v>
      </c>
      <c r="M147" s="717"/>
      <c r="N147" s="530" t="str">
        <f t="shared" si="30"/>
        <v>INCLUDED</v>
      </c>
      <c r="O147" s="747">
        <f t="shared" si="31"/>
        <v>0</v>
      </c>
      <c r="P147" s="747">
        <f t="shared" si="32"/>
        <v>0</v>
      </c>
      <c r="Q147" s="748">
        <f>Discount!$H$36</f>
        <v>0</v>
      </c>
      <c r="R147" s="748">
        <f t="shared" si="33"/>
        <v>0</v>
      </c>
      <c r="S147" s="748">
        <f t="shared" si="34"/>
        <v>0</v>
      </c>
      <c r="T147" s="749">
        <f t="shared" si="35"/>
        <v>0</v>
      </c>
      <c r="V147" s="850">
        <f t="shared" si="36"/>
        <v>0</v>
      </c>
      <c r="W147" s="749">
        <f t="shared" si="37"/>
        <v>0</v>
      </c>
      <c r="X147" s="749">
        <f t="shared" si="38"/>
        <v>0.18</v>
      </c>
      <c r="Y147" s="749">
        <f t="shared" si="39"/>
        <v>0</v>
      </c>
      <c r="Z147" s="749">
        <f t="shared" si="40"/>
        <v>0.18</v>
      </c>
      <c r="AA147" s="749">
        <f t="shared" si="41"/>
        <v>0</v>
      </c>
      <c r="AB147" s="526">
        <f t="shared" si="42"/>
        <v>0</v>
      </c>
      <c r="AC147" s="526">
        <f t="shared" si="43"/>
        <v>0</v>
      </c>
      <c r="AD147" s="526">
        <f t="shared" si="44"/>
        <v>0</v>
      </c>
    </row>
    <row r="148" spans="1:30" ht="31.5">
      <c r="A148" s="759">
        <v>131</v>
      </c>
      <c r="B148" s="529">
        <v>7000016907</v>
      </c>
      <c r="C148" s="529">
        <v>2110</v>
      </c>
      <c r="D148" s="529" t="s">
        <v>675</v>
      </c>
      <c r="E148" s="529">
        <v>1000034950</v>
      </c>
      <c r="F148" s="529">
        <v>85176990</v>
      </c>
      <c r="G148" s="716"/>
      <c r="H148" s="529">
        <v>18</v>
      </c>
      <c r="I148" s="541"/>
      <c r="J148" s="715" t="s">
        <v>611</v>
      </c>
      <c r="K148" s="529" t="s">
        <v>299</v>
      </c>
      <c r="L148" s="529">
        <v>1</v>
      </c>
      <c r="M148" s="717"/>
      <c r="N148" s="530" t="str">
        <f t="shared" si="30"/>
        <v>INCLUDED</v>
      </c>
      <c r="O148" s="747">
        <f t="shared" si="31"/>
        <v>0</v>
      </c>
      <c r="P148" s="747">
        <f t="shared" si="32"/>
        <v>0</v>
      </c>
      <c r="Q148" s="748">
        <f>Discount!$H$36</f>
        <v>0</v>
      </c>
      <c r="R148" s="748">
        <f t="shared" si="33"/>
        <v>0</v>
      </c>
      <c r="S148" s="748">
        <f t="shared" si="34"/>
        <v>0</v>
      </c>
      <c r="T148" s="749">
        <f t="shared" si="35"/>
        <v>0</v>
      </c>
      <c r="V148" s="850">
        <f t="shared" si="36"/>
        <v>0</v>
      </c>
      <c r="W148" s="749">
        <f t="shared" si="37"/>
        <v>0</v>
      </c>
      <c r="X148" s="749">
        <f t="shared" si="38"/>
        <v>0.18</v>
      </c>
      <c r="Y148" s="749">
        <f t="shared" si="39"/>
        <v>0</v>
      </c>
      <c r="Z148" s="749">
        <f t="shared" si="40"/>
        <v>0.18</v>
      </c>
      <c r="AA148" s="749">
        <f t="shared" si="41"/>
        <v>0</v>
      </c>
      <c r="AB148" s="526">
        <f t="shared" si="42"/>
        <v>0</v>
      </c>
      <c r="AC148" s="526">
        <f t="shared" si="43"/>
        <v>0</v>
      </c>
      <c r="AD148" s="526">
        <f t="shared" si="44"/>
        <v>0</v>
      </c>
    </row>
    <row r="149" spans="1:30" ht="47.25">
      <c r="A149" s="759">
        <v>132</v>
      </c>
      <c r="B149" s="529">
        <v>7000016907</v>
      </c>
      <c r="C149" s="529">
        <v>2120</v>
      </c>
      <c r="D149" s="529" t="s">
        <v>675</v>
      </c>
      <c r="E149" s="529">
        <v>1000031381</v>
      </c>
      <c r="F149" s="529">
        <v>85176290</v>
      </c>
      <c r="G149" s="716"/>
      <c r="H149" s="529">
        <v>18</v>
      </c>
      <c r="I149" s="541"/>
      <c r="J149" s="715" t="s">
        <v>612</v>
      </c>
      <c r="K149" s="529" t="s">
        <v>300</v>
      </c>
      <c r="L149" s="529">
        <v>1</v>
      </c>
      <c r="M149" s="717"/>
      <c r="N149" s="530" t="str">
        <f t="shared" si="30"/>
        <v>INCLUDED</v>
      </c>
      <c r="O149" s="747">
        <f t="shared" si="31"/>
        <v>0</v>
      </c>
      <c r="P149" s="747">
        <f t="shared" si="32"/>
        <v>0</v>
      </c>
      <c r="Q149" s="748">
        <f>Discount!$H$36</f>
        <v>0</v>
      </c>
      <c r="R149" s="748">
        <f t="shared" si="33"/>
        <v>0</v>
      </c>
      <c r="S149" s="748">
        <f t="shared" si="34"/>
        <v>0</v>
      </c>
      <c r="T149" s="749">
        <f t="shared" si="35"/>
        <v>0</v>
      </c>
      <c r="V149" s="850">
        <f t="shared" si="36"/>
        <v>0</v>
      </c>
      <c r="W149" s="749">
        <f t="shared" si="37"/>
        <v>0</v>
      </c>
      <c r="X149" s="749">
        <f t="shared" si="38"/>
        <v>0.18</v>
      </c>
      <c r="Y149" s="749">
        <f t="shared" si="39"/>
        <v>0</v>
      </c>
      <c r="Z149" s="749">
        <f t="shared" si="40"/>
        <v>0.18</v>
      </c>
      <c r="AA149" s="749">
        <f t="shared" si="41"/>
        <v>0</v>
      </c>
      <c r="AB149" s="526">
        <f t="shared" si="42"/>
        <v>0</v>
      </c>
      <c r="AC149" s="526">
        <f t="shared" si="43"/>
        <v>0</v>
      </c>
      <c r="AD149" s="526">
        <f t="shared" si="44"/>
        <v>0</v>
      </c>
    </row>
    <row r="150" spans="1:30" ht="31.5">
      <c r="A150" s="759">
        <v>133</v>
      </c>
      <c r="B150" s="529">
        <v>7000016907</v>
      </c>
      <c r="C150" s="529">
        <v>2130</v>
      </c>
      <c r="D150" s="529" t="s">
        <v>675</v>
      </c>
      <c r="E150" s="529">
        <v>1000034998</v>
      </c>
      <c r="F150" s="529">
        <v>85171890</v>
      </c>
      <c r="G150" s="716"/>
      <c r="H150" s="529">
        <v>18</v>
      </c>
      <c r="I150" s="541"/>
      <c r="J150" s="715" t="s">
        <v>614</v>
      </c>
      <c r="K150" s="529" t="s">
        <v>299</v>
      </c>
      <c r="L150" s="529">
        <v>1</v>
      </c>
      <c r="M150" s="717"/>
      <c r="N150" s="530" t="str">
        <f t="shared" si="30"/>
        <v>INCLUDED</v>
      </c>
      <c r="O150" s="747">
        <f t="shared" si="31"/>
        <v>0</v>
      </c>
      <c r="P150" s="747">
        <f t="shared" si="32"/>
        <v>0</v>
      </c>
      <c r="Q150" s="748">
        <f>Discount!$H$36</f>
        <v>0</v>
      </c>
      <c r="R150" s="748">
        <f t="shared" si="33"/>
        <v>0</v>
      </c>
      <c r="S150" s="748">
        <f t="shared" si="34"/>
        <v>0</v>
      </c>
      <c r="T150" s="749">
        <f t="shared" si="35"/>
        <v>0</v>
      </c>
      <c r="V150" s="850">
        <f t="shared" si="36"/>
        <v>0</v>
      </c>
      <c r="W150" s="749">
        <f t="shared" si="37"/>
        <v>0</v>
      </c>
      <c r="X150" s="749">
        <f t="shared" si="38"/>
        <v>0.18</v>
      </c>
      <c r="Y150" s="749">
        <f t="shared" si="39"/>
        <v>0</v>
      </c>
      <c r="Z150" s="749">
        <f t="shared" si="40"/>
        <v>0.18</v>
      </c>
      <c r="AA150" s="749">
        <f t="shared" si="41"/>
        <v>0</v>
      </c>
      <c r="AB150" s="526">
        <f t="shared" si="42"/>
        <v>0</v>
      </c>
      <c r="AC150" s="526">
        <f t="shared" si="43"/>
        <v>0</v>
      </c>
      <c r="AD150" s="526">
        <f t="shared" si="44"/>
        <v>0</v>
      </c>
    </row>
    <row r="151" spans="1:30" ht="31.5">
      <c r="A151" s="759">
        <v>134</v>
      </c>
      <c r="B151" s="529">
        <v>7000016907</v>
      </c>
      <c r="C151" s="529">
        <v>2140</v>
      </c>
      <c r="D151" s="529" t="s">
        <v>675</v>
      </c>
      <c r="E151" s="529">
        <v>1000031398</v>
      </c>
      <c r="F151" s="529">
        <v>85171890</v>
      </c>
      <c r="G151" s="716"/>
      <c r="H151" s="529">
        <v>18</v>
      </c>
      <c r="I151" s="541"/>
      <c r="J151" s="715" t="s">
        <v>618</v>
      </c>
      <c r="K151" s="529" t="s">
        <v>300</v>
      </c>
      <c r="L151" s="529">
        <v>1</v>
      </c>
      <c r="M151" s="717"/>
      <c r="N151" s="530" t="str">
        <f t="shared" si="30"/>
        <v>INCLUDED</v>
      </c>
      <c r="O151" s="747">
        <f t="shared" si="31"/>
        <v>0</v>
      </c>
      <c r="P151" s="747">
        <f t="shared" si="32"/>
        <v>0</v>
      </c>
      <c r="Q151" s="748">
        <f>Discount!$H$36</f>
        <v>0</v>
      </c>
      <c r="R151" s="748">
        <f t="shared" si="33"/>
        <v>0</v>
      </c>
      <c r="S151" s="748">
        <f t="shared" si="34"/>
        <v>0</v>
      </c>
      <c r="T151" s="749">
        <f t="shared" si="35"/>
        <v>0</v>
      </c>
      <c r="V151" s="850">
        <f t="shared" si="36"/>
        <v>0</v>
      </c>
      <c r="W151" s="749">
        <f t="shared" si="37"/>
        <v>0</v>
      </c>
      <c r="X151" s="749">
        <f t="shared" si="38"/>
        <v>0.18</v>
      </c>
      <c r="Y151" s="749">
        <f t="shared" si="39"/>
        <v>0</v>
      </c>
      <c r="Z151" s="749">
        <f t="shared" si="40"/>
        <v>0.18</v>
      </c>
      <c r="AA151" s="749">
        <f t="shared" si="41"/>
        <v>0</v>
      </c>
      <c r="AB151" s="526">
        <f t="shared" si="42"/>
        <v>0</v>
      </c>
      <c r="AC151" s="526">
        <f t="shared" si="43"/>
        <v>0</v>
      </c>
      <c r="AD151" s="526">
        <f t="shared" si="44"/>
        <v>0</v>
      </c>
    </row>
    <row r="152" spans="1:30" ht="31.5">
      <c r="A152" s="759">
        <v>135</v>
      </c>
      <c r="B152" s="529">
        <v>7000016907</v>
      </c>
      <c r="C152" s="529">
        <v>2150</v>
      </c>
      <c r="D152" s="529" t="s">
        <v>675</v>
      </c>
      <c r="E152" s="529">
        <v>1000030942</v>
      </c>
      <c r="F152" s="529">
        <v>85447090</v>
      </c>
      <c r="G152" s="716"/>
      <c r="H152" s="529">
        <v>18</v>
      </c>
      <c r="I152" s="541"/>
      <c r="J152" s="715" t="s">
        <v>615</v>
      </c>
      <c r="K152" s="529" t="s">
        <v>478</v>
      </c>
      <c r="L152" s="529">
        <v>1</v>
      </c>
      <c r="M152" s="717"/>
      <c r="N152" s="530" t="str">
        <f t="shared" si="30"/>
        <v>INCLUDED</v>
      </c>
      <c r="O152" s="747">
        <f t="shared" si="31"/>
        <v>0</v>
      </c>
      <c r="P152" s="747">
        <f t="shared" si="32"/>
        <v>0</v>
      </c>
      <c r="Q152" s="748">
        <f>Discount!$H$36</f>
        <v>0</v>
      </c>
      <c r="R152" s="748">
        <f t="shared" si="33"/>
        <v>0</v>
      </c>
      <c r="S152" s="748">
        <f t="shared" si="34"/>
        <v>0</v>
      </c>
      <c r="T152" s="749">
        <f t="shared" si="35"/>
        <v>0</v>
      </c>
      <c r="V152" s="850">
        <f t="shared" si="36"/>
        <v>0</v>
      </c>
      <c r="W152" s="749">
        <f t="shared" si="37"/>
        <v>0</v>
      </c>
      <c r="X152" s="749">
        <f t="shared" si="38"/>
        <v>0.18</v>
      </c>
      <c r="Y152" s="749">
        <f t="shared" si="39"/>
        <v>0</v>
      </c>
      <c r="Z152" s="749">
        <f t="shared" si="40"/>
        <v>0.18</v>
      </c>
      <c r="AA152" s="749">
        <f t="shared" si="41"/>
        <v>0</v>
      </c>
      <c r="AB152" s="526">
        <f t="shared" si="42"/>
        <v>0</v>
      </c>
      <c r="AC152" s="526">
        <f t="shared" si="43"/>
        <v>0</v>
      </c>
      <c r="AD152" s="526">
        <f t="shared" si="44"/>
        <v>0</v>
      </c>
    </row>
    <row r="153" spans="1:30" ht="31.5">
      <c r="A153" s="759">
        <v>136</v>
      </c>
      <c r="B153" s="529">
        <v>7000016907</v>
      </c>
      <c r="C153" s="529">
        <v>2160</v>
      </c>
      <c r="D153" s="529" t="s">
        <v>676</v>
      </c>
      <c r="E153" s="529">
        <v>1000017518</v>
      </c>
      <c r="F153" s="529">
        <v>85364900</v>
      </c>
      <c r="G153" s="716"/>
      <c r="H153" s="529">
        <v>18</v>
      </c>
      <c r="I153" s="541"/>
      <c r="J153" s="715" t="s">
        <v>619</v>
      </c>
      <c r="K153" s="529" t="s">
        <v>299</v>
      </c>
      <c r="L153" s="529">
        <v>2</v>
      </c>
      <c r="M153" s="717"/>
      <c r="N153" s="530" t="str">
        <f t="shared" si="30"/>
        <v>INCLUDED</v>
      </c>
      <c r="O153" s="747">
        <f t="shared" si="31"/>
        <v>0</v>
      </c>
      <c r="P153" s="747">
        <f t="shared" si="32"/>
        <v>0</v>
      </c>
      <c r="Q153" s="748">
        <f>Discount!$H$36</f>
        <v>0</v>
      </c>
      <c r="R153" s="748">
        <f t="shared" si="33"/>
        <v>0</v>
      </c>
      <c r="S153" s="748">
        <f t="shared" si="34"/>
        <v>0</v>
      </c>
      <c r="T153" s="749">
        <f t="shared" si="35"/>
        <v>0</v>
      </c>
      <c r="V153" s="850">
        <f t="shared" si="36"/>
        <v>0</v>
      </c>
      <c r="W153" s="749">
        <f t="shared" si="37"/>
        <v>0</v>
      </c>
      <c r="X153" s="749">
        <f t="shared" si="38"/>
        <v>0.18</v>
      </c>
      <c r="Y153" s="749">
        <f t="shared" si="39"/>
        <v>0</v>
      </c>
      <c r="Z153" s="749">
        <f t="shared" si="40"/>
        <v>0.18</v>
      </c>
      <c r="AA153" s="749">
        <f t="shared" si="41"/>
        <v>0</v>
      </c>
      <c r="AB153" s="526">
        <f t="shared" si="42"/>
        <v>0</v>
      </c>
      <c r="AC153" s="526">
        <f t="shared" si="43"/>
        <v>0</v>
      </c>
      <c r="AD153" s="526">
        <f t="shared" si="44"/>
        <v>0</v>
      </c>
    </row>
    <row r="154" spans="1:30">
      <c r="A154" s="759">
        <v>137</v>
      </c>
      <c r="B154" s="529">
        <v>7000016907</v>
      </c>
      <c r="C154" s="529">
        <v>2170</v>
      </c>
      <c r="D154" s="529" t="s">
        <v>676</v>
      </c>
      <c r="E154" s="529">
        <v>1000022512</v>
      </c>
      <c r="F154" s="529">
        <v>90311000</v>
      </c>
      <c r="G154" s="716"/>
      <c r="H154" s="529">
        <v>18</v>
      </c>
      <c r="I154" s="541"/>
      <c r="J154" s="715" t="s">
        <v>620</v>
      </c>
      <c r="K154" s="529" t="s">
        <v>299</v>
      </c>
      <c r="L154" s="529">
        <v>2</v>
      </c>
      <c r="M154" s="717"/>
      <c r="N154" s="530" t="str">
        <f t="shared" si="30"/>
        <v>INCLUDED</v>
      </c>
      <c r="O154" s="747">
        <f t="shared" si="31"/>
        <v>0</v>
      </c>
      <c r="P154" s="747">
        <f t="shared" si="32"/>
        <v>0</v>
      </c>
      <c r="Q154" s="748">
        <f>Discount!$H$36</f>
        <v>0</v>
      </c>
      <c r="R154" s="748">
        <f t="shared" si="33"/>
        <v>0</v>
      </c>
      <c r="S154" s="748">
        <f t="shared" si="34"/>
        <v>0</v>
      </c>
      <c r="T154" s="749">
        <f t="shared" si="35"/>
        <v>0</v>
      </c>
      <c r="V154" s="850">
        <f t="shared" si="36"/>
        <v>0</v>
      </c>
      <c r="W154" s="749">
        <f t="shared" si="37"/>
        <v>0</v>
      </c>
      <c r="X154" s="749">
        <f t="shared" si="38"/>
        <v>0.18</v>
      </c>
      <c r="Y154" s="749">
        <f t="shared" si="39"/>
        <v>0</v>
      </c>
      <c r="Z154" s="749">
        <f t="shared" si="40"/>
        <v>0.18</v>
      </c>
      <c r="AA154" s="749">
        <f t="shared" si="41"/>
        <v>0</v>
      </c>
      <c r="AB154" s="526">
        <f t="shared" si="42"/>
        <v>0</v>
      </c>
      <c r="AC154" s="526">
        <f t="shared" si="43"/>
        <v>0</v>
      </c>
      <c r="AD154" s="526">
        <f t="shared" si="44"/>
        <v>0</v>
      </c>
    </row>
    <row r="155" spans="1:30" ht="47.25">
      <c r="A155" s="759">
        <v>138</v>
      </c>
      <c r="B155" s="529">
        <v>7000016907</v>
      </c>
      <c r="C155" s="529">
        <v>2180</v>
      </c>
      <c r="D155" s="529" t="s">
        <v>676</v>
      </c>
      <c r="E155" s="529">
        <v>1000022510</v>
      </c>
      <c r="F155" s="529">
        <v>85176290</v>
      </c>
      <c r="G155" s="716"/>
      <c r="H155" s="529">
        <v>18</v>
      </c>
      <c r="I155" s="541"/>
      <c r="J155" s="715" t="s">
        <v>621</v>
      </c>
      <c r="K155" s="529" t="s">
        <v>299</v>
      </c>
      <c r="L155" s="529">
        <v>3</v>
      </c>
      <c r="M155" s="717"/>
      <c r="N155" s="530" t="str">
        <f t="shared" si="30"/>
        <v>INCLUDED</v>
      </c>
      <c r="O155" s="747">
        <f t="shared" si="31"/>
        <v>0</v>
      </c>
      <c r="P155" s="747">
        <f t="shared" si="32"/>
        <v>0</v>
      </c>
      <c r="Q155" s="748">
        <f>Discount!$H$36</f>
        <v>0</v>
      </c>
      <c r="R155" s="748">
        <f t="shared" si="33"/>
        <v>0</v>
      </c>
      <c r="S155" s="748">
        <f t="shared" si="34"/>
        <v>0</v>
      </c>
      <c r="T155" s="749">
        <f t="shared" si="35"/>
        <v>0</v>
      </c>
      <c r="V155" s="850">
        <f t="shared" si="36"/>
        <v>0</v>
      </c>
      <c r="W155" s="749">
        <f t="shared" si="37"/>
        <v>0</v>
      </c>
      <c r="X155" s="749">
        <f t="shared" si="38"/>
        <v>0.18</v>
      </c>
      <c r="Y155" s="749">
        <f t="shared" si="39"/>
        <v>0</v>
      </c>
      <c r="Z155" s="749">
        <f t="shared" si="40"/>
        <v>0.18</v>
      </c>
      <c r="AA155" s="749">
        <f t="shared" si="41"/>
        <v>0</v>
      </c>
      <c r="AB155" s="526">
        <f t="shared" si="42"/>
        <v>0</v>
      </c>
      <c r="AC155" s="526">
        <f t="shared" si="43"/>
        <v>0</v>
      </c>
      <c r="AD155" s="526">
        <f t="shared" si="44"/>
        <v>0</v>
      </c>
    </row>
    <row r="156" spans="1:30" ht="47.25">
      <c r="A156" s="759">
        <v>139</v>
      </c>
      <c r="B156" s="529">
        <v>7000016907</v>
      </c>
      <c r="C156" s="529">
        <v>2190</v>
      </c>
      <c r="D156" s="529" t="s">
        <v>676</v>
      </c>
      <c r="E156" s="529">
        <v>1000022487</v>
      </c>
      <c r="F156" s="529">
        <v>85447090</v>
      </c>
      <c r="G156" s="716"/>
      <c r="H156" s="529">
        <v>18</v>
      </c>
      <c r="I156" s="541"/>
      <c r="J156" s="715" t="s">
        <v>622</v>
      </c>
      <c r="K156" s="529" t="s">
        <v>299</v>
      </c>
      <c r="L156" s="529">
        <v>1</v>
      </c>
      <c r="M156" s="717"/>
      <c r="N156" s="530" t="str">
        <f t="shared" ref="N156" si="45">IF(M156=0, "INCLUDED", IF(ISERROR(M156*L156), M156, M156*L156))</f>
        <v>INCLUDED</v>
      </c>
      <c r="O156" s="747">
        <f t="shared" ref="O156" si="46">IF(N156="Included",0,N156)</f>
        <v>0</v>
      </c>
      <c r="P156" s="747">
        <f t="shared" ref="P156" si="47">IF( I156="",H156*(IF(N156="Included",0,N156))/100,I156*(IF(N156="Included",0,N156)))</f>
        <v>0</v>
      </c>
      <c r="Q156" s="748">
        <f>Discount!$H$36</f>
        <v>0</v>
      </c>
      <c r="R156" s="748">
        <f t="shared" ref="R156" si="48">Q156*O156</f>
        <v>0</v>
      </c>
      <c r="S156" s="748">
        <f t="shared" ref="S156" si="49">IF(I156="",H156*R156/100,I156*R156)</f>
        <v>0</v>
      </c>
      <c r="T156" s="749">
        <f t="shared" ref="T156" si="50">M156*L156</f>
        <v>0</v>
      </c>
      <c r="V156" s="850">
        <f t="shared" ref="V156" si="51">ROUND(M156,2)</f>
        <v>0</v>
      </c>
      <c r="W156" s="749">
        <f t="shared" ref="W156" si="52">L156*V156</f>
        <v>0</v>
      </c>
      <c r="X156" s="749">
        <f t="shared" ref="X156" si="53">IF(I156="",H156/100,I156)</f>
        <v>0.18</v>
      </c>
      <c r="Y156" s="749">
        <f t="shared" ref="Y156" si="54">IF(X156=0.12,0.12,0)</f>
        <v>0</v>
      </c>
      <c r="Z156" s="749">
        <f t="shared" ref="Z156" si="55">IF(X156=0.18,0.18,0)</f>
        <v>0.18</v>
      </c>
      <c r="AA156" s="749">
        <f t="shared" ref="AA156" si="56">IF(X156=0.28,0.28,0)</f>
        <v>0</v>
      </c>
      <c r="AB156" s="526">
        <f t="shared" ref="AB156" si="57">W156*Y156</f>
        <v>0</v>
      </c>
      <c r="AC156" s="526">
        <f t="shared" ref="AC156" si="58">W156*Z156</f>
        <v>0</v>
      </c>
      <c r="AD156" s="526">
        <f t="shared" ref="AD156" si="59">W156*AA156</f>
        <v>0</v>
      </c>
    </row>
    <row r="157" spans="1:30" s="869" customFormat="1" ht="33.75" customHeight="1">
      <c r="A157" s="759"/>
      <c r="B157" s="863" t="s">
        <v>743</v>
      </c>
      <c r="C157" s="864"/>
      <c r="D157" s="865"/>
      <c r="E157" s="865"/>
      <c r="F157" s="865"/>
      <c r="G157" s="865"/>
      <c r="H157" s="865"/>
      <c r="I157" s="865"/>
      <c r="J157" s="865"/>
      <c r="K157" s="865"/>
      <c r="L157" s="865"/>
      <c r="M157" s="865"/>
      <c r="N157" s="865"/>
      <c r="O157" s="866">
        <f t="shared" ref="O157:O217" si="60">IF(N157="Included",0,N157)</f>
        <v>0</v>
      </c>
      <c r="P157" s="866">
        <f t="shared" ref="P157:P217" si="61">IF( I157="",H157*(IF(N157="Included",0,N157))/100,I157*(IF(N157="Included",0,N157)))</f>
        <v>0</v>
      </c>
      <c r="Q157" s="867">
        <f>Discount!$H$36</f>
        <v>0</v>
      </c>
      <c r="R157" s="867">
        <f t="shared" ref="R157:R217" si="62">Q157*O157</f>
        <v>0</v>
      </c>
      <c r="S157" s="867">
        <f t="shared" ref="S157:S217" si="63">IF(I157="",H157*R157/100,I157*R157)</f>
        <v>0</v>
      </c>
      <c r="T157" s="868">
        <f t="shared" ref="T157:T217" si="64">M157*L157</f>
        <v>0</v>
      </c>
      <c r="V157" s="869">
        <f t="shared" ref="V157:V217" si="65">ROUND(M157,2)</f>
        <v>0</v>
      </c>
      <c r="W157" s="870">
        <f t="shared" ref="W157:W217" si="66">L157*V157</f>
        <v>0</v>
      </c>
      <c r="X157" s="871">
        <f t="shared" ref="X157:X217" si="67">IF(I157="",H157/100,I157)</f>
        <v>0</v>
      </c>
      <c r="Y157" s="869">
        <f t="shared" ref="Y157:Y217" si="68">IF(X157=0.12,0.12,0)</f>
        <v>0</v>
      </c>
      <c r="Z157" s="869">
        <f t="shared" ref="Z157:Z217" si="69">IF(X157=0.18,0.18,0)</f>
        <v>0</v>
      </c>
      <c r="AA157" s="869">
        <f t="shared" ref="AA157:AA217" si="70">IF(X157=0.28,0.28,0)</f>
        <v>0</v>
      </c>
      <c r="AB157" s="870">
        <f t="shared" ref="AB157:AB217" si="71">W157*Y157</f>
        <v>0</v>
      </c>
      <c r="AC157" s="870">
        <f t="shared" ref="AC157:AC217" si="72">W157*Z157</f>
        <v>0</v>
      </c>
      <c r="AD157" s="870">
        <f t="shared" ref="AD157:AD217" si="73">W157*AA157</f>
        <v>0</v>
      </c>
    </row>
    <row r="158" spans="1:30" ht="31.5">
      <c r="A158" s="759">
        <v>140</v>
      </c>
      <c r="B158" s="529">
        <v>7000016906</v>
      </c>
      <c r="C158" s="529">
        <v>10</v>
      </c>
      <c r="D158" s="529" t="s">
        <v>581</v>
      </c>
      <c r="E158" s="529">
        <v>1000004501</v>
      </c>
      <c r="F158" s="529">
        <v>85352913</v>
      </c>
      <c r="G158" s="716"/>
      <c r="H158" s="529">
        <v>18</v>
      </c>
      <c r="I158" s="541"/>
      <c r="J158" s="715" t="s">
        <v>584</v>
      </c>
      <c r="K158" s="529" t="s">
        <v>299</v>
      </c>
      <c r="L158" s="529">
        <v>2</v>
      </c>
      <c r="M158" s="717"/>
      <c r="N158" s="530" t="str">
        <f t="shared" ref="N158:N217" si="74">IF(M158=0, "INCLUDED", IF(ISERROR(M158*L158), M158, M158*L158))</f>
        <v>INCLUDED</v>
      </c>
      <c r="O158" s="747">
        <f t="shared" si="60"/>
        <v>0</v>
      </c>
      <c r="P158" s="747">
        <f t="shared" si="61"/>
        <v>0</v>
      </c>
      <c r="Q158" s="748">
        <f>Discount!$H$36</f>
        <v>0</v>
      </c>
      <c r="R158" s="748">
        <f t="shared" si="62"/>
        <v>0</v>
      </c>
      <c r="S158" s="748">
        <f t="shared" si="63"/>
        <v>0</v>
      </c>
      <c r="T158" s="749">
        <f t="shared" si="64"/>
        <v>0</v>
      </c>
      <c r="V158" s="850">
        <f t="shared" si="65"/>
        <v>0</v>
      </c>
      <c r="W158" s="749">
        <f t="shared" si="66"/>
        <v>0</v>
      </c>
      <c r="X158" s="749">
        <f t="shared" si="67"/>
        <v>0.18</v>
      </c>
      <c r="Y158" s="749">
        <f t="shared" si="68"/>
        <v>0</v>
      </c>
      <c r="Z158" s="749">
        <f t="shared" si="69"/>
        <v>0.18</v>
      </c>
      <c r="AA158" s="749">
        <f t="shared" si="70"/>
        <v>0</v>
      </c>
      <c r="AB158" s="526">
        <f t="shared" si="71"/>
        <v>0</v>
      </c>
      <c r="AC158" s="526">
        <f t="shared" si="72"/>
        <v>0</v>
      </c>
      <c r="AD158" s="526">
        <f t="shared" si="73"/>
        <v>0</v>
      </c>
    </row>
    <row r="159" spans="1:30" ht="31.5">
      <c r="A159" s="759">
        <v>141</v>
      </c>
      <c r="B159" s="529">
        <v>7000016906</v>
      </c>
      <c r="C159" s="529">
        <v>20</v>
      </c>
      <c r="D159" s="529" t="s">
        <v>581</v>
      </c>
      <c r="E159" s="529">
        <v>1000004463</v>
      </c>
      <c r="F159" s="529">
        <v>85359090</v>
      </c>
      <c r="G159" s="716"/>
      <c r="H159" s="529">
        <v>18</v>
      </c>
      <c r="I159" s="541"/>
      <c r="J159" s="715" t="s">
        <v>585</v>
      </c>
      <c r="K159" s="529" t="s">
        <v>299</v>
      </c>
      <c r="L159" s="529">
        <v>6</v>
      </c>
      <c r="M159" s="717"/>
      <c r="N159" s="530" t="str">
        <f t="shared" si="74"/>
        <v>INCLUDED</v>
      </c>
      <c r="O159" s="747">
        <f t="shared" si="60"/>
        <v>0</v>
      </c>
      <c r="P159" s="747">
        <f t="shared" si="61"/>
        <v>0</v>
      </c>
      <c r="Q159" s="748">
        <f>Discount!$H$36</f>
        <v>0</v>
      </c>
      <c r="R159" s="748">
        <f t="shared" si="62"/>
        <v>0</v>
      </c>
      <c r="S159" s="748">
        <f t="shared" si="63"/>
        <v>0</v>
      </c>
      <c r="T159" s="749">
        <f t="shared" si="64"/>
        <v>0</v>
      </c>
      <c r="V159" s="850">
        <f t="shared" si="65"/>
        <v>0</v>
      </c>
      <c r="W159" s="749">
        <f t="shared" si="66"/>
        <v>0</v>
      </c>
      <c r="X159" s="749">
        <f t="shared" si="67"/>
        <v>0.18</v>
      </c>
      <c r="Y159" s="749">
        <f t="shared" si="68"/>
        <v>0</v>
      </c>
      <c r="Z159" s="749">
        <f t="shared" si="69"/>
        <v>0.18</v>
      </c>
      <c r="AA159" s="749">
        <f t="shared" si="70"/>
        <v>0</v>
      </c>
      <c r="AB159" s="526">
        <f t="shared" si="71"/>
        <v>0</v>
      </c>
      <c r="AC159" s="526">
        <f t="shared" si="72"/>
        <v>0</v>
      </c>
      <c r="AD159" s="526">
        <f t="shared" si="73"/>
        <v>0</v>
      </c>
    </row>
    <row r="160" spans="1:30" ht="31.5">
      <c r="A160" s="759">
        <v>142</v>
      </c>
      <c r="B160" s="529">
        <v>7000016906</v>
      </c>
      <c r="C160" s="529">
        <v>30</v>
      </c>
      <c r="D160" s="529" t="s">
        <v>581</v>
      </c>
      <c r="E160" s="529">
        <v>1000004535</v>
      </c>
      <c r="F160" s="529">
        <v>85359090</v>
      </c>
      <c r="G160" s="716"/>
      <c r="H160" s="529">
        <v>18</v>
      </c>
      <c r="I160" s="541"/>
      <c r="J160" s="715" t="s">
        <v>586</v>
      </c>
      <c r="K160" s="529" t="s">
        <v>299</v>
      </c>
      <c r="L160" s="529">
        <v>6</v>
      </c>
      <c r="M160" s="717"/>
      <c r="N160" s="530" t="str">
        <f t="shared" si="74"/>
        <v>INCLUDED</v>
      </c>
      <c r="O160" s="747">
        <f t="shared" si="60"/>
        <v>0</v>
      </c>
      <c r="P160" s="747">
        <f t="shared" si="61"/>
        <v>0</v>
      </c>
      <c r="Q160" s="748">
        <f>Discount!$H$36</f>
        <v>0</v>
      </c>
      <c r="R160" s="748">
        <f t="shared" si="62"/>
        <v>0</v>
      </c>
      <c r="S160" s="748">
        <f t="shared" si="63"/>
        <v>0</v>
      </c>
      <c r="T160" s="749">
        <f t="shared" si="64"/>
        <v>0</v>
      </c>
      <c r="V160" s="850">
        <f t="shared" si="65"/>
        <v>0</v>
      </c>
      <c r="W160" s="749">
        <f t="shared" si="66"/>
        <v>0</v>
      </c>
      <c r="X160" s="749">
        <f t="shared" si="67"/>
        <v>0.18</v>
      </c>
      <c r="Y160" s="749">
        <f t="shared" si="68"/>
        <v>0</v>
      </c>
      <c r="Z160" s="749">
        <f t="shared" si="69"/>
        <v>0.18</v>
      </c>
      <c r="AA160" s="749">
        <f t="shared" si="70"/>
        <v>0</v>
      </c>
      <c r="AB160" s="526">
        <f t="shared" si="71"/>
        <v>0</v>
      </c>
      <c r="AC160" s="526">
        <f t="shared" si="72"/>
        <v>0</v>
      </c>
      <c r="AD160" s="526">
        <f t="shared" si="73"/>
        <v>0</v>
      </c>
    </row>
    <row r="161" spans="1:30" ht="31.5">
      <c r="A161" s="759">
        <v>143</v>
      </c>
      <c r="B161" s="529">
        <v>7000016906</v>
      </c>
      <c r="C161" s="529">
        <v>40</v>
      </c>
      <c r="D161" s="529" t="s">
        <v>581</v>
      </c>
      <c r="E161" s="529">
        <v>1000004498</v>
      </c>
      <c r="F161" s="529">
        <v>85353090</v>
      </c>
      <c r="G161" s="716"/>
      <c r="H161" s="529">
        <v>18</v>
      </c>
      <c r="I161" s="541"/>
      <c r="J161" s="715" t="s">
        <v>587</v>
      </c>
      <c r="K161" s="529" t="s">
        <v>299</v>
      </c>
      <c r="L161" s="529">
        <v>2</v>
      </c>
      <c r="M161" s="717"/>
      <c r="N161" s="530" t="str">
        <f t="shared" si="74"/>
        <v>INCLUDED</v>
      </c>
      <c r="O161" s="747">
        <f t="shared" si="60"/>
        <v>0</v>
      </c>
      <c r="P161" s="747">
        <f t="shared" si="61"/>
        <v>0</v>
      </c>
      <c r="Q161" s="748">
        <f>Discount!$H$36</f>
        <v>0</v>
      </c>
      <c r="R161" s="748">
        <f t="shared" si="62"/>
        <v>0</v>
      </c>
      <c r="S161" s="748">
        <f t="shared" si="63"/>
        <v>0</v>
      </c>
      <c r="T161" s="749">
        <f t="shared" si="64"/>
        <v>0</v>
      </c>
      <c r="V161" s="850">
        <f t="shared" si="65"/>
        <v>0</v>
      </c>
      <c r="W161" s="749">
        <f t="shared" si="66"/>
        <v>0</v>
      </c>
      <c r="X161" s="749">
        <f t="shared" si="67"/>
        <v>0.18</v>
      </c>
      <c r="Y161" s="749">
        <f t="shared" si="68"/>
        <v>0</v>
      </c>
      <c r="Z161" s="749">
        <f t="shared" si="69"/>
        <v>0.18</v>
      </c>
      <c r="AA161" s="749">
        <f t="shared" si="70"/>
        <v>0</v>
      </c>
      <c r="AB161" s="526">
        <f t="shared" si="71"/>
        <v>0</v>
      </c>
      <c r="AC161" s="526">
        <f t="shared" si="72"/>
        <v>0</v>
      </c>
      <c r="AD161" s="526">
        <f t="shared" si="73"/>
        <v>0</v>
      </c>
    </row>
    <row r="162" spans="1:30" ht="31.5">
      <c r="A162" s="759">
        <v>144</v>
      </c>
      <c r="B162" s="529">
        <v>7000016906</v>
      </c>
      <c r="C162" s="529">
        <v>50</v>
      </c>
      <c r="D162" s="529" t="s">
        <v>581</v>
      </c>
      <c r="E162" s="529">
        <v>1000004401</v>
      </c>
      <c r="F162" s="529">
        <v>85462040</v>
      </c>
      <c r="G162" s="716"/>
      <c r="H162" s="529">
        <v>18</v>
      </c>
      <c r="I162" s="541"/>
      <c r="J162" s="715" t="s">
        <v>532</v>
      </c>
      <c r="K162" s="529" t="s">
        <v>299</v>
      </c>
      <c r="L162" s="529">
        <v>48</v>
      </c>
      <c r="M162" s="717"/>
      <c r="N162" s="530" t="str">
        <f t="shared" si="74"/>
        <v>INCLUDED</v>
      </c>
      <c r="O162" s="747">
        <f t="shared" si="60"/>
        <v>0</v>
      </c>
      <c r="P162" s="747">
        <f t="shared" si="61"/>
        <v>0</v>
      </c>
      <c r="Q162" s="748">
        <f>Discount!$H$36</f>
        <v>0</v>
      </c>
      <c r="R162" s="748">
        <f t="shared" si="62"/>
        <v>0</v>
      </c>
      <c r="S162" s="748">
        <f t="shared" si="63"/>
        <v>0</v>
      </c>
      <c r="T162" s="749">
        <f t="shared" si="64"/>
        <v>0</v>
      </c>
      <c r="V162" s="850">
        <f t="shared" si="65"/>
        <v>0</v>
      </c>
      <c r="W162" s="749">
        <f t="shared" si="66"/>
        <v>0</v>
      </c>
      <c r="X162" s="749">
        <f t="shared" si="67"/>
        <v>0.18</v>
      </c>
      <c r="Y162" s="749">
        <f t="shared" si="68"/>
        <v>0</v>
      </c>
      <c r="Z162" s="749">
        <f t="shared" si="69"/>
        <v>0.18</v>
      </c>
      <c r="AA162" s="749">
        <f t="shared" si="70"/>
        <v>0</v>
      </c>
      <c r="AB162" s="526">
        <f t="shared" si="71"/>
        <v>0</v>
      </c>
      <c r="AC162" s="526">
        <f t="shared" si="72"/>
        <v>0</v>
      </c>
      <c r="AD162" s="526">
        <f t="shared" si="73"/>
        <v>0</v>
      </c>
    </row>
    <row r="163" spans="1:30" ht="31.5">
      <c r="A163" s="759">
        <v>145</v>
      </c>
      <c r="B163" s="529">
        <v>7000016906</v>
      </c>
      <c r="C163" s="529">
        <v>60</v>
      </c>
      <c r="D163" s="529" t="s">
        <v>581</v>
      </c>
      <c r="E163" s="529">
        <v>1000004503</v>
      </c>
      <c r="F163" s="529">
        <v>85353090</v>
      </c>
      <c r="G163" s="716"/>
      <c r="H163" s="529">
        <v>18</v>
      </c>
      <c r="I163" s="541"/>
      <c r="J163" s="715" t="s">
        <v>748</v>
      </c>
      <c r="K163" s="529" t="s">
        <v>299</v>
      </c>
      <c r="L163" s="529">
        <v>4</v>
      </c>
      <c r="M163" s="717"/>
      <c r="N163" s="530" t="str">
        <f t="shared" si="74"/>
        <v>INCLUDED</v>
      </c>
      <c r="O163" s="747">
        <f t="shared" si="60"/>
        <v>0</v>
      </c>
      <c r="P163" s="747">
        <f t="shared" si="61"/>
        <v>0</v>
      </c>
      <c r="Q163" s="748">
        <f>Discount!$H$36</f>
        <v>0</v>
      </c>
      <c r="R163" s="748">
        <f t="shared" si="62"/>
        <v>0</v>
      </c>
      <c r="S163" s="748">
        <f t="shared" si="63"/>
        <v>0</v>
      </c>
      <c r="T163" s="749">
        <f t="shared" si="64"/>
        <v>0</v>
      </c>
      <c r="V163" s="850">
        <f t="shared" si="65"/>
        <v>0</v>
      </c>
      <c r="W163" s="749">
        <f t="shared" si="66"/>
        <v>0</v>
      </c>
      <c r="X163" s="749">
        <f t="shared" si="67"/>
        <v>0.18</v>
      </c>
      <c r="Y163" s="749">
        <f t="shared" si="68"/>
        <v>0</v>
      </c>
      <c r="Z163" s="749">
        <f t="shared" si="69"/>
        <v>0.18</v>
      </c>
      <c r="AA163" s="749">
        <f t="shared" si="70"/>
        <v>0</v>
      </c>
      <c r="AB163" s="526">
        <f t="shared" si="71"/>
        <v>0</v>
      </c>
      <c r="AC163" s="526">
        <f t="shared" si="72"/>
        <v>0</v>
      </c>
      <c r="AD163" s="526">
        <f t="shared" si="73"/>
        <v>0</v>
      </c>
    </row>
    <row r="164" spans="1:30" ht="31.5">
      <c r="A164" s="759">
        <v>146</v>
      </c>
      <c r="B164" s="529">
        <v>7000016906</v>
      </c>
      <c r="C164" s="529">
        <v>70</v>
      </c>
      <c r="D164" s="529" t="s">
        <v>581</v>
      </c>
      <c r="E164" s="529">
        <v>1000004504</v>
      </c>
      <c r="F164" s="529">
        <v>85353090</v>
      </c>
      <c r="G164" s="716"/>
      <c r="H164" s="529">
        <v>18</v>
      </c>
      <c r="I164" s="541"/>
      <c r="J164" s="715" t="s">
        <v>749</v>
      </c>
      <c r="K164" s="529" t="s">
        <v>299</v>
      </c>
      <c r="L164" s="529">
        <v>2</v>
      </c>
      <c r="M164" s="717"/>
      <c r="N164" s="530" t="str">
        <f t="shared" si="74"/>
        <v>INCLUDED</v>
      </c>
      <c r="O164" s="747">
        <f t="shared" si="60"/>
        <v>0</v>
      </c>
      <c r="P164" s="747">
        <f t="shared" si="61"/>
        <v>0</v>
      </c>
      <c r="Q164" s="748">
        <f>Discount!$H$36</f>
        <v>0</v>
      </c>
      <c r="R164" s="748">
        <f t="shared" si="62"/>
        <v>0</v>
      </c>
      <c r="S164" s="748">
        <f t="shared" si="63"/>
        <v>0</v>
      </c>
      <c r="T164" s="749">
        <f t="shared" si="64"/>
        <v>0</v>
      </c>
      <c r="V164" s="850">
        <f t="shared" si="65"/>
        <v>0</v>
      </c>
      <c r="W164" s="749">
        <f t="shared" si="66"/>
        <v>0</v>
      </c>
      <c r="X164" s="749">
        <f t="shared" si="67"/>
        <v>0.18</v>
      </c>
      <c r="Y164" s="749">
        <f t="shared" si="68"/>
        <v>0</v>
      </c>
      <c r="Z164" s="749">
        <f t="shared" si="69"/>
        <v>0.18</v>
      </c>
      <c r="AA164" s="749">
        <f t="shared" si="70"/>
        <v>0</v>
      </c>
      <c r="AB164" s="526">
        <f t="shared" si="71"/>
        <v>0</v>
      </c>
      <c r="AC164" s="526">
        <f t="shared" si="72"/>
        <v>0</v>
      </c>
      <c r="AD164" s="526">
        <f t="shared" si="73"/>
        <v>0</v>
      </c>
    </row>
    <row r="165" spans="1:30" ht="47.25">
      <c r="A165" s="759">
        <v>147</v>
      </c>
      <c r="B165" s="529">
        <v>7000016906</v>
      </c>
      <c r="C165" s="529">
        <v>80</v>
      </c>
      <c r="D165" s="529" t="s">
        <v>522</v>
      </c>
      <c r="E165" s="529">
        <v>1000055984</v>
      </c>
      <c r="F165" s="529">
        <v>72169990</v>
      </c>
      <c r="G165" s="716"/>
      <c r="H165" s="529">
        <v>18</v>
      </c>
      <c r="I165" s="541"/>
      <c r="J165" s="715" t="s">
        <v>593</v>
      </c>
      <c r="K165" s="529" t="s">
        <v>299</v>
      </c>
      <c r="L165" s="529">
        <v>6</v>
      </c>
      <c r="M165" s="717"/>
      <c r="N165" s="530" t="str">
        <f t="shared" si="74"/>
        <v>INCLUDED</v>
      </c>
      <c r="O165" s="747">
        <f t="shared" si="60"/>
        <v>0</v>
      </c>
      <c r="P165" s="747">
        <f t="shared" si="61"/>
        <v>0</v>
      </c>
      <c r="Q165" s="748">
        <f>Discount!$H$36</f>
        <v>0</v>
      </c>
      <c r="R165" s="748">
        <f t="shared" si="62"/>
        <v>0</v>
      </c>
      <c r="S165" s="748">
        <f t="shared" si="63"/>
        <v>0</v>
      </c>
      <c r="T165" s="749">
        <f t="shared" si="64"/>
        <v>0</v>
      </c>
      <c r="V165" s="850">
        <f t="shared" si="65"/>
        <v>0</v>
      </c>
      <c r="W165" s="749">
        <f t="shared" si="66"/>
        <v>0</v>
      </c>
      <c r="X165" s="749">
        <f t="shared" si="67"/>
        <v>0.18</v>
      </c>
      <c r="Y165" s="749">
        <f t="shared" si="68"/>
        <v>0</v>
      </c>
      <c r="Z165" s="749">
        <f t="shared" si="69"/>
        <v>0.18</v>
      </c>
      <c r="AA165" s="749">
        <f t="shared" si="70"/>
        <v>0</v>
      </c>
      <c r="AB165" s="526">
        <f t="shared" si="71"/>
        <v>0</v>
      </c>
      <c r="AC165" s="526">
        <f t="shared" si="72"/>
        <v>0</v>
      </c>
      <c r="AD165" s="526">
        <f t="shared" si="73"/>
        <v>0</v>
      </c>
    </row>
    <row r="166" spans="1:30" ht="47.25">
      <c r="A166" s="759">
        <v>148</v>
      </c>
      <c r="B166" s="529">
        <v>7000016906</v>
      </c>
      <c r="C166" s="529">
        <v>90</v>
      </c>
      <c r="D166" s="529" t="s">
        <v>522</v>
      </c>
      <c r="E166" s="529">
        <v>1000055991</v>
      </c>
      <c r="F166" s="529">
        <v>72169990</v>
      </c>
      <c r="G166" s="716"/>
      <c r="H166" s="529">
        <v>18</v>
      </c>
      <c r="I166" s="541"/>
      <c r="J166" s="715" t="s">
        <v>592</v>
      </c>
      <c r="K166" s="529" t="s">
        <v>299</v>
      </c>
      <c r="L166" s="529">
        <v>6</v>
      </c>
      <c r="M166" s="717"/>
      <c r="N166" s="530" t="str">
        <f t="shared" si="74"/>
        <v>INCLUDED</v>
      </c>
      <c r="O166" s="747">
        <f t="shared" si="60"/>
        <v>0</v>
      </c>
      <c r="P166" s="747">
        <f t="shared" si="61"/>
        <v>0</v>
      </c>
      <c r="Q166" s="748">
        <f>Discount!$H$36</f>
        <v>0</v>
      </c>
      <c r="R166" s="748">
        <f t="shared" si="62"/>
        <v>0</v>
      </c>
      <c r="S166" s="748">
        <f t="shared" si="63"/>
        <v>0</v>
      </c>
      <c r="T166" s="749">
        <f t="shared" si="64"/>
        <v>0</v>
      </c>
      <c r="V166" s="850">
        <f t="shared" si="65"/>
        <v>0</v>
      </c>
      <c r="W166" s="749">
        <f t="shared" si="66"/>
        <v>0</v>
      </c>
      <c r="X166" s="749">
        <f t="shared" si="67"/>
        <v>0.18</v>
      </c>
      <c r="Y166" s="749">
        <f t="shared" si="68"/>
        <v>0</v>
      </c>
      <c r="Z166" s="749">
        <f t="shared" si="69"/>
        <v>0.18</v>
      </c>
      <c r="AA166" s="749">
        <f t="shared" si="70"/>
        <v>0</v>
      </c>
      <c r="AB166" s="526">
        <f t="shared" si="71"/>
        <v>0</v>
      </c>
      <c r="AC166" s="526">
        <f t="shared" si="72"/>
        <v>0</v>
      </c>
      <c r="AD166" s="526">
        <f t="shared" si="73"/>
        <v>0</v>
      </c>
    </row>
    <row r="167" spans="1:30" ht="47.25">
      <c r="A167" s="759">
        <v>149</v>
      </c>
      <c r="B167" s="529">
        <v>7000016906</v>
      </c>
      <c r="C167" s="529">
        <v>100</v>
      </c>
      <c r="D167" s="529" t="s">
        <v>522</v>
      </c>
      <c r="E167" s="529">
        <v>1000055985</v>
      </c>
      <c r="F167" s="529">
        <v>72169990</v>
      </c>
      <c r="G167" s="716"/>
      <c r="H167" s="529">
        <v>18</v>
      </c>
      <c r="I167" s="541"/>
      <c r="J167" s="715" t="s">
        <v>750</v>
      </c>
      <c r="K167" s="529" t="s">
        <v>299</v>
      </c>
      <c r="L167" s="529">
        <v>3</v>
      </c>
      <c r="M167" s="717"/>
      <c r="N167" s="530" t="str">
        <f t="shared" si="74"/>
        <v>INCLUDED</v>
      </c>
      <c r="O167" s="747">
        <f t="shared" si="60"/>
        <v>0</v>
      </c>
      <c r="P167" s="747">
        <f t="shared" si="61"/>
        <v>0</v>
      </c>
      <c r="Q167" s="748">
        <f>Discount!$H$36</f>
        <v>0</v>
      </c>
      <c r="R167" s="748">
        <f t="shared" si="62"/>
        <v>0</v>
      </c>
      <c r="S167" s="748">
        <f t="shared" si="63"/>
        <v>0</v>
      </c>
      <c r="T167" s="749">
        <f t="shared" si="64"/>
        <v>0</v>
      </c>
      <c r="V167" s="850">
        <f t="shared" si="65"/>
        <v>0</v>
      </c>
      <c r="W167" s="749">
        <f t="shared" si="66"/>
        <v>0</v>
      </c>
      <c r="X167" s="749">
        <f t="shared" si="67"/>
        <v>0.18</v>
      </c>
      <c r="Y167" s="749">
        <f t="shared" si="68"/>
        <v>0</v>
      </c>
      <c r="Z167" s="749">
        <f t="shared" si="69"/>
        <v>0.18</v>
      </c>
      <c r="AA167" s="749">
        <f t="shared" si="70"/>
        <v>0</v>
      </c>
      <c r="AB167" s="526">
        <f t="shared" si="71"/>
        <v>0</v>
      </c>
      <c r="AC167" s="526">
        <f t="shared" si="72"/>
        <v>0</v>
      </c>
      <c r="AD167" s="526">
        <f t="shared" si="73"/>
        <v>0</v>
      </c>
    </row>
    <row r="168" spans="1:30" ht="47.25">
      <c r="A168" s="759">
        <v>150</v>
      </c>
      <c r="B168" s="529">
        <v>7000016906</v>
      </c>
      <c r="C168" s="529">
        <v>110</v>
      </c>
      <c r="D168" s="529" t="s">
        <v>522</v>
      </c>
      <c r="E168" s="529">
        <v>1000055990</v>
      </c>
      <c r="F168" s="529">
        <v>72169990</v>
      </c>
      <c r="G168" s="716"/>
      <c r="H168" s="529">
        <v>18</v>
      </c>
      <c r="I168" s="541"/>
      <c r="J168" s="715" t="s">
        <v>751</v>
      </c>
      <c r="K168" s="529" t="s">
        <v>299</v>
      </c>
      <c r="L168" s="529">
        <v>3</v>
      </c>
      <c r="M168" s="717"/>
      <c r="N168" s="530" t="str">
        <f t="shared" si="74"/>
        <v>INCLUDED</v>
      </c>
      <c r="O168" s="747">
        <f t="shared" si="60"/>
        <v>0</v>
      </c>
      <c r="P168" s="747">
        <f t="shared" si="61"/>
        <v>0</v>
      </c>
      <c r="Q168" s="748">
        <f>Discount!$H$36</f>
        <v>0</v>
      </c>
      <c r="R168" s="748">
        <f t="shared" si="62"/>
        <v>0</v>
      </c>
      <c r="S168" s="748">
        <f t="shared" si="63"/>
        <v>0</v>
      </c>
      <c r="T168" s="749">
        <f t="shared" si="64"/>
        <v>0</v>
      </c>
      <c r="V168" s="850">
        <f t="shared" si="65"/>
        <v>0</v>
      </c>
      <c r="W168" s="749">
        <f t="shared" si="66"/>
        <v>0</v>
      </c>
      <c r="X168" s="749">
        <f t="shared" si="67"/>
        <v>0.18</v>
      </c>
      <c r="Y168" s="749">
        <f t="shared" si="68"/>
        <v>0</v>
      </c>
      <c r="Z168" s="749">
        <f t="shared" si="69"/>
        <v>0.18</v>
      </c>
      <c r="AA168" s="749">
        <f t="shared" si="70"/>
        <v>0</v>
      </c>
      <c r="AB168" s="526">
        <f t="shared" si="71"/>
        <v>0</v>
      </c>
      <c r="AC168" s="526">
        <f t="shared" si="72"/>
        <v>0</v>
      </c>
      <c r="AD168" s="526">
        <f t="shared" si="73"/>
        <v>0</v>
      </c>
    </row>
    <row r="169" spans="1:30" ht="31.5">
      <c r="A169" s="759">
        <v>151</v>
      </c>
      <c r="B169" s="529">
        <v>7000016906</v>
      </c>
      <c r="C169" s="529">
        <v>120</v>
      </c>
      <c r="D169" s="529" t="s">
        <v>523</v>
      </c>
      <c r="E169" s="529">
        <v>1000002165</v>
      </c>
      <c r="F169" s="529">
        <v>85371000</v>
      </c>
      <c r="G169" s="716"/>
      <c r="H169" s="529">
        <v>18</v>
      </c>
      <c r="I169" s="541"/>
      <c r="J169" s="715" t="s">
        <v>595</v>
      </c>
      <c r="K169" s="529" t="s">
        <v>299</v>
      </c>
      <c r="L169" s="529">
        <v>2</v>
      </c>
      <c r="M169" s="717"/>
      <c r="N169" s="530" t="str">
        <f t="shared" ref="N169:N178" si="75">IF(M169=0, "INCLUDED", IF(ISERROR(M169*L169), M169, M169*L169))</f>
        <v>INCLUDED</v>
      </c>
      <c r="O169" s="747">
        <f t="shared" ref="O169:O178" si="76">IF(N169="Included",0,N169)</f>
        <v>0</v>
      </c>
      <c r="P169" s="747">
        <f t="shared" ref="P169:P178" si="77">IF( I169="",H169*(IF(N169="Included",0,N169))/100,I169*(IF(N169="Included",0,N169)))</f>
        <v>0</v>
      </c>
      <c r="Q169" s="748">
        <f>Discount!$H$36</f>
        <v>0</v>
      </c>
      <c r="R169" s="748">
        <f t="shared" ref="R169:R178" si="78">Q169*O169</f>
        <v>0</v>
      </c>
      <c r="S169" s="748">
        <f t="shared" ref="S169:S178" si="79">IF(I169="",H169*R169/100,I169*R169)</f>
        <v>0</v>
      </c>
      <c r="T169" s="749">
        <f t="shared" ref="T169:T178" si="80">M169*L169</f>
        <v>0</v>
      </c>
      <c r="V169" s="850">
        <f t="shared" ref="V169:V178" si="81">ROUND(M169,2)</f>
        <v>0</v>
      </c>
      <c r="W169" s="749">
        <f t="shared" ref="W169:W178" si="82">L169*V169</f>
        <v>0</v>
      </c>
      <c r="X169" s="749">
        <f t="shared" ref="X169:X178" si="83">IF(I169="",H169/100,I169)</f>
        <v>0.18</v>
      </c>
      <c r="Y169" s="749">
        <f t="shared" ref="Y169:Y178" si="84">IF(X169=0.12,0.12,0)</f>
        <v>0</v>
      </c>
      <c r="Z169" s="749">
        <f t="shared" ref="Z169:Z178" si="85">IF(X169=0.18,0.18,0)</f>
        <v>0.18</v>
      </c>
      <c r="AA169" s="749">
        <f t="shared" ref="AA169:AA178" si="86">IF(X169=0.28,0.28,0)</f>
        <v>0</v>
      </c>
      <c r="AB169" s="526">
        <f t="shared" ref="AB169:AB178" si="87">W169*Y169</f>
        <v>0</v>
      </c>
      <c r="AC169" s="526">
        <f t="shared" ref="AC169:AC178" si="88">W169*Z169</f>
        <v>0</v>
      </c>
      <c r="AD169" s="526">
        <f t="shared" ref="AD169:AD178" si="89">W169*AA169</f>
        <v>0</v>
      </c>
    </row>
    <row r="170" spans="1:30" ht="31.5">
      <c r="A170" s="759">
        <v>152</v>
      </c>
      <c r="B170" s="529">
        <v>7000016906</v>
      </c>
      <c r="C170" s="529">
        <v>130</v>
      </c>
      <c r="D170" s="529" t="s">
        <v>523</v>
      </c>
      <c r="E170" s="529">
        <v>1000003398</v>
      </c>
      <c r="F170" s="529">
        <v>85371000</v>
      </c>
      <c r="G170" s="716"/>
      <c r="H170" s="529">
        <v>18</v>
      </c>
      <c r="I170" s="541"/>
      <c r="J170" s="715" t="s">
        <v>698</v>
      </c>
      <c r="K170" s="529" t="s">
        <v>299</v>
      </c>
      <c r="L170" s="529">
        <v>2</v>
      </c>
      <c r="M170" s="717"/>
      <c r="N170" s="530" t="str">
        <f t="shared" si="75"/>
        <v>INCLUDED</v>
      </c>
      <c r="O170" s="747">
        <f t="shared" si="76"/>
        <v>0</v>
      </c>
      <c r="P170" s="747">
        <f t="shared" si="77"/>
        <v>0</v>
      </c>
      <c r="Q170" s="748">
        <f>Discount!$H$36</f>
        <v>0</v>
      </c>
      <c r="R170" s="748">
        <f t="shared" si="78"/>
        <v>0</v>
      </c>
      <c r="S170" s="748">
        <f t="shared" si="79"/>
        <v>0</v>
      </c>
      <c r="T170" s="749">
        <f t="shared" si="80"/>
        <v>0</v>
      </c>
      <c r="V170" s="850">
        <f t="shared" si="81"/>
        <v>0</v>
      </c>
      <c r="W170" s="749">
        <f t="shared" si="82"/>
        <v>0</v>
      </c>
      <c r="X170" s="749">
        <f t="shared" si="83"/>
        <v>0.18</v>
      </c>
      <c r="Y170" s="749">
        <f t="shared" si="84"/>
        <v>0</v>
      </c>
      <c r="Z170" s="749">
        <f t="shared" si="85"/>
        <v>0.18</v>
      </c>
      <c r="AA170" s="749">
        <f t="shared" si="86"/>
        <v>0</v>
      </c>
      <c r="AB170" s="526">
        <f t="shared" si="87"/>
        <v>0</v>
      </c>
      <c r="AC170" s="526">
        <f t="shared" si="88"/>
        <v>0</v>
      </c>
      <c r="AD170" s="526">
        <f t="shared" si="89"/>
        <v>0</v>
      </c>
    </row>
    <row r="171" spans="1:30" ht="31.5">
      <c r="A171" s="759">
        <v>153</v>
      </c>
      <c r="B171" s="529">
        <v>7000016906</v>
      </c>
      <c r="C171" s="529">
        <v>140</v>
      </c>
      <c r="D171" s="529" t="s">
        <v>523</v>
      </c>
      <c r="E171" s="529">
        <v>1000002146</v>
      </c>
      <c r="F171" s="529">
        <v>85371000</v>
      </c>
      <c r="G171" s="716"/>
      <c r="H171" s="529">
        <v>18</v>
      </c>
      <c r="I171" s="541"/>
      <c r="J171" s="715" t="s">
        <v>596</v>
      </c>
      <c r="K171" s="529" t="s">
        <v>300</v>
      </c>
      <c r="L171" s="529">
        <v>1</v>
      </c>
      <c r="M171" s="717"/>
      <c r="N171" s="530" t="str">
        <f t="shared" si="75"/>
        <v>INCLUDED</v>
      </c>
      <c r="O171" s="747">
        <f t="shared" si="76"/>
        <v>0</v>
      </c>
      <c r="P171" s="747">
        <f t="shared" si="77"/>
        <v>0</v>
      </c>
      <c r="Q171" s="748">
        <f>Discount!$H$36</f>
        <v>0</v>
      </c>
      <c r="R171" s="748">
        <f t="shared" si="78"/>
        <v>0</v>
      </c>
      <c r="S171" s="748">
        <f t="shared" si="79"/>
        <v>0</v>
      </c>
      <c r="T171" s="749">
        <f t="shared" si="80"/>
        <v>0</v>
      </c>
      <c r="V171" s="850">
        <f t="shared" si="81"/>
        <v>0</v>
      </c>
      <c r="W171" s="749">
        <f t="shared" si="82"/>
        <v>0</v>
      </c>
      <c r="X171" s="749">
        <f t="shared" si="83"/>
        <v>0.18</v>
      </c>
      <c r="Y171" s="749">
        <f t="shared" si="84"/>
        <v>0</v>
      </c>
      <c r="Z171" s="749">
        <f t="shared" si="85"/>
        <v>0.18</v>
      </c>
      <c r="AA171" s="749">
        <f t="shared" si="86"/>
        <v>0</v>
      </c>
      <c r="AB171" s="526">
        <f t="shared" si="87"/>
        <v>0</v>
      </c>
      <c r="AC171" s="526">
        <f t="shared" si="88"/>
        <v>0</v>
      </c>
      <c r="AD171" s="526">
        <f t="shared" si="89"/>
        <v>0</v>
      </c>
    </row>
    <row r="172" spans="1:30" ht="31.5">
      <c r="A172" s="759">
        <v>154</v>
      </c>
      <c r="B172" s="529">
        <v>7000016906</v>
      </c>
      <c r="C172" s="529">
        <v>150</v>
      </c>
      <c r="D172" s="529" t="s">
        <v>524</v>
      </c>
      <c r="E172" s="529">
        <v>1000003409</v>
      </c>
      <c r="F172" s="529">
        <v>85371000</v>
      </c>
      <c r="G172" s="716"/>
      <c r="H172" s="529">
        <v>18</v>
      </c>
      <c r="I172" s="541"/>
      <c r="J172" s="715" t="s">
        <v>597</v>
      </c>
      <c r="K172" s="529" t="s">
        <v>299</v>
      </c>
      <c r="L172" s="529">
        <v>2</v>
      </c>
      <c r="M172" s="717"/>
      <c r="N172" s="530" t="str">
        <f t="shared" si="75"/>
        <v>INCLUDED</v>
      </c>
      <c r="O172" s="747">
        <f t="shared" si="76"/>
        <v>0</v>
      </c>
      <c r="P172" s="747">
        <f t="shared" si="77"/>
        <v>0</v>
      </c>
      <c r="Q172" s="748">
        <f>Discount!$H$36</f>
        <v>0</v>
      </c>
      <c r="R172" s="748">
        <f t="shared" si="78"/>
        <v>0</v>
      </c>
      <c r="S172" s="748">
        <f t="shared" si="79"/>
        <v>0</v>
      </c>
      <c r="T172" s="749">
        <f t="shared" si="80"/>
        <v>0</v>
      </c>
      <c r="V172" s="850">
        <f t="shared" si="81"/>
        <v>0</v>
      </c>
      <c r="W172" s="749">
        <f t="shared" si="82"/>
        <v>0</v>
      </c>
      <c r="X172" s="749">
        <f t="shared" si="83"/>
        <v>0.18</v>
      </c>
      <c r="Y172" s="749">
        <f t="shared" si="84"/>
        <v>0</v>
      </c>
      <c r="Z172" s="749">
        <f t="shared" si="85"/>
        <v>0.18</v>
      </c>
      <c r="AA172" s="749">
        <f t="shared" si="86"/>
        <v>0</v>
      </c>
      <c r="AB172" s="526">
        <f t="shared" si="87"/>
        <v>0</v>
      </c>
      <c r="AC172" s="526">
        <f t="shared" si="88"/>
        <v>0</v>
      </c>
      <c r="AD172" s="526">
        <f t="shared" si="89"/>
        <v>0</v>
      </c>
    </row>
    <row r="173" spans="1:30" ht="141.75">
      <c r="A173" s="759">
        <v>155</v>
      </c>
      <c r="B173" s="529">
        <v>7000016906</v>
      </c>
      <c r="C173" s="529">
        <v>160</v>
      </c>
      <c r="D173" s="529" t="s">
        <v>525</v>
      </c>
      <c r="E173" s="529">
        <v>1000030433</v>
      </c>
      <c r="F173" s="529">
        <v>85287390</v>
      </c>
      <c r="G173" s="716"/>
      <c r="H173" s="529">
        <v>18</v>
      </c>
      <c r="I173" s="541"/>
      <c r="J173" s="715" t="s">
        <v>533</v>
      </c>
      <c r="K173" s="529" t="s">
        <v>300</v>
      </c>
      <c r="L173" s="529">
        <v>1</v>
      </c>
      <c r="M173" s="717"/>
      <c r="N173" s="530" t="str">
        <f t="shared" si="75"/>
        <v>INCLUDED</v>
      </c>
      <c r="O173" s="747">
        <f t="shared" si="76"/>
        <v>0</v>
      </c>
      <c r="P173" s="747">
        <f t="shared" si="77"/>
        <v>0</v>
      </c>
      <c r="Q173" s="748">
        <f>Discount!$H$36</f>
        <v>0</v>
      </c>
      <c r="R173" s="748">
        <f t="shared" si="78"/>
        <v>0</v>
      </c>
      <c r="S173" s="748">
        <f t="shared" si="79"/>
        <v>0</v>
      </c>
      <c r="T173" s="749">
        <f t="shared" si="80"/>
        <v>0</v>
      </c>
      <c r="V173" s="850">
        <f t="shared" si="81"/>
        <v>0</v>
      </c>
      <c r="W173" s="749">
        <f t="shared" si="82"/>
        <v>0</v>
      </c>
      <c r="X173" s="749">
        <f t="shared" si="83"/>
        <v>0.18</v>
      </c>
      <c r="Y173" s="749">
        <f t="shared" si="84"/>
        <v>0</v>
      </c>
      <c r="Z173" s="749">
        <f t="shared" si="85"/>
        <v>0.18</v>
      </c>
      <c r="AA173" s="749">
        <f t="shared" si="86"/>
        <v>0</v>
      </c>
      <c r="AB173" s="526">
        <f t="shared" si="87"/>
        <v>0</v>
      </c>
      <c r="AC173" s="526">
        <f t="shared" si="88"/>
        <v>0</v>
      </c>
      <c r="AD173" s="526">
        <f t="shared" si="89"/>
        <v>0</v>
      </c>
    </row>
    <row r="174" spans="1:30">
      <c r="A174" s="759">
        <v>156</v>
      </c>
      <c r="B174" s="529">
        <v>7000016906</v>
      </c>
      <c r="C174" s="529">
        <v>170</v>
      </c>
      <c r="D174" s="529" t="s">
        <v>583</v>
      </c>
      <c r="E174" s="529">
        <v>1000004290</v>
      </c>
      <c r="F174" s="529">
        <v>85176210</v>
      </c>
      <c r="G174" s="716"/>
      <c r="H174" s="529">
        <v>18</v>
      </c>
      <c r="I174" s="541"/>
      <c r="J174" s="715" t="s">
        <v>599</v>
      </c>
      <c r="K174" s="529" t="s">
        <v>299</v>
      </c>
      <c r="L174" s="529">
        <v>4</v>
      </c>
      <c r="M174" s="717"/>
      <c r="N174" s="530" t="str">
        <f t="shared" si="75"/>
        <v>INCLUDED</v>
      </c>
      <c r="O174" s="747">
        <f t="shared" si="76"/>
        <v>0</v>
      </c>
      <c r="P174" s="747">
        <f t="shared" si="77"/>
        <v>0</v>
      </c>
      <c r="Q174" s="748">
        <f>Discount!$H$36</f>
        <v>0</v>
      </c>
      <c r="R174" s="748">
        <f t="shared" si="78"/>
        <v>0</v>
      </c>
      <c r="S174" s="748">
        <f t="shared" si="79"/>
        <v>0</v>
      </c>
      <c r="T174" s="749">
        <f t="shared" si="80"/>
        <v>0</v>
      </c>
      <c r="V174" s="850">
        <f t="shared" si="81"/>
        <v>0</v>
      </c>
      <c r="W174" s="749">
        <f t="shared" si="82"/>
        <v>0</v>
      </c>
      <c r="X174" s="749">
        <f t="shared" si="83"/>
        <v>0.18</v>
      </c>
      <c r="Y174" s="749">
        <f t="shared" si="84"/>
        <v>0</v>
      </c>
      <c r="Z174" s="749">
        <f t="shared" si="85"/>
        <v>0.18</v>
      </c>
      <c r="AA174" s="749">
        <f t="shared" si="86"/>
        <v>0</v>
      </c>
      <c r="AB174" s="526">
        <f t="shared" si="87"/>
        <v>0</v>
      </c>
      <c r="AC174" s="526">
        <f t="shared" si="88"/>
        <v>0</v>
      </c>
      <c r="AD174" s="526">
        <f t="shared" si="89"/>
        <v>0</v>
      </c>
    </row>
    <row r="175" spans="1:30">
      <c r="A175" s="759">
        <v>157</v>
      </c>
      <c r="B175" s="529">
        <v>7000016906</v>
      </c>
      <c r="C175" s="529">
        <v>180</v>
      </c>
      <c r="D175" s="529" t="s">
        <v>583</v>
      </c>
      <c r="E175" s="529">
        <v>1000004400</v>
      </c>
      <c r="F175" s="529">
        <v>85462040</v>
      </c>
      <c r="G175" s="716"/>
      <c r="H175" s="529">
        <v>18</v>
      </c>
      <c r="I175" s="541"/>
      <c r="J175" s="715" t="s">
        <v>588</v>
      </c>
      <c r="K175" s="529" t="s">
        <v>299</v>
      </c>
      <c r="L175" s="529">
        <v>12</v>
      </c>
      <c r="M175" s="717"/>
      <c r="N175" s="530" t="str">
        <f t="shared" si="75"/>
        <v>INCLUDED</v>
      </c>
      <c r="O175" s="747">
        <f t="shared" si="76"/>
        <v>0</v>
      </c>
      <c r="P175" s="747">
        <f t="shared" si="77"/>
        <v>0</v>
      </c>
      <c r="Q175" s="748">
        <f>Discount!$H$36</f>
        <v>0</v>
      </c>
      <c r="R175" s="748">
        <f t="shared" si="78"/>
        <v>0</v>
      </c>
      <c r="S175" s="748">
        <f t="shared" si="79"/>
        <v>0</v>
      </c>
      <c r="T175" s="749">
        <f t="shared" si="80"/>
        <v>0</v>
      </c>
      <c r="V175" s="850">
        <f t="shared" si="81"/>
        <v>0</v>
      </c>
      <c r="W175" s="749">
        <f t="shared" si="82"/>
        <v>0</v>
      </c>
      <c r="X175" s="749">
        <f t="shared" si="83"/>
        <v>0.18</v>
      </c>
      <c r="Y175" s="749">
        <f t="shared" si="84"/>
        <v>0</v>
      </c>
      <c r="Z175" s="749">
        <f t="shared" si="85"/>
        <v>0.18</v>
      </c>
      <c r="AA175" s="749">
        <f t="shared" si="86"/>
        <v>0</v>
      </c>
      <c r="AB175" s="526">
        <f t="shared" si="87"/>
        <v>0</v>
      </c>
      <c r="AC175" s="526">
        <f t="shared" si="88"/>
        <v>0</v>
      </c>
      <c r="AD175" s="526">
        <f t="shared" si="89"/>
        <v>0</v>
      </c>
    </row>
    <row r="176" spans="1:30" ht="31.5">
      <c r="A176" s="759">
        <v>158</v>
      </c>
      <c r="B176" s="529">
        <v>7000016906</v>
      </c>
      <c r="C176" s="529">
        <v>190</v>
      </c>
      <c r="D176" s="529" t="s">
        <v>526</v>
      </c>
      <c r="E176" s="529">
        <v>1000032050</v>
      </c>
      <c r="F176" s="529">
        <v>85446020</v>
      </c>
      <c r="G176" s="716"/>
      <c r="H176" s="529">
        <v>18</v>
      </c>
      <c r="I176" s="541"/>
      <c r="J176" s="715" t="s">
        <v>534</v>
      </c>
      <c r="K176" s="529" t="s">
        <v>478</v>
      </c>
      <c r="L176" s="529">
        <v>1.4</v>
      </c>
      <c r="M176" s="717"/>
      <c r="N176" s="530" t="str">
        <f t="shared" si="75"/>
        <v>INCLUDED</v>
      </c>
      <c r="O176" s="747">
        <f t="shared" si="76"/>
        <v>0</v>
      </c>
      <c r="P176" s="747">
        <f t="shared" si="77"/>
        <v>0</v>
      </c>
      <c r="Q176" s="748">
        <f>Discount!$H$36</f>
        <v>0</v>
      </c>
      <c r="R176" s="748">
        <f t="shared" si="78"/>
        <v>0</v>
      </c>
      <c r="S176" s="748">
        <f t="shared" si="79"/>
        <v>0</v>
      </c>
      <c r="T176" s="749">
        <f t="shared" si="80"/>
        <v>0</v>
      </c>
      <c r="V176" s="850">
        <f t="shared" si="81"/>
        <v>0</v>
      </c>
      <c r="W176" s="749">
        <f t="shared" si="82"/>
        <v>0</v>
      </c>
      <c r="X176" s="749">
        <f t="shared" si="83"/>
        <v>0.18</v>
      </c>
      <c r="Y176" s="749">
        <f t="shared" si="84"/>
        <v>0</v>
      </c>
      <c r="Z176" s="749">
        <f t="shared" si="85"/>
        <v>0.18</v>
      </c>
      <c r="AA176" s="749">
        <f t="shared" si="86"/>
        <v>0</v>
      </c>
      <c r="AB176" s="526">
        <f t="shared" si="87"/>
        <v>0</v>
      </c>
      <c r="AC176" s="526">
        <f t="shared" si="88"/>
        <v>0</v>
      </c>
      <c r="AD176" s="526">
        <f t="shared" si="89"/>
        <v>0</v>
      </c>
    </row>
    <row r="177" spans="1:30" ht="31.5">
      <c r="A177" s="759">
        <v>159</v>
      </c>
      <c r="B177" s="529">
        <v>7000016906</v>
      </c>
      <c r="C177" s="529">
        <v>200</v>
      </c>
      <c r="D177" s="529" t="s">
        <v>526</v>
      </c>
      <c r="E177" s="529">
        <v>1000056265</v>
      </c>
      <c r="F177" s="529">
        <v>85446020</v>
      </c>
      <c r="G177" s="716"/>
      <c r="H177" s="529">
        <v>18</v>
      </c>
      <c r="I177" s="541"/>
      <c r="J177" s="715" t="s">
        <v>535</v>
      </c>
      <c r="K177" s="529" t="s">
        <v>478</v>
      </c>
      <c r="L177" s="529">
        <v>1.4</v>
      </c>
      <c r="M177" s="717"/>
      <c r="N177" s="530" t="str">
        <f t="shared" si="75"/>
        <v>INCLUDED</v>
      </c>
      <c r="O177" s="747">
        <f t="shared" si="76"/>
        <v>0</v>
      </c>
      <c r="P177" s="747">
        <f t="shared" si="77"/>
        <v>0</v>
      </c>
      <c r="Q177" s="748">
        <f>Discount!$H$36</f>
        <v>0</v>
      </c>
      <c r="R177" s="748">
        <f t="shared" si="78"/>
        <v>0</v>
      </c>
      <c r="S177" s="748">
        <f t="shared" si="79"/>
        <v>0</v>
      </c>
      <c r="T177" s="749">
        <f t="shared" si="80"/>
        <v>0</v>
      </c>
      <c r="V177" s="850">
        <f t="shared" si="81"/>
        <v>0</v>
      </c>
      <c r="W177" s="749">
        <f t="shared" si="82"/>
        <v>0</v>
      </c>
      <c r="X177" s="749">
        <f t="shared" si="83"/>
        <v>0.18</v>
      </c>
      <c r="Y177" s="749">
        <f t="shared" si="84"/>
        <v>0</v>
      </c>
      <c r="Z177" s="749">
        <f t="shared" si="85"/>
        <v>0.18</v>
      </c>
      <c r="AA177" s="749">
        <f t="shared" si="86"/>
        <v>0</v>
      </c>
      <c r="AB177" s="526">
        <f t="shared" si="87"/>
        <v>0</v>
      </c>
      <c r="AC177" s="526">
        <f t="shared" si="88"/>
        <v>0</v>
      </c>
      <c r="AD177" s="526">
        <f t="shared" si="89"/>
        <v>0</v>
      </c>
    </row>
    <row r="178" spans="1:30" ht="31.5">
      <c r="A178" s="759">
        <v>160</v>
      </c>
      <c r="B178" s="529">
        <v>7000016906</v>
      </c>
      <c r="C178" s="529">
        <v>210</v>
      </c>
      <c r="D178" s="529" t="s">
        <v>526</v>
      </c>
      <c r="E178" s="529">
        <v>1000056264</v>
      </c>
      <c r="F178" s="529">
        <v>85446020</v>
      </c>
      <c r="G178" s="716"/>
      <c r="H178" s="529">
        <v>18</v>
      </c>
      <c r="I178" s="541"/>
      <c r="J178" s="715" t="s">
        <v>536</v>
      </c>
      <c r="K178" s="529" t="s">
        <v>478</v>
      </c>
      <c r="L178" s="529">
        <v>3.6</v>
      </c>
      <c r="M178" s="717"/>
      <c r="N178" s="530" t="str">
        <f t="shared" si="75"/>
        <v>INCLUDED</v>
      </c>
      <c r="O178" s="747">
        <f t="shared" si="76"/>
        <v>0</v>
      </c>
      <c r="P178" s="747">
        <f t="shared" si="77"/>
        <v>0</v>
      </c>
      <c r="Q178" s="748">
        <f>Discount!$H$36</f>
        <v>0</v>
      </c>
      <c r="R178" s="748">
        <f t="shared" si="78"/>
        <v>0</v>
      </c>
      <c r="S178" s="748">
        <f t="shared" si="79"/>
        <v>0</v>
      </c>
      <c r="T178" s="749">
        <f t="shared" si="80"/>
        <v>0</v>
      </c>
      <c r="V178" s="850">
        <f t="shared" si="81"/>
        <v>0</v>
      </c>
      <c r="W178" s="749">
        <f t="shared" si="82"/>
        <v>0</v>
      </c>
      <c r="X178" s="749">
        <f t="shared" si="83"/>
        <v>0.18</v>
      </c>
      <c r="Y178" s="749">
        <f t="shared" si="84"/>
        <v>0</v>
      </c>
      <c r="Z178" s="749">
        <f t="shared" si="85"/>
        <v>0.18</v>
      </c>
      <c r="AA178" s="749">
        <f t="shared" si="86"/>
        <v>0</v>
      </c>
      <c r="AB178" s="526">
        <f t="shared" si="87"/>
        <v>0</v>
      </c>
      <c r="AC178" s="526">
        <f t="shared" si="88"/>
        <v>0</v>
      </c>
      <c r="AD178" s="526">
        <f t="shared" si="89"/>
        <v>0</v>
      </c>
    </row>
    <row r="179" spans="1:30" ht="31.5">
      <c r="A179" s="759">
        <v>161</v>
      </c>
      <c r="B179" s="529">
        <v>7000016906</v>
      </c>
      <c r="C179" s="529">
        <v>220</v>
      </c>
      <c r="D179" s="529" t="s">
        <v>526</v>
      </c>
      <c r="E179" s="529">
        <v>1000031887</v>
      </c>
      <c r="F179" s="529">
        <v>85446020</v>
      </c>
      <c r="G179" s="716"/>
      <c r="H179" s="529">
        <v>18</v>
      </c>
      <c r="I179" s="541"/>
      <c r="J179" s="715" t="s">
        <v>537</v>
      </c>
      <c r="K179" s="529" t="s">
        <v>478</v>
      </c>
      <c r="L179" s="529">
        <v>2.9</v>
      </c>
      <c r="M179" s="717"/>
      <c r="N179" s="530" t="str">
        <f t="shared" si="74"/>
        <v>INCLUDED</v>
      </c>
      <c r="O179" s="747">
        <f t="shared" si="60"/>
        <v>0</v>
      </c>
      <c r="P179" s="747">
        <f t="shared" si="61"/>
        <v>0</v>
      </c>
      <c r="Q179" s="748">
        <f>Discount!$H$36</f>
        <v>0</v>
      </c>
      <c r="R179" s="748">
        <f t="shared" si="62"/>
        <v>0</v>
      </c>
      <c r="S179" s="748">
        <f t="shared" si="63"/>
        <v>0</v>
      </c>
      <c r="T179" s="749">
        <f t="shared" si="64"/>
        <v>0</v>
      </c>
      <c r="V179" s="850">
        <f t="shared" si="65"/>
        <v>0</v>
      </c>
      <c r="W179" s="749">
        <f t="shared" si="66"/>
        <v>0</v>
      </c>
      <c r="X179" s="749">
        <f t="shared" si="67"/>
        <v>0.18</v>
      </c>
      <c r="Y179" s="749">
        <f t="shared" si="68"/>
        <v>0</v>
      </c>
      <c r="Z179" s="749">
        <f t="shared" si="69"/>
        <v>0.18</v>
      </c>
      <c r="AA179" s="749">
        <f t="shared" si="70"/>
        <v>0</v>
      </c>
      <c r="AB179" s="526">
        <f t="shared" si="71"/>
        <v>0</v>
      </c>
      <c r="AC179" s="526">
        <f t="shared" si="72"/>
        <v>0</v>
      </c>
      <c r="AD179" s="526">
        <f t="shared" si="73"/>
        <v>0</v>
      </c>
    </row>
    <row r="180" spans="1:30" ht="31.5">
      <c r="A180" s="759">
        <v>162</v>
      </c>
      <c r="B180" s="529">
        <v>7000016906</v>
      </c>
      <c r="C180" s="529">
        <v>230</v>
      </c>
      <c r="D180" s="529" t="s">
        <v>526</v>
      </c>
      <c r="E180" s="529">
        <v>1000031987</v>
      </c>
      <c r="F180" s="529">
        <v>85446020</v>
      </c>
      <c r="G180" s="716"/>
      <c r="H180" s="529">
        <v>18</v>
      </c>
      <c r="I180" s="541"/>
      <c r="J180" s="715" t="s">
        <v>538</v>
      </c>
      <c r="K180" s="529" t="s">
        <v>478</v>
      </c>
      <c r="L180" s="529">
        <v>5</v>
      </c>
      <c r="M180" s="717"/>
      <c r="N180" s="530" t="str">
        <f t="shared" si="74"/>
        <v>INCLUDED</v>
      </c>
      <c r="O180" s="747">
        <f t="shared" si="60"/>
        <v>0</v>
      </c>
      <c r="P180" s="747">
        <f t="shared" si="61"/>
        <v>0</v>
      </c>
      <c r="Q180" s="748">
        <f>Discount!$H$36</f>
        <v>0</v>
      </c>
      <c r="R180" s="748">
        <f t="shared" si="62"/>
        <v>0</v>
      </c>
      <c r="S180" s="748">
        <f t="shared" si="63"/>
        <v>0</v>
      </c>
      <c r="T180" s="749">
        <f t="shared" si="64"/>
        <v>0</v>
      </c>
      <c r="V180" s="850">
        <f t="shared" si="65"/>
        <v>0</v>
      </c>
      <c r="W180" s="749">
        <f t="shared" si="66"/>
        <v>0</v>
      </c>
      <c r="X180" s="749">
        <f t="shared" si="67"/>
        <v>0.18</v>
      </c>
      <c r="Y180" s="749">
        <f t="shared" si="68"/>
        <v>0</v>
      </c>
      <c r="Z180" s="749">
        <f t="shared" si="69"/>
        <v>0.18</v>
      </c>
      <c r="AA180" s="749">
        <f t="shared" si="70"/>
        <v>0</v>
      </c>
      <c r="AB180" s="526">
        <f t="shared" si="71"/>
        <v>0</v>
      </c>
      <c r="AC180" s="526">
        <f t="shared" si="72"/>
        <v>0</v>
      </c>
      <c r="AD180" s="526">
        <f t="shared" si="73"/>
        <v>0</v>
      </c>
    </row>
    <row r="181" spans="1:30" ht="31.5">
      <c r="A181" s="759">
        <v>163</v>
      </c>
      <c r="B181" s="529">
        <v>7000016906</v>
      </c>
      <c r="C181" s="529">
        <v>240</v>
      </c>
      <c r="D181" s="529" t="s">
        <v>526</v>
      </c>
      <c r="E181" s="529">
        <v>1000031964</v>
      </c>
      <c r="F181" s="529">
        <v>85446020</v>
      </c>
      <c r="G181" s="716"/>
      <c r="H181" s="529">
        <v>18</v>
      </c>
      <c r="I181" s="541"/>
      <c r="J181" s="715" t="s">
        <v>539</v>
      </c>
      <c r="K181" s="529" t="s">
        <v>478</v>
      </c>
      <c r="L181" s="529">
        <v>5.5</v>
      </c>
      <c r="M181" s="717"/>
      <c r="N181" s="530" t="str">
        <f t="shared" si="74"/>
        <v>INCLUDED</v>
      </c>
      <c r="O181" s="747">
        <f t="shared" si="60"/>
        <v>0</v>
      </c>
      <c r="P181" s="747">
        <f t="shared" si="61"/>
        <v>0</v>
      </c>
      <c r="Q181" s="748">
        <f>Discount!$H$36</f>
        <v>0</v>
      </c>
      <c r="R181" s="748">
        <f t="shared" si="62"/>
        <v>0</v>
      </c>
      <c r="S181" s="748">
        <f t="shared" si="63"/>
        <v>0</v>
      </c>
      <c r="T181" s="749">
        <f t="shared" si="64"/>
        <v>0</v>
      </c>
      <c r="V181" s="850">
        <f t="shared" si="65"/>
        <v>0</v>
      </c>
      <c r="W181" s="749">
        <f t="shared" si="66"/>
        <v>0</v>
      </c>
      <c r="X181" s="749">
        <f t="shared" si="67"/>
        <v>0.18</v>
      </c>
      <c r="Y181" s="749">
        <f t="shared" si="68"/>
        <v>0</v>
      </c>
      <c r="Z181" s="749">
        <f t="shared" si="69"/>
        <v>0.18</v>
      </c>
      <c r="AA181" s="749">
        <f t="shared" si="70"/>
        <v>0</v>
      </c>
      <c r="AB181" s="526">
        <f t="shared" si="71"/>
        <v>0</v>
      </c>
      <c r="AC181" s="526">
        <f t="shared" si="72"/>
        <v>0</v>
      </c>
      <c r="AD181" s="526">
        <f t="shared" si="73"/>
        <v>0</v>
      </c>
    </row>
    <row r="182" spans="1:30" ht="31.5">
      <c r="A182" s="759">
        <v>164</v>
      </c>
      <c r="B182" s="529">
        <v>7000016906</v>
      </c>
      <c r="C182" s="529">
        <v>250</v>
      </c>
      <c r="D182" s="529" t="s">
        <v>526</v>
      </c>
      <c r="E182" s="529">
        <v>1000031943</v>
      </c>
      <c r="F182" s="529">
        <v>85446020</v>
      </c>
      <c r="G182" s="716"/>
      <c r="H182" s="529">
        <v>18</v>
      </c>
      <c r="I182" s="541"/>
      <c r="J182" s="715" t="s">
        <v>540</v>
      </c>
      <c r="K182" s="529" t="s">
        <v>478</v>
      </c>
      <c r="L182" s="529">
        <v>0.82</v>
      </c>
      <c r="M182" s="717"/>
      <c r="N182" s="530" t="str">
        <f t="shared" si="74"/>
        <v>INCLUDED</v>
      </c>
      <c r="O182" s="747">
        <f t="shared" si="60"/>
        <v>0</v>
      </c>
      <c r="P182" s="747">
        <f t="shared" si="61"/>
        <v>0</v>
      </c>
      <c r="Q182" s="748">
        <f>Discount!$H$36</f>
        <v>0</v>
      </c>
      <c r="R182" s="748">
        <f t="shared" si="62"/>
        <v>0</v>
      </c>
      <c r="S182" s="748">
        <f t="shared" si="63"/>
        <v>0</v>
      </c>
      <c r="T182" s="749">
        <f t="shared" si="64"/>
        <v>0</v>
      </c>
      <c r="V182" s="850">
        <f t="shared" si="65"/>
        <v>0</v>
      </c>
      <c r="W182" s="749">
        <f t="shared" si="66"/>
        <v>0</v>
      </c>
      <c r="X182" s="749">
        <f t="shared" si="67"/>
        <v>0.18</v>
      </c>
      <c r="Y182" s="749">
        <f t="shared" si="68"/>
        <v>0</v>
      </c>
      <c r="Z182" s="749">
        <f t="shared" si="69"/>
        <v>0.18</v>
      </c>
      <c r="AA182" s="749">
        <f t="shared" si="70"/>
        <v>0</v>
      </c>
      <c r="AB182" s="526">
        <f t="shared" si="71"/>
        <v>0</v>
      </c>
      <c r="AC182" s="526">
        <f t="shared" si="72"/>
        <v>0</v>
      </c>
      <c r="AD182" s="526">
        <f t="shared" si="73"/>
        <v>0</v>
      </c>
    </row>
    <row r="183" spans="1:30" ht="31.5">
      <c r="A183" s="759">
        <v>165</v>
      </c>
      <c r="B183" s="529">
        <v>7000016906</v>
      </c>
      <c r="C183" s="529">
        <v>260</v>
      </c>
      <c r="D183" s="529" t="s">
        <v>526</v>
      </c>
      <c r="E183" s="529">
        <v>1000031985</v>
      </c>
      <c r="F183" s="529">
        <v>85446020</v>
      </c>
      <c r="G183" s="716"/>
      <c r="H183" s="529">
        <v>18</v>
      </c>
      <c r="I183" s="541"/>
      <c r="J183" s="715" t="s">
        <v>541</v>
      </c>
      <c r="K183" s="529" t="s">
        <v>478</v>
      </c>
      <c r="L183" s="529">
        <v>1.6</v>
      </c>
      <c r="M183" s="717"/>
      <c r="N183" s="530" t="str">
        <f t="shared" si="74"/>
        <v>INCLUDED</v>
      </c>
      <c r="O183" s="747">
        <f t="shared" si="60"/>
        <v>0</v>
      </c>
      <c r="P183" s="747">
        <f t="shared" si="61"/>
        <v>0</v>
      </c>
      <c r="Q183" s="748">
        <f>Discount!$H$36</f>
        <v>0</v>
      </c>
      <c r="R183" s="748">
        <f t="shared" si="62"/>
        <v>0</v>
      </c>
      <c r="S183" s="748">
        <f t="shared" si="63"/>
        <v>0</v>
      </c>
      <c r="T183" s="749">
        <f t="shared" si="64"/>
        <v>0</v>
      </c>
      <c r="V183" s="850">
        <f t="shared" si="65"/>
        <v>0</v>
      </c>
      <c r="W183" s="749">
        <f t="shared" si="66"/>
        <v>0</v>
      </c>
      <c r="X183" s="749">
        <f t="shared" si="67"/>
        <v>0.18</v>
      </c>
      <c r="Y183" s="749">
        <f t="shared" si="68"/>
        <v>0</v>
      </c>
      <c r="Z183" s="749">
        <f t="shared" si="69"/>
        <v>0.18</v>
      </c>
      <c r="AA183" s="749">
        <f t="shared" si="70"/>
        <v>0</v>
      </c>
      <c r="AB183" s="526">
        <f t="shared" si="71"/>
        <v>0</v>
      </c>
      <c r="AC183" s="526">
        <f t="shared" si="72"/>
        <v>0</v>
      </c>
      <c r="AD183" s="526">
        <f t="shared" si="73"/>
        <v>0</v>
      </c>
    </row>
    <row r="184" spans="1:30" ht="31.5">
      <c r="A184" s="759">
        <v>166</v>
      </c>
      <c r="B184" s="529">
        <v>7000016906</v>
      </c>
      <c r="C184" s="529">
        <v>270</v>
      </c>
      <c r="D184" s="529" t="s">
        <v>526</v>
      </c>
      <c r="E184" s="529">
        <v>1000031976</v>
      </c>
      <c r="F184" s="529">
        <v>85446020</v>
      </c>
      <c r="G184" s="716"/>
      <c r="H184" s="529">
        <v>18</v>
      </c>
      <c r="I184" s="541"/>
      <c r="J184" s="715" t="s">
        <v>542</v>
      </c>
      <c r="K184" s="529" t="s">
        <v>478</v>
      </c>
      <c r="L184" s="529">
        <v>0.65</v>
      </c>
      <c r="M184" s="717"/>
      <c r="N184" s="530" t="str">
        <f t="shared" si="74"/>
        <v>INCLUDED</v>
      </c>
      <c r="O184" s="747">
        <f t="shared" si="60"/>
        <v>0</v>
      </c>
      <c r="P184" s="747">
        <f t="shared" si="61"/>
        <v>0</v>
      </c>
      <c r="Q184" s="748">
        <f>Discount!$H$36</f>
        <v>0</v>
      </c>
      <c r="R184" s="748">
        <f t="shared" si="62"/>
        <v>0</v>
      </c>
      <c r="S184" s="748">
        <f t="shared" si="63"/>
        <v>0</v>
      </c>
      <c r="T184" s="749">
        <f t="shared" si="64"/>
        <v>0</v>
      </c>
      <c r="V184" s="850">
        <f t="shared" si="65"/>
        <v>0</v>
      </c>
      <c r="W184" s="749">
        <f t="shared" si="66"/>
        <v>0</v>
      </c>
      <c r="X184" s="749">
        <f t="shared" si="67"/>
        <v>0.18</v>
      </c>
      <c r="Y184" s="749">
        <f t="shared" si="68"/>
        <v>0</v>
      </c>
      <c r="Z184" s="749">
        <f t="shared" si="69"/>
        <v>0.18</v>
      </c>
      <c r="AA184" s="749">
        <f t="shared" si="70"/>
        <v>0</v>
      </c>
      <c r="AB184" s="526">
        <f t="shared" si="71"/>
        <v>0</v>
      </c>
      <c r="AC184" s="526">
        <f t="shared" si="72"/>
        <v>0</v>
      </c>
      <c r="AD184" s="526">
        <f t="shared" si="73"/>
        <v>0</v>
      </c>
    </row>
    <row r="185" spans="1:30" ht="31.5">
      <c r="A185" s="759">
        <v>167</v>
      </c>
      <c r="B185" s="529">
        <v>7000016906</v>
      </c>
      <c r="C185" s="529">
        <v>280</v>
      </c>
      <c r="D185" s="529" t="s">
        <v>526</v>
      </c>
      <c r="E185" s="529">
        <v>1000031953</v>
      </c>
      <c r="F185" s="529">
        <v>85446020</v>
      </c>
      <c r="G185" s="716"/>
      <c r="H185" s="529">
        <v>18</v>
      </c>
      <c r="I185" s="541"/>
      <c r="J185" s="715" t="s">
        <v>600</v>
      </c>
      <c r="K185" s="529" t="s">
        <v>478</v>
      </c>
      <c r="L185" s="529">
        <v>0.45</v>
      </c>
      <c r="M185" s="717"/>
      <c r="N185" s="530" t="str">
        <f t="shared" si="74"/>
        <v>INCLUDED</v>
      </c>
      <c r="O185" s="747">
        <f t="shared" si="60"/>
        <v>0</v>
      </c>
      <c r="P185" s="747">
        <f t="shared" si="61"/>
        <v>0</v>
      </c>
      <c r="Q185" s="748">
        <f>Discount!$H$36</f>
        <v>0</v>
      </c>
      <c r="R185" s="748">
        <f t="shared" si="62"/>
        <v>0</v>
      </c>
      <c r="S185" s="748">
        <f t="shared" si="63"/>
        <v>0</v>
      </c>
      <c r="T185" s="749">
        <f t="shared" si="64"/>
        <v>0</v>
      </c>
      <c r="V185" s="850">
        <f t="shared" si="65"/>
        <v>0</v>
      </c>
      <c r="W185" s="749">
        <f t="shared" si="66"/>
        <v>0</v>
      </c>
      <c r="X185" s="749">
        <f t="shared" si="67"/>
        <v>0.18</v>
      </c>
      <c r="Y185" s="749">
        <f t="shared" si="68"/>
        <v>0</v>
      </c>
      <c r="Z185" s="749">
        <f t="shared" si="69"/>
        <v>0.18</v>
      </c>
      <c r="AA185" s="749">
        <f t="shared" si="70"/>
        <v>0</v>
      </c>
      <c r="AB185" s="526">
        <f t="shared" si="71"/>
        <v>0</v>
      </c>
      <c r="AC185" s="526">
        <f t="shared" si="72"/>
        <v>0</v>
      </c>
      <c r="AD185" s="526">
        <f t="shared" si="73"/>
        <v>0</v>
      </c>
    </row>
    <row r="186" spans="1:30" ht="31.5">
      <c r="A186" s="759">
        <v>168</v>
      </c>
      <c r="B186" s="529">
        <v>7000016906</v>
      </c>
      <c r="C186" s="529">
        <v>290</v>
      </c>
      <c r="D186" s="529" t="s">
        <v>526</v>
      </c>
      <c r="E186" s="529">
        <v>1000031957</v>
      </c>
      <c r="F186" s="529">
        <v>85446020</v>
      </c>
      <c r="G186" s="716"/>
      <c r="H186" s="529">
        <v>18</v>
      </c>
      <c r="I186" s="541"/>
      <c r="J186" s="715" t="s">
        <v>543</v>
      </c>
      <c r="K186" s="529" t="s">
        <v>478</v>
      </c>
      <c r="L186" s="529">
        <v>0.6</v>
      </c>
      <c r="M186" s="717"/>
      <c r="N186" s="530" t="str">
        <f t="shared" si="74"/>
        <v>INCLUDED</v>
      </c>
      <c r="O186" s="747">
        <f t="shared" si="60"/>
        <v>0</v>
      </c>
      <c r="P186" s="747">
        <f t="shared" si="61"/>
        <v>0</v>
      </c>
      <c r="Q186" s="748">
        <f>Discount!$H$36</f>
        <v>0</v>
      </c>
      <c r="R186" s="748">
        <f t="shared" si="62"/>
        <v>0</v>
      </c>
      <c r="S186" s="748">
        <f t="shared" si="63"/>
        <v>0</v>
      </c>
      <c r="T186" s="749">
        <f t="shared" si="64"/>
        <v>0</v>
      </c>
      <c r="V186" s="850">
        <f t="shared" si="65"/>
        <v>0</v>
      </c>
      <c r="W186" s="749">
        <f t="shared" si="66"/>
        <v>0</v>
      </c>
      <c r="X186" s="749">
        <f t="shared" si="67"/>
        <v>0.18</v>
      </c>
      <c r="Y186" s="749">
        <f t="shared" si="68"/>
        <v>0</v>
      </c>
      <c r="Z186" s="749">
        <f t="shared" si="69"/>
        <v>0.18</v>
      </c>
      <c r="AA186" s="749">
        <f t="shared" si="70"/>
        <v>0</v>
      </c>
      <c r="AB186" s="526">
        <f t="shared" si="71"/>
        <v>0</v>
      </c>
      <c r="AC186" s="526">
        <f t="shared" si="72"/>
        <v>0</v>
      </c>
      <c r="AD186" s="526">
        <f t="shared" si="73"/>
        <v>0</v>
      </c>
    </row>
    <row r="187" spans="1:30" ht="47.25">
      <c r="A187" s="759">
        <v>169</v>
      </c>
      <c r="B187" s="529">
        <v>7000016906</v>
      </c>
      <c r="C187" s="529">
        <v>300</v>
      </c>
      <c r="D187" s="529" t="s">
        <v>627</v>
      </c>
      <c r="E187" s="529">
        <v>1000006284</v>
      </c>
      <c r="F187" s="529">
        <v>84151090</v>
      </c>
      <c r="G187" s="716"/>
      <c r="H187" s="529">
        <v>28</v>
      </c>
      <c r="I187" s="541"/>
      <c r="J187" s="715" t="s">
        <v>628</v>
      </c>
      <c r="K187" s="529" t="s">
        <v>300</v>
      </c>
      <c r="L187" s="529">
        <v>1</v>
      </c>
      <c r="M187" s="717"/>
      <c r="N187" s="530" t="str">
        <f t="shared" si="74"/>
        <v>INCLUDED</v>
      </c>
      <c r="O187" s="747">
        <f t="shared" si="60"/>
        <v>0</v>
      </c>
      <c r="P187" s="747">
        <f t="shared" si="61"/>
        <v>0</v>
      </c>
      <c r="Q187" s="748">
        <f>Discount!$H$36</f>
        <v>0</v>
      </c>
      <c r="R187" s="748">
        <f t="shared" si="62"/>
        <v>0</v>
      </c>
      <c r="S187" s="748">
        <f t="shared" si="63"/>
        <v>0</v>
      </c>
      <c r="T187" s="749">
        <f t="shared" si="64"/>
        <v>0</v>
      </c>
      <c r="V187" s="850">
        <f t="shared" si="65"/>
        <v>0</v>
      </c>
      <c r="W187" s="749">
        <f t="shared" si="66"/>
        <v>0</v>
      </c>
      <c r="X187" s="749">
        <f t="shared" si="67"/>
        <v>0.28000000000000003</v>
      </c>
      <c r="Y187" s="749">
        <f t="shared" si="68"/>
        <v>0</v>
      </c>
      <c r="Z187" s="749">
        <f t="shared" si="69"/>
        <v>0</v>
      </c>
      <c r="AA187" s="749">
        <f t="shared" si="70"/>
        <v>0.28000000000000003</v>
      </c>
      <c r="AB187" s="526">
        <f t="shared" si="71"/>
        <v>0</v>
      </c>
      <c r="AC187" s="526">
        <f t="shared" si="72"/>
        <v>0</v>
      </c>
      <c r="AD187" s="526">
        <f t="shared" si="73"/>
        <v>0</v>
      </c>
    </row>
    <row r="188" spans="1:30" ht="31.5">
      <c r="A188" s="759">
        <v>170</v>
      </c>
      <c r="B188" s="529">
        <v>7000016906</v>
      </c>
      <c r="C188" s="529">
        <v>310</v>
      </c>
      <c r="D188" s="529" t="s">
        <v>527</v>
      </c>
      <c r="E188" s="529">
        <v>1000012022</v>
      </c>
      <c r="F188" s="529">
        <v>84241000</v>
      </c>
      <c r="G188" s="716"/>
      <c r="H188" s="529">
        <v>18</v>
      </c>
      <c r="I188" s="541"/>
      <c r="J188" s="715" t="s">
        <v>602</v>
      </c>
      <c r="K188" s="529" t="s">
        <v>299</v>
      </c>
      <c r="L188" s="529">
        <v>1</v>
      </c>
      <c r="M188" s="717"/>
      <c r="N188" s="530" t="str">
        <f t="shared" si="74"/>
        <v>INCLUDED</v>
      </c>
      <c r="O188" s="747">
        <f t="shared" si="60"/>
        <v>0</v>
      </c>
      <c r="P188" s="747">
        <f t="shared" si="61"/>
        <v>0</v>
      </c>
      <c r="Q188" s="748">
        <f>Discount!$H$36</f>
        <v>0</v>
      </c>
      <c r="R188" s="748">
        <f t="shared" si="62"/>
        <v>0</v>
      </c>
      <c r="S188" s="748">
        <f t="shared" si="63"/>
        <v>0</v>
      </c>
      <c r="T188" s="749">
        <f t="shared" si="64"/>
        <v>0</v>
      </c>
      <c r="V188" s="850">
        <f t="shared" si="65"/>
        <v>0</v>
      </c>
      <c r="W188" s="749">
        <f t="shared" si="66"/>
        <v>0</v>
      </c>
      <c r="X188" s="749">
        <f t="shared" si="67"/>
        <v>0.18</v>
      </c>
      <c r="Y188" s="749">
        <f t="shared" si="68"/>
        <v>0</v>
      </c>
      <c r="Z188" s="749">
        <f t="shared" si="69"/>
        <v>0.18</v>
      </c>
      <c r="AA188" s="749">
        <f t="shared" si="70"/>
        <v>0</v>
      </c>
      <c r="AB188" s="526">
        <f t="shared" si="71"/>
        <v>0</v>
      </c>
      <c r="AC188" s="526">
        <f t="shared" si="72"/>
        <v>0</v>
      </c>
      <c r="AD188" s="526">
        <f t="shared" si="73"/>
        <v>0</v>
      </c>
    </row>
    <row r="189" spans="1:30" ht="31.5">
      <c r="A189" s="759">
        <v>171</v>
      </c>
      <c r="B189" s="529">
        <v>7000016906</v>
      </c>
      <c r="C189" s="529">
        <v>320</v>
      </c>
      <c r="D189" s="529" t="s">
        <v>527</v>
      </c>
      <c r="E189" s="529">
        <v>1000012018</v>
      </c>
      <c r="F189" s="529">
        <v>85311020</v>
      </c>
      <c r="G189" s="716"/>
      <c r="H189" s="529">
        <v>18</v>
      </c>
      <c r="I189" s="541"/>
      <c r="J189" s="715" t="s">
        <v>601</v>
      </c>
      <c r="K189" s="529" t="s">
        <v>300</v>
      </c>
      <c r="L189" s="529">
        <v>1</v>
      </c>
      <c r="M189" s="717"/>
      <c r="N189" s="530" t="str">
        <f t="shared" si="74"/>
        <v>INCLUDED</v>
      </c>
      <c r="O189" s="747">
        <f t="shared" si="60"/>
        <v>0</v>
      </c>
      <c r="P189" s="747">
        <f t="shared" si="61"/>
        <v>0</v>
      </c>
      <c r="Q189" s="748">
        <f>Discount!$H$36</f>
        <v>0</v>
      </c>
      <c r="R189" s="748">
        <f t="shared" si="62"/>
        <v>0</v>
      </c>
      <c r="S189" s="748">
        <f t="shared" si="63"/>
        <v>0</v>
      </c>
      <c r="T189" s="749">
        <f t="shared" si="64"/>
        <v>0</v>
      </c>
      <c r="V189" s="850">
        <f t="shared" si="65"/>
        <v>0</v>
      </c>
      <c r="W189" s="749">
        <f t="shared" si="66"/>
        <v>0</v>
      </c>
      <c r="X189" s="749">
        <f t="shared" si="67"/>
        <v>0.18</v>
      </c>
      <c r="Y189" s="749">
        <f t="shared" si="68"/>
        <v>0</v>
      </c>
      <c r="Z189" s="749">
        <f t="shared" si="69"/>
        <v>0.18</v>
      </c>
      <c r="AA189" s="749">
        <f t="shared" si="70"/>
        <v>0</v>
      </c>
      <c r="AB189" s="526">
        <f t="shared" si="71"/>
        <v>0</v>
      </c>
      <c r="AC189" s="526">
        <f t="shared" si="72"/>
        <v>0</v>
      </c>
      <c r="AD189" s="526">
        <f t="shared" si="73"/>
        <v>0</v>
      </c>
    </row>
    <row r="190" spans="1:30" ht="31.5">
      <c r="A190" s="759">
        <v>172</v>
      </c>
      <c r="B190" s="529">
        <v>7000016906</v>
      </c>
      <c r="C190" s="529">
        <v>330</v>
      </c>
      <c r="D190" s="529" t="s">
        <v>528</v>
      </c>
      <c r="E190" s="529">
        <v>1000014547</v>
      </c>
      <c r="F190" s="529">
        <v>85371000</v>
      </c>
      <c r="G190" s="716"/>
      <c r="H190" s="529">
        <v>18</v>
      </c>
      <c r="I190" s="541"/>
      <c r="J190" s="715" t="s">
        <v>603</v>
      </c>
      <c r="K190" s="529" t="s">
        <v>299</v>
      </c>
      <c r="L190" s="529">
        <v>1</v>
      </c>
      <c r="M190" s="717"/>
      <c r="N190" s="530" t="str">
        <f t="shared" si="74"/>
        <v>INCLUDED</v>
      </c>
      <c r="O190" s="747">
        <f t="shared" si="60"/>
        <v>0</v>
      </c>
      <c r="P190" s="747">
        <f t="shared" si="61"/>
        <v>0</v>
      </c>
      <c r="Q190" s="748">
        <f>Discount!$H$36</f>
        <v>0</v>
      </c>
      <c r="R190" s="748">
        <f t="shared" si="62"/>
        <v>0</v>
      </c>
      <c r="S190" s="748">
        <f t="shared" si="63"/>
        <v>0</v>
      </c>
      <c r="T190" s="749">
        <f t="shared" si="64"/>
        <v>0</v>
      </c>
      <c r="V190" s="850">
        <f t="shared" si="65"/>
        <v>0</v>
      </c>
      <c r="W190" s="749">
        <f t="shared" si="66"/>
        <v>0</v>
      </c>
      <c r="X190" s="749">
        <f t="shared" si="67"/>
        <v>0.18</v>
      </c>
      <c r="Y190" s="749">
        <f t="shared" si="68"/>
        <v>0</v>
      </c>
      <c r="Z190" s="749">
        <f t="shared" si="69"/>
        <v>0.18</v>
      </c>
      <c r="AA190" s="749">
        <f t="shared" si="70"/>
        <v>0</v>
      </c>
      <c r="AB190" s="526">
        <f t="shared" si="71"/>
        <v>0</v>
      </c>
      <c r="AC190" s="526">
        <f t="shared" si="72"/>
        <v>0</v>
      </c>
      <c r="AD190" s="526">
        <f t="shared" si="73"/>
        <v>0</v>
      </c>
    </row>
    <row r="191" spans="1:30" ht="31.5">
      <c r="A191" s="759">
        <v>173</v>
      </c>
      <c r="B191" s="529">
        <v>7000016906</v>
      </c>
      <c r="C191" s="529">
        <v>340</v>
      </c>
      <c r="D191" s="529" t="s">
        <v>528</v>
      </c>
      <c r="E191" s="529">
        <v>1000017485</v>
      </c>
      <c r="F191" s="529">
        <v>94059900</v>
      </c>
      <c r="G191" s="716"/>
      <c r="H191" s="529">
        <v>18</v>
      </c>
      <c r="I191" s="541"/>
      <c r="J191" s="715" t="s">
        <v>706</v>
      </c>
      <c r="K191" s="529" t="s">
        <v>299</v>
      </c>
      <c r="L191" s="529">
        <v>3</v>
      </c>
      <c r="M191" s="717"/>
      <c r="N191" s="530" t="str">
        <f t="shared" si="74"/>
        <v>INCLUDED</v>
      </c>
      <c r="O191" s="747">
        <f t="shared" si="60"/>
        <v>0</v>
      </c>
      <c r="P191" s="747">
        <f t="shared" si="61"/>
        <v>0</v>
      </c>
      <c r="Q191" s="748">
        <f>Discount!$H$36</f>
        <v>0</v>
      </c>
      <c r="R191" s="748">
        <f t="shared" si="62"/>
        <v>0</v>
      </c>
      <c r="S191" s="748">
        <f t="shared" si="63"/>
        <v>0</v>
      </c>
      <c r="T191" s="749">
        <f t="shared" si="64"/>
        <v>0</v>
      </c>
      <c r="V191" s="850">
        <f t="shared" si="65"/>
        <v>0</v>
      </c>
      <c r="W191" s="749">
        <f t="shared" si="66"/>
        <v>0</v>
      </c>
      <c r="X191" s="749">
        <f t="shared" si="67"/>
        <v>0.18</v>
      </c>
      <c r="Y191" s="749">
        <f t="shared" si="68"/>
        <v>0</v>
      </c>
      <c r="Z191" s="749">
        <f t="shared" si="69"/>
        <v>0.18</v>
      </c>
      <c r="AA191" s="749">
        <f t="shared" si="70"/>
        <v>0</v>
      </c>
      <c r="AB191" s="526">
        <f t="shared" si="71"/>
        <v>0</v>
      </c>
      <c r="AC191" s="526">
        <f t="shared" si="72"/>
        <v>0</v>
      </c>
      <c r="AD191" s="526">
        <f t="shared" si="73"/>
        <v>0</v>
      </c>
    </row>
    <row r="192" spans="1:30" ht="31.5">
      <c r="A192" s="759">
        <v>174</v>
      </c>
      <c r="B192" s="529">
        <v>7000016906</v>
      </c>
      <c r="C192" s="529">
        <v>350</v>
      </c>
      <c r="D192" s="529" t="s">
        <v>528</v>
      </c>
      <c r="E192" s="529">
        <v>1000004952</v>
      </c>
      <c r="F192" s="529">
        <v>94059900</v>
      </c>
      <c r="G192" s="716"/>
      <c r="H192" s="529">
        <v>18</v>
      </c>
      <c r="I192" s="541"/>
      <c r="J192" s="715" t="s">
        <v>707</v>
      </c>
      <c r="K192" s="529" t="s">
        <v>299</v>
      </c>
      <c r="L192" s="529">
        <v>1</v>
      </c>
      <c r="M192" s="717"/>
      <c r="N192" s="530" t="str">
        <f t="shared" si="74"/>
        <v>INCLUDED</v>
      </c>
      <c r="O192" s="747">
        <f t="shared" si="60"/>
        <v>0</v>
      </c>
      <c r="P192" s="747">
        <f t="shared" si="61"/>
        <v>0</v>
      </c>
      <c r="Q192" s="748">
        <f>Discount!$H$36</f>
        <v>0</v>
      </c>
      <c r="R192" s="748">
        <f t="shared" si="62"/>
        <v>0</v>
      </c>
      <c r="S192" s="748">
        <f t="shared" si="63"/>
        <v>0</v>
      </c>
      <c r="T192" s="749">
        <f t="shared" si="64"/>
        <v>0</v>
      </c>
      <c r="V192" s="850">
        <f t="shared" si="65"/>
        <v>0</v>
      </c>
      <c r="W192" s="749">
        <f t="shared" si="66"/>
        <v>0</v>
      </c>
      <c r="X192" s="749">
        <f t="shared" si="67"/>
        <v>0.18</v>
      </c>
      <c r="Y192" s="749">
        <f t="shared" si="68"/>
        <v>0</v>
      </c>
      <c r="Z192" s="749">
        <f t="shared" si="69"/>
        <v>0.18</v>
      </c>
      <c r="AA192" s="749">
        <f t="shared" si="70"/>
        <v>0</v>
      </c>
      <c r="AB192" s="526">
        <f t="shared" si="71"/>
        <v>0</v>
      </c>
      <c r="AC192" s="526">
        <f t="shared" si="72"/>
        <v>0</v>
      </c>
      <c r="AD192" s="526">
        <f t="shared" si="73"/>
        <v>0</v>
      </c>
    </row>
    <row r="193" spans="1:30" ht="31.5">
      <c r="A193" s="759">
        <v>175</v>
      </c>
      <c r="B193" s="529">
        <v>7000016906</v>
      </c>
      <c r="C193" s="529">
        <v>360</v>
      </c>
      <c r="D193" s="529" t="s">
        <v>528</v>
      </c>
      <c r="E193" s="529">
        <v>1000013795</v>
      </c>
      <c r="F193" s="529">
        <v>94059900</v>
      </c>
      <c r="G193" s="716"/>
      <c r="H193" s="529">
        <v>18</v>
      </c>
      <c r="I193" s="541"/>
      <c r="J193" s="715" t="s">
        <v>604</v>
      </c>
      <c r="K193" s="529" t="s">
        <v>552</v>
      </c>
      <c r="L193" s="529">
        <v>1</v>
      </c>
      <c r="M193" s="717"/>
      <c r="N193" s="530" t="str">
        <f t="shared" si="74"/>
        <v>INCLUDED</v>
      </c>
      <c r="O193" s="747">
        <f t="shared" si="60"/>
        <v>0</v>
      </c>
      <c r="P193" s="747">
        <f t="shared" si="61"/>
        <v>0</v>
      </c>
      <c r="Q193" s="748">
        <f>Discount!$H$36</f>
        <v>0</v>
      </c>
      <c r="R193" s="748">
        <f t="shared" si="62"/>
        <v>0</v>
      </c>
      <c r="S193" s="748">
        <f t="shared" si="63"/>
        <v>0</v>
      </c>
      <c r="T193" s="749">
        <f t="shared" si="64"/>
        <v>0</v>
      </c>
      <c r="V193" s="850">
        <f t="shared" si="65"/>
        <v>0</v>
      </c>
      <c r="W193" s="749">
        <f t="shared" si="66"/>
        <v>0</v>
      </c>
      <c r="X193" s="749">
        <f t="shared" si="67"/>
        <v>0.18</v>
      </c>
      <c r="Y193" s="749">
        <f t="shared" si="68"/>
        <v>0</v>
      </c>
      <c r="Z193" s="749">
        <f t="shared" si="69"/>
        <v>0.18</v>
      </c>
      <c r="AA193" s="749">
        <f t="shared" si="70"/>
        <v>0</v>
      </c>
      <c r="AB193" s="526">
        <f t="shared" si="71"/>
        <v>0</v>
      </c>
      <c r="AC193" s="526">
        <f t="shared" si="72"/>
        <v>0</v>
      </c>
      <c r="AD193" s="526">
        <f t="shared" si="73"/>
        <v>0</v>
      </c>
    </row>
    <row r="194" spans="1:30" ht="78.75">
      <c r="A194" s="759">
        <v>176</v>
      </c>
      <c r="B194" s="529">
        <v>7000016906</v>
      </c>
      <c r="C194" s="529">
        <v>370</v>
      </c>
      <c r="D194" s="529" t="s">
        <v>744</v>
      </c>
      <c r="E194" s="529">
        <v>1000015954</v>
      </c>
      <c r="F194" s="529">
        <v>73082011</v>
      </c>
      <c r="G194" s="716"/>
      <c r="H194" s="529">
        <v>18</v>
      </c>
      <c r="I194" s="541"/>
      <c r="J194" s="715" t="s">
        <v>553</v>
      </c>
      <c r="K194" s="529" t="s">
        <v>554</v>
      </c>
      <c r="L194" s="529">
        <v>60</v>
      </c>
      <c r="M194" s="717"/>
      <c r="N194" s="530" t="str">
        <f t="shared" si="74"/>
        <v>INCLUDED</v>
      </c>
      <c r="O194" s="747">
        <f t="shared" si="60"/>
        <v>0</v>
      </c>
      <c r="P194" s="747">
        <f t="shared" si="61"/>
        <v>0</v>
      </c>
      <c r="Q194" s="748">
        <f>Discount!$H$36</f>
        <v>0</v>
      </c>
      <c r="R194" s="748">
        <f t="shared" si="62"/>
        <v>0</v>
      </c>
      <c r="S194" s="748">
        <f t="shared" si="63"/>
        <v>0</v>
      </c>
      <c r="T194" s="749">
        <f t="shared" si="64"/>
        <v>0</v>
      </c>
      <c r="V194" s="850">
        <f t="shared" si="65"/>
        <v>0</v>
      </c>
      <c r="W194" s="749">
        <f t="shared" si="66"/>
        <v>0</v>
      </c>
      <c r="X194" s="749">
        <f t="shared" si="67"/>
        <v>0.18</v>
      </c>
      <c r="Y194" s="749">
        <f t="shared" si="68"/>
        <v>0</v>
      </c>
      <c r="Z194" s="749">
        <f t="shared" si="69"/>
        <v>0.18</v>
      </c>
      <c r="AA194" s="749">
        <f t="shared" si="70"/>
        <v>0</v>
      </c>
      <c r="AB194" s="526">
        <f t="shared" si="71"/>
        <v>0</v>
      </c>
      <c r="AC194" s="526">
        <f t="shared" si="72"/>
        <v>0</v>
      </c>
      <c r="AD194" s="526">
        <f t="shared" si="73"/>
        <v>0</v>
      </c>
    </row>
    <row r="195" spans="1:30" ht="78.75">
      <c r="A195" s="759">
        <v>177</v>
      </c>
      <c r="B195" s="529">
        <v>7000016906</v>
      </c>
      <c r="C195" s="529">
        <v>380</v>
      </c>
      <c r="D195" s="529" t="s">
        <v>744</v>
      </c>
      <c r="E195" s="529">
        <v>1000015953</v>
      </c>
      <c r="F195" s="529">
        <v>73082011</v>
      </c>
      <c r="G195" s="716"/>
      <c r="H195" s="529">
        <v>18</v>
      </c>
      <c r="I195" s="541"/>
      <c r="J195" s="715" t="s">
        <v>752</v>
      </c>
      <c r="K195" s="529" t="s">
        <v>554</v>
      </c>
      <c r="L195" s="529">
        <v>10</v>
      </c>
      <c r="M195" s="717"/>
      <c r="N195" s="530" t="str">
        <f t="shared" si="74"/>
        <v>INCLUDED</v>
      </c>
      <c r="O195" s="747">
        <f t="shared" si="60"/>
        <v>0</v>
      </c>
      <c r="P195" s="747">
        <f t="shared" si="61"/>
        <v>0</v>
      </c>
      <c r="Q195" s="748">
        <f>Discount!$H$36</f>
        <v>0</v>
      </c>
      <c r="R195" s="748">
        <f t="shared" si="62"/>
        <v>0</v>
      </c>
      <c r="S195" s="748">
        <f t="shared" si="63"/>
        <v>0</v>
      </c>
      <c r="T195" s="749">
        <f t="shared" si="64"/>
        <v>0</v>
      </c>
      <c r="V195" s="850">
        <f t="shared" si="65"/>
        <v>0</v>
      </c>
      <c r="W195" s="749">
        <f t="shared" si="66"/>
        <v>0</v>
      </c>
      <c r="X195" s="749">
        <f t="shared" si="67"/>
        <v>0.18</v>
      </c>
      <c r="Y195" s="749">
        <f t="shared" si="68"/>
        <v>0</v>
      </c>
      <c r="Z195" s="749">
        <f t="shared" si="69"/>
        <v>0.18</v>
      </c>
      <c r="AA195" s="749">
        <f t="shared" si="70"/>
        <v>0</v>
      </c>
      <c r="AB195" s="526">
        <f t="shared" si="71"/>
        <v>0</v>
      </c>
      <c r="AC195" s="526">
        <f t="shared" si="72"/>
        <v>0</v>
      </c>
      <c r="AD195" s="526">
        <f t="shared" si="73"/>
        <v>0</v>
      </c>
    </row>
    <row r="196" spans="1:30" ht="31.5">
      <c r="A196" s="759">
        <v>178</v>
      </c>
      <c r="B196" s="529">
        <v>7000016906</v>
      </c>
      <c r="C196" s="529">
        <v>390</v>
      </c>
      <c r="D196" s="529" t="s">
        <v>744</v>
      </c>
      <c r="E196" s="529">
        <v>1000015952</v>
      </c>
      <c r="F196" s="529">
        <v>73082011</v>
      </c>
      <c r="G196" s="716"/>
      <c r="H196" s="529">
        <v>18</v>
      </c>
      <c r="I196" s="541"/>
      <c r="J196" s="715" t="s">
        <v>753</v>
      </c>
      <c r="K196" s="529" t="s">
        <v>554</v>
      </c>
      <c r="L196" s="529">
        <v>26</v>
      </c>
      <c r="M196" s="717"/>
      <c r="N196" s="530" t="str">
        <f t="shared" si="74"/>
        <v>INCLUDED</v>
      </c>
      <c r="O196" s="747">
        <f t="shared" si="60"/>
        <v>0</v>
      </c>
      <c r="P196" s="747">
        <f t="shared" si="61"/>
        <v>0</v>
      </c>
      <c r="Q196" s="748">
        <f>Discount!$H$36</f>
        <v>0</v>
      </c>
      <c r="R196" s="748">
        <f t="shared" si="62"/>
        <v>0</v>
      </c>
      <c r="S196" s="748">
        <f t="shared" si="63"/>
        <v>0</v>
      </c>
      <c r="T196" s="749">
        <f t="shared" si="64"/>
        <v>0</v>
      </c>
      <c r="V196" s="850">
        <f t="shared" si="65"/>
        <v>0</v>
      </c>
      <c r="W196" s="749">
        <f t="shared" si="66"/>
        <v>0</v>
      </c>
      <c r="X196" s="749">
        <f t="shared" si="67"/>
        <v>0.18</v>
      </c>
      <c r="Y196" s="749">
        <f t="shared" si="68"/>
        <v>0</v>
      </c>
      <c r="Z196" s="749">
        <f t="shared" si="69"/>
        <v>0.18</v>
      </c>
      <c r="AA196" s="749">
        <f t="shared" si="70"/>
        <v>0</v>
      </c>
      <c r="AB196" s="526">
        <f t="shared" si="71"/>
        <v>0</v>
      </c>
      <c r="AC196" s="526">
        <f t="shared" si="72"/>
        <v>0</v>
      </c>
      <c r="AD196" s="526">
        <f t="shared" si="73"/>
        <v>0</v>
      </c>
    </row>
    <row r="197" spans="1:30" ht="47.25">
      <c r="A197" s="759">
        <v>179</v>
      </c>
      <c r="B197" s="529">
        <v>7000016906</v>
      </c>
      <c r="C197" s="529">
        <v>400</v>
      </c>
      <c r="D197" s="529" t="s">
        <v>744</v>
      </c>
      <c r="E197" s="529">
        <v>1000011713</v>
      </c>
      <c r="F197" s="529">
        <v>73082011</v>
      </c>
      <c r="G197" s="716"/>
      <c r="H197" s="529">
        <v>18</v>
      </c>
      <c r="I197" s="541"/>
      <c r="J197" s="715" t="s">
        <v>555</v>
      </c>
      <c r="K197" s="529" t="s">
        <v>554</v>
      </c>
      <c r="L197" s="529">
        <v>5</v>
      </c>
      <c r="M197" s="717"/>
      <c r="N197" s="530" t="str">
        <f t="shared" si="74"/>
        <v>INCLUDED</v>
      </c>
      <c r="O197" s="747">
        <f t="shared" si="60"/>
        <v>0</v>
      </c>
      <c r="P197" s="747">
        <f t="shared" si="61"/>
        <v>0</v>
      </c>
      <c r="Q197" s="748">
        <f>Discount!$H$36</f>
        <v>0</v>
      </c>
      <c r="R197" s="748">
        <f t="shared" si="62"/>
        <v>0</v>
      </c>
      <c r="S197" s="748">
        <f t="shared" si="63"/>
        <v>0</v>
      </c>
      <c r="T197" s="749">
        <f t="shared" si="64"/>
        <v>0</v>
      </c>
      <c r="V197" s="850">
        <f t="shared" si="65"/>
        <v>0</v>
      </c>
      <c r="W197" s="749">
        <f t="shared" si="66"/>
        <v>0</v>
      </c>
      <c r="X197" s="749">
        <f t="shared" si="67"/>
        <v>0.18</v>
      </c>
      <c r="Y197" s="749">
        <f t="shared" si="68"/>
        <v>0</v>
      </c>
      <c r="Z197" s="749">
        <f t="shared" si="69"/>
        <v>0.18</v>
      </c>
      <c r="AA197" s="749">
        <f t="shared" si="70"/>
        <v>0</v>
      </c>
      <c r="AB197" s="526">
        <f t="shared" si="71"/>
        <v>0</v>
      </c>
      <c r="AC197" s="526">
        <f t="shared" si="72"/>
        <v>0</v>
      </c>
      <c r="AD197" s="526">
        <f t="shared" si="73"/>
        <v>0</v>
      </c>
    </row>
    <row r="198" spans="1:30" ht="47.25">
      <c r="A198" s="759">
        <v>180</v>
      </c>
      <c r="B198" s="529">
        <v>7000016906</v>
      </c>
      <c r="C198" s="529">
        <v>410</v>
      </c>
      <c r="D198" s="529" t="s">
        <v>744</v>
      </c>
      <c r="E198" s="529">
        <v>1000012373</v>
      </c>
      <c r="F198" s="529">
        <v>73082011</v>
      </c>
      <c r="G198" s="716"/>
      <c r="H198" s="529">
        <v>18</v>
      </c>
      <c r="I198" s="541"/>
      <c r="J198" s="715" t="s">
        <v>556</v>
      </c>
      <c r="K198" s="529" t="s">
        <v>554</v>
      </c>
      <c r="L198" s="529">
        <v>5</v>
      </c>
      <c r="M198" s="717"/>
      <c r="N198" s="530" t="str">
        <f t="shared" si="74"/>
        <v>INCLUDED</v>
      </c>
      <c r="O198" s="747">
        <f t="shared" si="60"/>
        <v>0</v>
      </c>
      <c r="P198" s="747">
        <f t="shared" si="61"/>
        <v>0</v>
      </c>
      <c r="Q198" s="748">
        <f>Discount!$H$36</f>
        <v>0</v>
      </c>
      <c r="R198" s="748">
        <f t="shared" si="62"/>
        <v>0</v>
      </c>
      <c r="S198" s="748">
        <f t="shared" si="63"/>
        <v>0</v>
      </c>
      <c r="T198" s="749">
        <f t="shared" si="64"/>
        <v>0</v>
      </c>
      <c r="V198" s="850">
        <f t="shared" si="65"/>
        <v>0</v>
      </c>
      <c r="W198" s="749">
        <f t="shared" si="66"/>
        <v>0</v>
      </c>
      <c r="X198" s="749">
        <f t="shared" si="67"/>
        <v>0.18</v>
      </c>
      <c r="Y198" s="749">
        <f t="shared" si="68"/>
        <v>0</v>
      </c>
      <c r="Z198" s="749">
        <f t="shared" si="69"/>
        <v>0.18</v>
      </c>
      <c r="AA198" s="749">
        <f t="shared" si="70"/>
        <v>0</v>
      </c>
      <c r="AB198" s="526">
        <f t="shared" si="71"/>
        <v>0</v>
      </c>
      <c r="AC198" s="526">
        <f t="shared" si="72"/>
        <v>0</v>
      </c>
      <c r="AD198" s="526">
        <f t="shared" si="73"/>
        <v>0</v>
      </c>
    </row>
    <row r="199" spans="1:30">
      <c r="A199" s="759">
        <v>181</v>
      </c>
      <c r="B199" s="529">
        <v>7000016906</v>
      </c>
      <c r="C199" s="529">
        <v>420</v>
      </c>
      <c r="D199" s="529" t="s">
        <v>530</v>
      </c>
      <c r="E199" s="529">
        <v>1000019918</v>
      </c>
      <c r="F199" s="529">
        <v>85359090</v>
      </c>
      <c r="G199" s="716"/>
      <c r="H199" s="529">
        <v>18</v>
      </c>
      <c r="I199" s="541"/>
      <c r="J199" s="715" t="s">
        <v>551</v>
      </c>
      <c r="K199" s="529" t="s">
        <v>552</v>
      </c>
      <c r="L199" s="529">
        <v>1</v>
      </c>
      <c r="M199" s="717"/>
      <c r="N199" s="530" t="str">
        <f t="shared" si="74"/>
        <v>INCLUDED</v>
      </c>
      <c r="O199" s="747">
        <f t="shared" si="60"/>
        <v>0</v>
      </c>
      <c r="P199" s="747">
        <f t="shared" si="61"/>
        <v>0</v>
      </c>
      <c r="Q199" s="748">
        <f>Discount!$H$36</f>
        <v>0</v>
      </c>
      <c r="R199" s="748">
        <f t="shared" si="62"/>
        <v>0</v>
      </c>
      <c r="S199" s="748">
        <f t="shared" si="63"/>
        <v>0</v>
      </c>
      <c r="T199" s="749">
        <f t="shared" si="64"/>
        <v>0</v>
      </c>
      <c r="V199" s="850">
        <f t="shared" si="65"/>
        <v>0</v>
      </c>
      <c r="W199" s="749">
        <f t="shared" si="66"/>
        <v>0</v>
      </c>
      <c r="X199" s="749">
        <f t="shared" si="67"/>
        <v>0.18</v>
      </c>
      <c r="Y199" s="749">
        <f t="shared" si="68"/>
        <v>0</v>
      </c>
      <c r="Z199" s="749">
        <f t="shared" si="69"/>
        <v>0.18</v>
      </c>
      <c r="AA199" s="749">
        <f t="shared" si="70"/>
        <v>0</v>
      </c>
      <c r="AB199" s="526">
        <f t="shared" si="71"/>
        <v>0</v>
      </c>
      <c r="AC199" s="526">
        <f t="shared" si="72"/>
        <v>0</v>
      </c>
      <c r="AD199" s="526">
        <f t="shared" si="73"/>
        <v>0</v>
      </c>
    </row>
    <row r="200" spans="1:30">
      <c r="A200" s="759">
        <v>182</v>
      </c>
      <c r="B200" s="529">
        <v>7000016906</v>
      </c>
      <c r="C200" s="529">
        <v>430</v>
      </c>
      <c r="D200" s="529" t="s">
        <v>530</v>
      </c>
      <c r="E200" s="529">
        <v>1000019919</v>
      </c>
      <c r="F200" s="529">
        <v>85353090</v>
      </c>
      <c r="G200" s="716"/>
      <c r="H200" s="529">
        <v>18</v>
      </c>
      <c r="I200" s="541"/>
      <c r="J200" s="715" t="s">
        <v>550</v>
      </c>
      <c r="K200" s="529" t="s">
        <v>552</v>
      </c>
      <c r="L200" s="529">
        <v>1</v>
      </c>
      <c r="M200" s="717"/>
      <c r="N200" s="530" t="str">
        <f t="shared" si="74"/>
        <v>INCLUDED</v>
      </c>
      <c r="O200" s="747">
        <f t="shared" si="60"/>
        <v>0</v>
      </c>
      <c r="P200" s="747">
        <f t="shared" si="61"/>
        <v>0</v>
      </c>
      <c r="Q200" s="748">
        <f>Discount!$H$36</f>
        <v>0</v>
      </c>
      <c r="R200" s="748">
        <f t="shared" si="62"/>
        <v>0</v>
      </c>
      <c r="S200" s="748">
        <f t="shared" si="63"/>
        <v>0</v>
      </c>
      <c r="T200" s="749">
        <f t="shared" si="64"/>
        <v>0</v>
      </c>
      <c r="V200" s="850">
        <f t="shared" si="65"/>
        <v>0</v>
      </c>
      <c r="W200" s="749">
        <f t="shared" si="66"/>
        <v>0</v>
      </c>
      <c r="X200" s="749">
        <f t="shared" si="67"/>
        <v>0.18</v>
      </c>
      <c r="Y200" s="749">
        <f t="shared" si="68"/>
        <v>0</v>
      </c>
      <c r="Z200" s="749">
        <f t="shared" si="69"/>
        <v>0.18</v>
      </c>
      <c r="AA200" s="749">
        <f t="shared" si="70"/>
        <v>0</v>
      </c>
      <c r="AB200" s="526">
        <f t="shared" si="71"/>
        <v>0</v>
      </c>
      <c r="AC200" s="526">
        <f t="shared" si="72"/>
        <v>0</v>
      </c>
      <c r="AD200" s="526">
        <f t="shared" si="73"/>
        <v>0</v>
      </c>
    </row>
    <row r="201" spans="1:30">
      <c r="A201" s="759">
        <v>183</v>
      </c>
      <c r="B201" s="529">
        <v>7000016906</v>
      </c>
      <c r="C201" s="529">
        <v>440</v>
      </c>
      <c r="D201" s="529" t="s">
        <v>530</v>
      </c>
      <c r="E201" s="529">
        <v>1000024186</v>
      </c>
      <c r="F201" s="529">
        <v>85354010</v>
      </c>
      <c r="G201" s="716"/>
      <c r="H201" s="529">
        <v>18</v>
      </c>
      <c r="I201" s="541"/>
      <c r="J201" s="715" t="s">
        <v>549</v>
      </c>
      <c r="K201" s="529" t="s">
        <v>552</v>
      </c>
      <c r="L201" s="529">
        <v>1</v>
      </c>
      <c r="M201" s="717"/>
      <c r="N201" s="530" t="str">
        <f t="shared" si="74"/>
        <v>INCLUDED</v>
      </c>
      <c r="O201" s="747">
        <f t="shared" si="60"/>
        <v>0</v>
      </c>
      <c r="P201" s="747">
        <f t="shared" si="61"/>
        <v>0</v>
      </c>
      <c r="Q201" s="748">
        <f>Discount!$H$36</f>
        <v>0</v>
      </c>
      <c r="R201" s="748">
        <f t="shared" si="62"/>
        <v>0</v>
      </c>
      <c r="S201" s="748">
        <f t="shared" si="63"/>
        <v>0</v>
      </c>
      <c r="T201" s="749">
        <f t="shared" si="64"/>
        <v>0</v>
      </c>
      <c r="V201" s="850">
        <f t="shared" si="65"/>
        <v>0</v>
      </c>
      <c r="W201" s="749">
        <f t="shared" si="66"/>
        <v>0</v>
      </c>
      <c r="X201" s="749">
        <f t="shared" si="67"/>
        <v>0.18</v>
      </c>
      <c r="Y201" s="749">
        <f t="shared" si="68"/>
        <v>0</v>
      </c>
      <c r="Z201" s="749">
        <f t="shared" si="69"/>
        <v>0.18</v>
      </c>
      <c r="AA201" s="749">
        <f t="shared" si="70"/>
        <v>0</v>
      </c>
      <c r="AB201" s="526">
        <f t="shared" si="71"/>
        <v>0</v>
      </c>
      <c r="AC201" s="526">
        <f t="shared" si="72"/>
        <v>0</v>
      </c>
      <c r="AD201" s="526">
        <f t="shared" si="73"/>
        <v>0</v>
      </c>
    </row>
    <row r="202" spans="1:30">
      <c r="A202" s="759">
        <v>184</v>
      </c>
      <c r="B202" s="529">
        <v>7000016906</v>
      </c>
      <c r="C202" s="529">
        <v>450</v>
      </c>
      <c r="D202" s="529" t="s">
        <v>530</v>
      </c>
      <c r="E202" s="529">
        <v>1000025943</v>
      </c>
      <c r="F202" s="529">
        <v>85359090</v>
      </c>
      <c r="G202" s="716"/>
      <c r="H202" s="529">
        <v>18</v>
      </c>
      <c r="I202" s="541"/>
      <c r="J202" s="715" t="s">
        <v>623</v>
      </c>
      <c r="K202" s="529" t="s">
        <v>300</v>
      </c>
      <c r="L202" s="529">
        <v>1</v>
      </c>
      <c r="M202" s="717"/>
      <c r="N202" s="530" t="str">
        <f t="shared" si="74"/>
        <v>INCLUDED</v>
      </c>
      <c r="O202" s="747">
        <f t="shared" si="60"/>
        <v>0</v>
      </c>
      <c r="P202" s="747">
        <f t="shared" si="61"/>
        <v>0</v>
      </c>
      <c r="Q202" s="748">
        <f>Discount!$H$36</f>
        <v>0</v>
      </c>
      <c r="R202" s="748">
        <f t="shared" si="62"/>
        <v>0</v>
      </c>
      <c r="S202" s="748">
        <f t="shared" si="63"/>
        <v>0</v>
      </c>
      <c r="T202" s="749">
        <f t="shared" si="64"/>
        <v>0</v>
      </c>
      <c r="V202" s="850">
        <f t="shared" si="65"/>
        <v>0</v>
      </c>
      <c r="W202" s="749">
        <f t="shared" si="66"/>
        <v>0</v>
      </c>
      <c r="X202" s="749">
        <f t="shared" si="67"/>
        <v>0.18</v>
      </c>
      <c r="Y202" s="749">
        <f t="shared" si="68"/>
        <v>0</v>
      </c>
      <c r="Z202" s="749">
        <f t="shared" si="69"/>
        <v>0.18</v>
      </c>
      <c r="AA202" s="749">
        <f t="shared" si="70"/>
        <v>0</v>
      </c>
      <c r="AB202" s="526">
        <f t="shared" si="71"/>
        <v>0</v>
      </c>
      <c r="AC202" s="526">
        <f t="shared" si="72"/>
        <v>0</v>
      </c>
      <c r="AD202" s="526">
        <f t="shared" si="73"/>
        <v>0</v>
      </c>
    </row>
    <row r="203" spans="1:30">
      <c r="A203" s="759">
        <v>185</v>
      </c>
      <c r="B203" s="529">
        <v>7000016906</v>
      </c>
      <c r="C203" s="529">
        <v>460</v>
      </c>
      <c r="D203" s="529" t="s">
        <v>530</v>
      </c>
      <c r="E203" s="529">
        <v>1000025940</v>
      </c>
      <c r="F203" s="529">
        <v>85462040</v>
      </c>
      <c r="G203" s="716"/>
      <c r="H203" s="529">
        <v>18</v>
      </c>
      <c r="I203" s="541"/>
      <c r="J203" s="715" t="s">
        <v>605</v>
      </c>
      <c r="K203" s="529" t="s">
        <v>300</v>
      </c>
      <c r="L203" s="529">
        <v>1</v>
      </c>
      <c r="M203" s="717"/>
      <c r="N203" s="530" t="str">
        <f t="shared" si="74"/>
        <v>INCLUDED</v>
      </c>
      <c r="O203" s="747">
        <f t="shared" si="60"/>
        <v>0</v>
      </c>
      <c r="P203" s="747">
        <f t="shared" si="61"/>
        <v>0</v>
      </c>
      <c r="Q203" s="748">
        <f>Discount!$H$36</f>
        <v>0</v>
      </c>
      <c r="R203" s="748">
        <f t="shared" si="62"/>
        <v>0</v>
      </c>
      <c r="S203" s="748">
        <f t="shared" si="63"/>
        <v>0</v>
      </c>
      <c r="T203" s="749">
        <f t="shared" si="64"/>
        <v>0</v>
      </c>
      <c r="V203" s="850">
        <f t="shared" si="65"/>
        <v>0</v>
      </c>
      <c r="W203" s="749">
        <f t="shared" si="66"/>
        <v>0</v>
      </c>
      <c r="X203" s="749">
        <f t="shared" si="67"/>
        <v>0.18</v>
      </c>
      <c r="Y203" s="749">
        <f t="shared" si="68"/>
        <v>0</v>
      </c>
      <c r="Z203" s="749">
        <f t="shared" si="69"/>
        <v>0.18</v>
      </c>
      <c r="AA203" s="749">
        <f t="shared" si="70"/>
        <v>0</v>
      </c>
      <c r="AB203" s="526">
        <f t="shared" si="71"/>
        <v>0</v>
      </c>
      <c r="AC203" s="526">
        <f t="shared" si="72"/>
        <v>0</v>
      </c>
      <c r="AD203" s="526">
        <f t="shared" si="73"/>
        <v>0</v>
      </c>
    </row>
    <row r="204" spans="1:30">
      <c r="A204" s="759">
        <v>186</v>
      </c>
      <c r="B204" s="529">
        <v>7000016906</v>
      </c>
      <c r="C204" s="529">
        <v>470</v>
      </c>
      <c r="D204" s="529" t="s">
        <v>530</v>
      </c>
      <c r="E204" s="529">
        <v>1000025941</v>
      </c>
      <c r="F204" s="529">
        <v>85389000</v>
      </c>
      <c r="G204" s="716"/>
      <c r="H204" s="529">
        <v>18</v>
      </c>
      <c r="I204" s="541"/>
      <c r="J204" s="715" t="s">
        <v>548</v>
      </c>
      <c r="K204" s="529" t="s">
        <v>300</v>
      </c>
      <c r="L204" s="529">
        <v>1</v>
      </c>
      <c r="M204" s="717"/>
      <c r="N204" s="530" t="str">
        <f t="shared" si="74"/>
        <v>INCLUDED</v>
      </c>
      <c r="O204" s="747">
        <f t="shared" si="60"/>
        <v>0</v>
      </c>
      <c r="P204" s="747">
        <f t="shared" si="61"/>
        <v>0</v>
      </c>
      <c r="Q204" s="748">
        <f>Discount!$H$36</f>
        <v>0</v>
      </c>
      <c r="R204" s="748">
        <f t="shared" si="62"/>
        <v>0</v>
      </c>
      <c r="S204" s="748">
        <f t="shared" si="63"/>
        <v>0</v>
      </c>
      <c r="T204" s="749">
        <f t="shared" si="64"/>
        <v>0</v>
      </c>
      <c r="V204" s="850">
        <f t="shared" si="65"/>
        <v>0</v>
      </c>
      <c r="W204" s="749">
        <f t="shared" si="66"/>
        <v>0</v>
      </c>
      <c r="X204" s="749">
        <f t="shared" si="67"/>
        <v>0.18</v>
      </c>
      <c r="Y204" s="749">
        <f t="shared" si="68"/>
        <v>0</v>
      </c>
      <c r="Z204" s="749">
        <f t="shared" si="69"/>
        <v>0.18</v>
      </c>
      <c r="AA204" s="749">
        <f t="shared" si="70"/>
        <v>0</v>
      </c>
      <c r="AB204" s="526">
        <f t="shared" si="71"/>
        <v>0</v>
      </c>
      <c r="AC204" s="526">
        <f t="shared" si="72"/>
        <v>0</v>
      </c>
      <c r="AD204" s="526">
        <f t="shared" si="73"/>
        <v>0</v>
      </c>
    </row>
    <row r="205" spans="1:30">
      <c r="A205" s="759">
        <v>187</v>
      </c>
      <c r="B205" s="529">
        <v>7000016906</v>
      </c>
      <c r="C205" s="529">
        <v>480</v>
      </c>
      <c r="D205" s="529" t="s">
        <v>530</v>
      </c>
      <c r="E205" s="529">
        <v>1000019912</v>
      </c>
      <c r="F205" s="529">
        <v>85371000</v>
      </c>
      <c r="G205" s="716"/>
      <c r="H205" s="529">
        <v>18</v>
      </c>
      <c r="I205" s="541"/>
      <c r="J205" s="715" t="s">
        <v>547</v>
      </c>
      <c r="K205" s="529" t="s">
        <v>552</v>
      </c>
      <c r="L205" s="529">
        <v>1</v>
      </c>
      <c r="M205" s="717"/>
      <c r="N205" s="530" t="str">
        <f t="shared" si="74"/>
        <v>INCLUDED</v>
      </c>
      <c r="O205" s="747">
        <f t="shared" si="60"/>
        <v>0</v>
      </c>
      <c r="P205" s="747">
        <f t="shared" si="61"/>
        <v>0</v>
      </c>
      <c r="Q205" s="748">
        <f>Discount!$H$36</f>
        <v>0</v>
      </c>
      <c r="R205" s="748">
        <f t="shared" si="62"/>
        <v>0</v>
      </c>
      <c r="S205" s="748">
        <f t="shared" si="63"/>
        <v>0</v>
      </c>
      <c r="T205" s="749">
        <f t="shared" si="64"/>
        <v>0</v>
      </c>
      <c r="V205" s="850">
        <f t="shared" si="65"/>
        <v>0</v>
      </c>
      <c r="W205" s="749">
        <f t="shared" si="66"/>
        <v>0</v>
      </c>
      <c r="X205" s="749">
        <f t="shared" si="67"/>
        <v>0.18</v>
      </c>
      <c r="Y205" s="749">
        <f t="shared" si="68"/>
        <v>0</v>
      </c>
      <c r="Z205" s="749">
        <f t="shared" si="69"/>
        <v>0.18</v>
      </c>
      <c r="AA205" s="749">
        <f t="shared" si="70"/>
        <v>0</v>
      </c>
      <c r="AB205" s="526">
        <f t="shared" si="71"/>
        <v>0</v>
      </c>
      <c r="AC205" s="526">
        <f t="shared" si="72"/>
        <v>0</v>
      </c>
      <c r="AD205" s="526">
        <f t="shared" si="73"/>
        <v>0</v>
      </c>
    </row>
    <row r="206" spans="1:30">
      <c r="A206" s="759">
        <v>188</v>
      </c>
      <c r="B206" s="529">
        <v>7000016906</v>
      </c>
      <c r="C206" s="529">
        <v>490</v>
      </c>
      <c r="D206" s="529" t="s">
        <v>530</v>
      </c>
      <c r="E206" s="529">
        <v>1000019927</v>
      </c>
      <c r="F206" s="529">
        <v>85389000</v>
      </c>
      <c r="G206" s="716"/>
      <c r="H206" s="529">
        <v>18</v>
      </c>
      <c r="I206" s="541"/>
      <c r="J206" s="715" t="s">
        <v>546</v>
      </c>
      <c r="K206" s="529" t="s">
        <v>552</v>
      </c>
      <c r="L206" s="529">
        <v>1</v>
      </c>
      <c r="M206" s="717"/>
      <c r="N206" s="530" t="str">
        <f t="shared" si="74"/>
        <v>INCLUDED</v>
      </c>
      <c r="O206" s="747">
        <f t="shared" si="60"/>
        <v>0</v>
      </c>
      <c r="P206" s="747">
        <f t="shared" si="61"/>
        <v>0</v>
      </c>
      <c r="Q206" s="748">
        <f>Discount!$H$36</f>
        <v>0</v>
      </c>
      <c r="R206" s="748">
        <f t="shared" si="62"/>
        <v>0</v>
      </c>
      <c r="S206" s="748">
        <f t="shared" si="63"/>
        <v>0</v>
      </c>
      <c r="T206" s="749">
        <f t="shared" si="64"/>
        <v>0</v>
      </c>
      <c r="V206" s="850">
        <f t="shared" si="65"/>
        <v>0</v>
      </c>
      <c r="W206" s="749">
        <f t="shared" si="66"/>
        <v>0</v>
      </c>
      <c r="X206" s="749">
        <f t="shared" si="67"/>
        <v>0.18</v>
      </c>
      <c r="Y206" s="749">
        <f t="shared" si="68"/>
        <v>0</v>
      </c>
      <c r="Z206" s="749">
        <f t="shared" si="69"/>
        <v>0.18</v>
      </c>
      <c r="AA206" s="749">
        <f t="shared" si="70"/>
        <v>0</v>
      </c>
      <c r="AB206" s="526">
        <f t="shared" si="71"/>
        <v>0</v>
      </c>
      <c r="AC206" s="526">
        <f t="shared" si="72"/>
        <v>0</v>
      </c>
      <c r="AD206" s="526">
        <f t="shared" si="73"/>
        <v>0</v>
      </c>
    </row>
    <row r="207" spans="1:30">
      <c r="A207" s="759">
        <v>189</v>
      </c>
      <c r="B207" s="529">
        <v>7000016906</v>
      </c>
      <c r="C207" s="529">
        <v>500</v>
      </c>
      <c r="D207" s="529" t="s">
        <v>530</v>
      </c>
      <c r="E207" s="529">
        <v>1000025950</v>
      </c>
      <c r="F207" s="529">
        <v>85176210</v>
      </c>
      <c r="G207" s="716"/>
      <c r="H207" s="529">
        <v>18</v>
      </c>
      <c r="I207" s="541"/>
      <c r="J207" s="715" t="s">
        <v>725</v>
      </c>
      <c r="K207" s="529" t="s">
        <v>300</v>
      </c>
      <c r="L207" s="529">
        <v>1</v>
      </c>
      <c r="M207" s="717"/>
      <c r="N207" s="530" t="str">
        <f t="shared" si="74"/>
        <v>INCLUDED</v>
      </c>
      <c r="O207" s="747">
        <f t="shared" si="60"/>
        <v>0</v>
      </c>
      <c r="P207" s="747">
        <f t="shared" si="61"/>
        <v>0</v>
      </c>
      <c r="Q207" s="748">
        <f>Discount!$H$36</f>
        <v>0</v>
      </c>
      <c r="R207" s="748">
        <f t="shared" si="62"/>
        <v>0</v>
      </c>
      <c r="S207" s="748">
        <f t="shared" si="63"/>
        <v>0</v>
      </c>
      <c r="T207" s="749">
        <f t="shared" si="64"/>
        <v>0</v>
      </c>
      <c r="V207" s="850">
        <f t="shared" si="65"/>
        <v>0</v>
      </c>
      <c r="W207" s="749">
        <f t="shared" si="66"/>
        <v>0</v>
      </c>
      <c r="X207" s="749">
        <f t="shared" si="67"/>
        <v>0.18</v>
      </c>
      <c r="Y207" s="749">
        <f t="shared" si="68"/>
        <v>0</v>
      </c>
      <c r="Z207" s="749">
        <f t="shared" si="69"/>
        <v>0.18</v>
      </c>
      <c r="AA207" s="749">
        <f t="shared" si="70"/>
        <v>0</v>
      </c>
      <c r="AB207" s="526">
        <f t="shared" si="71"/>
        <v>0</v>
      </c>
      <c r="AC207" s="526">
        <f t="shared" si="72"/>
        <v>0</v>
      </c>
      <c r="AD207" s="526">
        <f t="shared" si="73"/>
        <v>0</v>
      </c>
    </row>
    <row r="208" spans="1:30">
      <c r="A208" s="759">
        <v>190</v>
      </c>
      <c r="B208" s="529">
        <v>7000016906</v>
      </c>
      <c r="C208" s="529">
        <v>510</v>
      </c>
      <c r="D208" s="529" t="s">
        <v>530</v>
      </c>
      <c r="E208" s="529">
        <v>1000032289</v>
      </c>
      <c r="F208" s="529">
        <v>84819090</v>
      </c>
      <c r="G208" s="716"/>
      <c r="H208" s="529">
        <v>18</v>
      </c>
      <c r="I208" s="541"/>
      <c r="J208" s="715" t="s">
        <v>724</v>
      </c>
      <c r="K208" s="529" t="s">
        <v>300</v>
      </c>
      <c r="L208" s="529">
        <v>1</v>
      </c>
      <c r="M208" s="717"/>
      <c r="N208" s="530" t="str">
        <f t="shared" si="74"/>
        <v>INCLUDED</v>
      </c>
      <c r="O208" s="747">
        <f t="shared" si="60"/>
        <v>0</v>
      </c>
      <c r="P208" s="747">
        <f t="shared" si="61"/>
        <v>0</v>
      </c>
      <c r="Q208" s="748">
        <f>Discount!$H$36</f>
        <v>0</v>
      </c>
      <c r="R208" s="748">
        <f t="shared" si="62"/>
        <v>0</v>
      </c>
      <c r="S208" s="748">
        <f t="shared" si="63"/>
        <v>0</v>
      </c>
      <c r="T208" s="749">
        <f t="shared" si="64"/>
        <v>0</v>
      </c>
      <c r="V208" s="850">
        <f t="shared" si="65"/>
        <v>0</v>
      </c>
      <c r="W208" s="749">
        <f t="shared" si="66"/>
        <v>0</v>
      </c>
      <c r="X208" s="749">
        <f t="shared" si="67"/>
        <v>0.18</v>
      </c>
      <c r="Y208" s="749">
        <f t="shared" si="68"/>
        <v>0</v>
      </c>
      <c r="Z208" s="749">
        <f t="shared" si="69"/>
        <v>0.18</v>
      </c>
      <c r="AA208" s="749">
        <f t="shared" si="70"/>
        <v>0</v>
      </c>
      <c r="AB208" s="526">
        <f t="shared" si="71"/>
        <v>0</v>
      </c>
      <c r="AC208" s="526">
        <f t="shared" si="72"/>
        <v>0</v>
      </c>
      <c r="AD208" s="526">
        <f t="shared" si="73"/>
        <v>0</v>
      </c>
    </row>
    <row r="209" spans="1:30">
      <c r="A209" s="759">
        <v>191</v>
      </c>
      <c r="B209" s="529">
        <v>7000016906</v>
      </c>
      <c r="C209" s="529">
        <v>520</v>
      </c>
      <c r="D209" s="529" t="s">
        <v>530</v>
      </c>
      <c r="E209" s="529">
        <v>1000053851</v>
      </c>
      <c r="F209" s="529">
        <v>76169990</v>
      </c>
      <c r="G209" s="716"/>
      <c r="H209" s="529">
        <v>18</v>
      </c>
      <c r="I209" s="541"/>
      <c r="J209" s="715" t="s">
        <v>606</v>
      </c>
      <c r="K209" s="529" t="s">
        <v>607</v>
      </c>
      <c r="L209" s="529">
        <v>1</v>
      </c>
      <c r="M209" s="717"/>
      <c r="N209" s="530" t="str">
        <f t="shared" si="74"/>
        <v>INCLUDED</v>
      </c>
      <c r="O209" s="747">
        <f t="shared" si="60"/>
        <v>0</v>
      </c>
      <c r="P209" s="747">
        <f t="shared" si="61"/>
        <v>0</v>
      </c>
      <c r="Q209" s="748">
        <f>Discount!$H$36</f>
        <v>0</v>
      </c>
      <c r="R209" s="748">
        <f t="shared" si="62"/>
        <v>0</v>
      </c>
      <c r="S209" s="748">
        <f t="shared" si="63"/>
        <v>0</v>
      </c>
      <c r="T209" s="749">
        <f t="shared" si="64"/>
        <v>0</v>
      </c>
      <c r="V209" s="850">
        <f t="shared" si="65"/>
        <v>0</v>
      </c>
      <c r="W209" s="749">
        <f t="shared" si="66"/>
        <v>0</v>
      </c>
      <c r="X209" s="749">
        <f t="shared" si="67"/>
        <v>0.18</v>
      </c>
      <c r="Y209" s="749">
        <f t="shared" si="68"/>
        <v>0</v>
      </c>
      <c r="Z209" s="749">
        <f t="shared" si="69"/>
        <v>0.18</v>
      </c>
      <c r="AA209" s="749">
        <f t="shared" si="70"/>
        <v>0</v>
      </c>
      <c r="AB209" s="526">
        <f t="shared" si="71"/>
        <v>0</v>
      </c>
      <c r="AC209" s="526">
        <f t="shared" si="72"/>
        <v>0</v>
      </c>
      <c r="AD209" s="526">
        <f t="shared" si="73"/>
        <v>0</v>
      </c>
    </row>
    <row r="210" spans="1:30" ht="31.5">
      <c r="A210" s="759">
        <v>192</v>
      </c>
      <c r="B210" s="529">
        <v>7000016906</v>
      </c>
      <c r="C210" s="529">
        <v>650</v>
      </c>
      <c r="D210" s="529" t="s">
        <v>745</v>
      </c>
      <c r="E210" s="529">
        <v>1000011314</v>
      </c>
      <c r="F210" s="529">
        <v>72169990</v>
      </c>
      <c r="G210" s="716"/>
      <c r="H210" s="529">
        <v>18</v>
      </c>
      <c r="I210" s="541"/>
      <c r="J210" s="715" t="s">
        <v>754</v>
      </c>
      <c r="K210" s="529" t="s">
        <v>300</v>
      </c>
      <c r="L210" s="529">
        <v>2</v>
      </c>
      <c r="M210" s="717"/>
      <c r="N210" s="530" t="str">
        <f t="shared" si="74"/>
        <v>INCLUDED</v>
      </c>
      <c r="O210" s="747">
        <f t="shared" si="60"/>
        <v>0</v>
      </c>
      <c r="P210" s="747">
        <f t="shared" si="61"/>
        <v>0</v>
      </c>
      <c r="Q210" s="748">
        <f>Discount!$H$36</f>
        <v>0</v>
      </c>
      <c r="R210" s="748">
        <f t="shared" si="62"/>
        <v>0</v>
      </c>
      <c r="S210" s="748">
        <f t="shared" si="63"/>
        <v>0</v>
      </c>
      <c r="T210" s="749">
        <f t="shared" si="64"/>
        <v>0</v>
      </c>
      <c r="V210" s="850">
        <f t="shared" si="65"/>
        <v>0</v>
      </c>
      <c r="W210" s="749">
        <f t="shared" si="66"/>
        <v>0</v>
      </c>
      <c r="X210" s="749">
        <f t="shared" si="67"/>
        <v>0.18</v>
      </c>
      <c r="Y210" s="749">
        <f t="shared" si="68"/>
        <v>0</v>
      </c>
      <c r="Z210" s="749">
        <f t="shared" si="69"/>
        <v>0.18</v>
      </c>
      <c r="AA210" s="749">
        <f t="shared" si="70"/>
        <v>0</v>
      </c>
      <c r="AB210" s="526">
        <f t="shared" si="71"/>
        <v>0</v>
      </c>
      <c r="AC210" s="526">
        <f t="shared" si="72"/>
        <v>0</v>
      </c>
      <c r="AD210" s="526">
        <f t="shared" si="73"/>
        <v>0</v>
      </c>
    </row>
    <row r="211" spans="1:30" ht="31.5">
      <c r="A211" s="759">
        <v>193</v>
      </c>
      <c r="B211" s="529">
        <v>7000016906</v>
      </c>
      <c r="C211" s="529">
        <v>660</v>
      </c>
      <c r="D211" s="529" t="s">
        <v>745</v>
      </c>
      <c r="E211" s="529">
        <v>1000011308</v>
      </c>
      <c r="F211" s="529">
        <v>72169990</v>
      </c>
      <c r="G211" s="716"/>
      <c r="H211" s="529">
        <v>18</v>
      </c>
      <c r="I211" s="541"/>
      <c r="J211" s="715" t="s">
        <v>755</v>
      </c>
      <c r="K211" s="529" t="s">
        <v>300</v>
      </c>
      <c r="L211" s="529">
        <v>1</v>
      </c>
      <c r="M211" s="717"/>
      <c r="N211" s="530" t="str">
        <f t="shared" si="74"/>
        <v>INCLUDED</v>
      </c>
      <c r="O211" s="747">
        <f t="shared" si="60"/>
        <v>0</v>
      </c>
      <c r="P211" s="747">
        <f t="shared" si="61"/>
        <v>0</v>
      </c>
      <c r="Q211" s="748">
        <f>Discount!$H$36</f>
        <v>0</v>
      </c>
      <c r="R211" s="748">
        <f t="shared" si="62"/>
        <v>0</v>
      </c>
      <c r="S211" s="748">
        <f t="shared" si="63"/>
        <v>0</v>
      </c>
      <c r="T211" s="749">
        <f t="shared" si="64"/>
        <v>0</v>
      </c>
      <c r="V211" s="850">
        <f t="shared" si="65"/>
        <v>0</v>
      </c>
      <c r="W211" s="749">
        <f t="shared" si="66"/>
        <v>0</v>
      </c>
      <c r="X211" s="749">
        <f t="shared" si="67"/>
        <v>0.18</v>
      </c>
      <c r="Y211" s="749">
        <f t="shared" si="68"/>
        <v>0</v>
      </c>
      <c r="Z211" s="749">
        <f t="shared" si="69"/>
        <v>0.18</v>
      </c>
      <c r="AA211" s="749">
        <f t="shared" si="70"/>
        <v>0</v>
      </c>
      <c r="AB211" s="526">
        <f t="shared" si="71"/>
        <v>0</v>
      </c>
      <c r="AC211" s="526">
        <f t="shared" si="72"/>
        <v>0</v>
      </c>
      <c r="AD211" s="526">
        <f t="shared" si="73"/>
        <v>0</v>
      </c>
    </row>
    <row r="212" spans="1:30" ht="126">
      <c r="A212" s="759">
        <v>194</v>
      </c>
      <c r="B212" s="529">
        <v>7000016906</v>
      </c>
      <c r="C212" s="529">
        <v>970</v>
      </c>
      <c r="D212" s="529" t="s">
        <v>746</v>
      </c>
      <c r="E212" s="529">
        <v>1000031367</v>
      </c>
      <c r="F212" s="529">
        <v>85176260</v>
      </c>
      <c r="G212" s="716"/>
      <c r="H212" s="529">
        <v>18</v>
      </c>
      <c r="I212" s="541"/>
      <c r="J212" s="715" t="s">
        <v>608</v>
      </c>
      <c r="K212" s="529" t="s">
        <v>299</v>
      </c>
      <c r="L212" s="529">
        <v>1</v>
      </c>
      <c r="M212" s="717"/>
      <c r="N212" s="530" t="str">
        <f t="shared" si="74"/>
        <v>INCLUDED</v>
      </c>
      <c r="O212" s="747">
        <f t="shared" si="60"/>
        <v>0</v>
      </c>
      <c r="P212" s="747">
        <f t="shared" si="61"/>
        <v>0</v>
      </c>
      <c r="Q212" s="748">
        <f>Discount!$H$36</f>
        <v>0</v>
      </c>
      <c r="R212" s="748">
        <f t="shared" si="62"/>
        <v>0</v>
      </c>
      <c r="S212" s="748">
        <f t="shared" si="63"/>
        <v>0</v>
      </c>
      <c r="T212" s="749">
        <f t="shared" si="64"/>
        <v>0</v>
      </c>
      <c r="V212" s="850">
        <f t="shared" si="65"/>
        <v>0</v>
      </c>
      <c r="W212" s="749">
        <f t="shared" si="66"/>
        <v>0</v>
      </c>
      <c r="X212" s="749">
        <f t="shared" si="67"/>
        <v>0.18</v>
      </c>
      <c r="Y212" s="749">
        <f t="shared" si="68"/>
        <v>0</v>
      </c>
      <c r="Z212" s="749">
        <f t="shared" si="69"/>
        <v>0.18</v>
      </c>
      <c r="AA212" s="749">
        <f t="shared" si="70"/>
        <v>0</v>
      </c>
      <c r="AB212" s="526">
        <f t="shared" si="71"/>
        <v>0</v>
      </c>
      <c r="AC212" s="526">
        <f t="shared" si="72"/>
        <v>0</v>
      </c>
      <c r="AD212" s="526">
        <f t="shared" si="73"/>
        <v>0</v>
      </c>
    </row>
    <row r="213" spans="1:30" ht="31.5">
      <c r="A213" s="759">
        <v>195</v>
      </c>
      <c r="B213" s="529">
        <v>7000016906</v>
      </c>
      <c r="C213" s="529">
        <v>980</v>
      </c>
      <c r="D213" s="529" t="s">
        <v>746</v>
      </c>
      <c r="E213" s="529">
        <v>1000023721</v>
      </c>
      <c r="F213" s="529">
        <v>85176260</v>
      </c>
      <c r="G213" s="716"/>
      <c r="H213" s="529">
        <v>18</v>
      </c>
      <c r="I213" s="541"/>
      <c r="J213" s="715" t="s">
        <v>742</v>
      </c>
      <c r="K213" s="529" t="s">
        <v>299</v>
      </c>
      <c r="L213" s="529">
        <v>4</v>
      </c>
      <c r="M213" s="717"/>
      <c r="N213" s="530" t="str">
        <f t="shared" si="74"/>
        <v>INCLUDED</v>
      </c>
      <c r="O213" s="747">
        <f t="shared" si="60"/>
        <v>0</v>
      </c>
      <c r="P213" s="747">
        <f t="shared" si="61"/>
        <v>0</v>
      </c>
      <c r="Q213" s="748">
        <f>Discount!$H$36</f>
        <v>0</v>
      </c>
      <c r="R213" s="748">
        <f t="shared" si="62"/>
        <v>0</v>
      </c>
      <c r="S213" s="748">
        <f t="shared" si="63"/>
        <v>0</v>
      </c>
      <c r="T213" s="749">
        <f t="shared" si="64"/>
        <v>0</v>
      </c>
      <c r="V213" s="850">
        <f t="shared" si="65"/>
        <v>0</v>
      </c>
      <c r="W213" s="749">
        <f t="shared" si="66"/>
        <v>0</v>
      </c>
      <c r="X213" s="749">
        <f t="shared" si="67"/>
        <v>0.18</v>
      </c>
      <c r="Y213" s="749">
        <f t="shared" si="68"/>
        <v>0</v>
      </c>
      <c r="Z213" s="749">
        <f t="shared" si="69"/>
        <v>0.18</v>
      </c>
      <c r="AA213" s="749">
        <f t="shared" si="70"/>
        <v>0</v>
      </c>
      <c r="AB213" s="526">
        <f t="shared" si="71"/>
        <v>0</v>
      </c>
      <c r="AC213" s="526">
        <f t="shared" si="72"/>
        <v>0</v>
      </c>
      <c r="AD213" s="526">
        <f t="shared" si="73"/>
        <v>0</v>
      </c>
    </row>
    <row r="214" spans="1:30" ht="31.5">
      <c r="A214" s="759">
        <v>196</v>
      </c>
      <c r="B214" s="529">
        <v>7000016906</v>
      </c>
      <c r="C214" s="529">
        <v>990</v>
      </c>
      <c r="D214" s="529" t="s">
        <v>746</v>
      </c>
      <c r="E214" s="529">
        <v>1000014272</v>
      </c>
      <c r="F214" s="529">
        <v>85176290</v>
      </c>
      <c r="G214" s="716"/>
      <c r="H214" s="529">
        <v>18</v>
      </c>
      <c r="I214" s="541"/>
      <c r="J214" s="715" t="s">
        <v>624</v>
      </c>
      <c r="K214" s="529" t="s">
        <v>299</v>
      </c>
      <c r="L214" s="529">
        <v>2</v>
      </c>
      <c r="M214" s="717"/>
      <c r="N214" s="530" t="str">
        <f t="shared" ref="N214:N215" si="90">IF(M214=0, "INCLUDED", IF(ISERROR(M214*L214), M214, M214*L214))</f>
        <v>INCLUDED</v>
      </c>
      <c r="O214" s="747">
        <f t="shared" ref="O214:O215" si="91">IF(N214="Included",0,N214)</f>
        <v>0</v>
      </c>
      <c r="P214" s="747">
        <f t="shared" ref="P214:P215" si="92">IF( I214="",H214*(IF(N214="Included",0,N214))/100,I214*(IF(N214="Included",0,N214)))</f>
        <v>0</v>
      </c>
      <c r="Q214" s="748">
        <f>Discount!$H$36</f>
        <v>0</v>
      </c>
      <c r="R214" s="748">
        <f t="shared" ref="R214:R215" si="93">Q214*O214</f>
        <v>0</v>
      </c>
      <c r="S214" s="748">
        <f t="shared" ref="S214:S215" si="94">IF(I214="",H214*R214/100,I214*R214)</f>
        <v>0</v>
      </c>
      <c r="T214" s="749">
        <f t="shared" ref="T214:T215" si="95">M214*L214</f>
        <v>0</v>
      </c>
      <c r="V214" s="850">
        <f t="shared" ref="V214:V215" si="96">ROUND(M214,2)</f>
        <v>0</v>
      </c>
      <c r="W214" s="749">
        <f t="shared" ref="W214:W215" si="97">L214*V214</f>
        <v>0</v>
      </c>
      <c r="X214" s="749">
        <f t="shared" ref="X214:X215" si="98">IF(I214="",H214/100,I214)</f>
        <v>0.18</v>
      </c>
      <c r="Y214" s="749">
        <f t="shared" ref="Y214:Y215" si="99">IF(X214=0.12,0.12,0)</f>
        <v>0</v>
      </c>
      <c r="Z214" s="749">
        <f t="shared" ref="Z214:Z215" si="100">IF(X214=0.18,0.18,0)</f>
        <v>0.18</v>
      </c>
      <c r="AA214" s="749">
        <f t="shared" ref="AA214:AA215" si="101">IF(X214=0.28,0.28,0)</f>
        <v>0</v>
      </c>
      <c r="AB214" s="526">
        <f t="shared" ref="AB214:AB215" si="102">W214*Y214</f>
        <v>0</v>
      </c>
      <c r="AC214" s="526">
        <f t="shared" ref="AC214:AC215" si="103">W214*Z214</f>
        <v>0</v>
      </c>
      <c r="AD214" s="526">
        <f t="shared" ref="AD214:AD215" si="104">W214*AA214</f>
        <v>0</v>
      </c>
    </row>
    <row r="215" spans="1:30" ht="31.5">
      <c r="A215" s="759">
        <v>197</v>
      </c>
      <c r="B215" s="529">
        <v>7000016906</v>
      </c>
      <c r="C215" s="529">
        <v>1000</v>
      </c>
      <c r="D215" s="529" t="s">
        <v>746</v>
      </c>
      <c r="E215" s="529">
        <v>1000031374</v>
      </c>
      <c r="F215" s="529">
        <v>85176290</v>
      </c>
      <c r="G215" s="716"/>
      <c r="H215" s="529">
        <v>18</v>
      </c>
      <c r="I215" s="541"/>
      <c r="J215" s="715" t="s">
        <v>610</v>
      </c>
      <c r="K215" s="529" t="s">
        <v>300</v>
      </c>
      <c r="L215" s="529">
        <v>2</v>
      </c>
      <c r="M215" s="717"/>
      <c r="N215" s="530" t="str">
        <f t="shared" si="90"/>
        <v>INCLUDED</v>
      </c>
      <c r="O215" s="747">
        <f t="shared" si="91"/>
        <v>0</v>
      </c>
      <c r="P215" s="747">
        <f t="shared" si="92"/>
        <v>0</v>
      </c>
      <c r="Q215" s="748">
        <f>Discount!$H$36</f>
        <v>0</v>
      </c>
      <c r="R215" s="748">
        <f t="shared" si="93"/>
        <v>0</v>
      </c>
      <c r="S215" s="748">
        <f t="shared" si="94"/>
        <v>0</v>
      </c>
      <c r="T215" s="749">
        <f t="shared" si="95"/>
        <v>0</v>
      </c>
      <c r="V215" s="850">
        <f t="shared" si="96"/>
        <v>0</v>
      </c>
      <c r="W215" s="749">
        <f t="shared" si="97"/>
        <v>0</v>
      </c>
      <c r="X215" s="749">
        <f t="shared" si="98"/>
        <v>0.18</v>
      </c>
      <c r="Y215" s="749">
        <f t="shared" si="99"/>
        <v>0</v>
      </c>
      <c r="Z215" s="749">
        <f t="shared" si="100"/>
        <v>0.18</v>
      </c>
      <c r="AA215" s="749">
        <f t="shared" si="101"/>
        <v>0</v>
      </c>
      <c r="AB215" s="526">
        <f t="shared" si="102"/>
        <v>0</v>
      </c>
      <c r="AC215" s="526">
        <f t="shared" si="103"/>
        <v>0</v>
      </c>
      <c r="AD215" s="526">
        <f t="shared" si="104"/>
        <v>0</v>
      </c>
    </row>
    <row r="216" spans="1:30" ht="31.5">
      <c r="A216" s="759">
        <v>198</v>
      </c>
      <c r="B216" s="529">
        <v>7000016906</v>
      </c>
      <c r="C216" s="529">
        <v>1010</v>
      </c>
      <c r="D216" s="529" t="s">
        <v>746</v>
      </c>
      <c r="E216" s="529">
        <v>1000034950</v>
      </c>
      <c r="F216" s="529">
        <v>85176990</v>
      </c>
      <c r="G216" s="716"/>
      <c r="H216" s="529">
        <v>18</v>
      </c>
      <c r="I216" s="541"/>
      <c r="J216" s="715" t="s">
        <v>611</v>
      </c>
      <c r="K216" s="529" t="s">
        <v>299</v>
      </c>
      <c r="L216" s="529">
        <v>2</v>
      </c>
      <c r="M216" s="717"/>
      <c r="N216" s="530" t="str">
        <f t="shared" si="74"/>
        <v>INCLUDED</v>
      </c>
      <c r="O216" s="747">
        <f t="shared" si="60"/>
        <v>0</v>
      </c>
      <c r="P216" s="747">
        <f t="shared" si="61"/>
        <v>0</v>
      </c>
      <c r="Q216" s="748">
        <f>Discount!$H$36</f>
        <v>0</v>
      </c>
      <c r="R216" s="748">
        <f t="shared" si="62"/>
        <v>0</v>
      </c>
      <c r="S216" s="748">
        <f t="shared" si="63"/>
        <v>0</v>
      </c>
      <c r="T216" s="749">
        <f t="shared" si="64"/>
        <v>0</v>
      </c>
      <c r="V216" s="850">
        <f t="shared" si="65"/>
        <v>0</v>
      </c>
      <c r="W216" s="749">
        <f t="shared" si="66"/>
        <v>0</v>
      </c>
      <c r="X216" s="749">
        <f t="shared" si="67"/>
        <v>0.18</v>
      </c>
      <c r="Y216" s="749">
        <f t="shared" si="68"/>
        <v>0</v>
      </c>
      <c r="Z216" s="749">
        <f t="shared" si="69"/>
        <v>0.18</v>
      </c>
      <c r="AA216" s="749">
        <f t="shared" si="70"/>
        <v>0</v>
      </c>
      <c r="AB216" s="526">
        <f t="shared" si="71"/>
        <v>0</v>
      </c>
      <c r="AC216" s="526">
        <f t="shared" si="72"/>
        <v>0</v>
      </c>
      <c r="AD216" s="526">
        <f t="shared" si="73"/>
        <v>0</v>
      </c>
    </row>
    <row r="217" spans="1:30" ht="47.25">
      <c r="A217" s="759">
        <v>199</v>
      </c>
      <c r="B217" s="529">
        <v>7000016906</v>
      </c>
      <c r="C217" s="529">
        <v>1020</v>
      </c>
      <c r="D217" s="529" t="s">
        <v>746</v>
      </c>
      <c r="E217" s="529">
        <v>1000031381</v>
      </c>
      <c r="F217" s="529">
        <v>85176290</v>
      </c>
      <c r="G217" s="716"/>
      <c r="H217" s="529">
        <v>18</v>
      </c>
      <c r="I217" s="541"/>
      <c r="J217" s="715" t="s">
        <v>612</v>
      </c>
      <c r="K217" s="529" t="s">
        <v>300</v>
      </c>
      <c r="L217" s="529">
        <v>1</v>
      </c>
      <c r="M217" s="717"/>
      <c r="N217" s="530" t="str">
        <f t="shared" si="74"/>
        <v>INCLUDED</v>
      </c>
      <c r="O217" s="747">
        <f t="shared" si="60"/>
        <v>0</v>
      </c>
      <c r="P217" s="747">
        <f t="shared" si="61"/>
        <v>0</v>
      </c>
      <c r="Q217" s="748">
        <f>Discount!$H$36</f>
        <v>0</v>
      </c>
      <c r="R217" s="748">
        <f t="shared" si="62"/>
        <v>0</v>
      </c>
      <c r="S217" s="748">
        <f t="shared" si="63"/>
        <v>0</v>
      </c>
      <c r="T217" s="749">
        <f t="shared" si="64"/>
        <v>0</v>
      </c>
      <c r="V217" s="850">
        <f t="shared" si="65"/>
        <v>0</v>
      </c>
      <c r="W217" s="749">
        <f t="shared" si="66"/>
        <v>0</v>
      </c>
      <c r="X217" s="749">
        <f t="shared" si="67"/>
        <v>0.18</v>
      </c>
      <c r="Y217" s="749">
        <f t="shared" si="68"/>
        <v>0</v>
      </c>
      <c r="Z217" s="749">
        <f t="shared" si="69"/>
        <v>0.18</v>
      </c>
      <c r="AA217" s="749">
        <f t="shared" si="70"/>
        <v>0</v>
      </c>
      <c r="AB217" s="526">
        <f t="shared" si="71"/>
        <v>0</v>
      </c>
      <c r="AC217" s="526">
        <f t="shared" si="72"/>
        <v>0</v>
      </c>
      <c r="AD217" s="526">
        <f t="shared" si="73"/>
        <v>0</v>
      </c>
    </row>
    <row r="218" spans="1:30" ht="31.5">
      <c r="A218" s="759">
        <v>200</v>
      </c>
      <c r="B218" s="529">
        <v>7000016906</v>
      </c>
      <c r="C218" s="529">
        <v>1030</v>
      </c>
      <c r="D218" s="529" t="s">
        <v>746</v>
      </c>
      <c r="E218" s="529">
        <v>1000026228</v>
      </c>
      <c r="F218" s="529">
        <v>85176290</v>
      </c>
      <c r="G218" s="716"/>
      <c r="H218" s="529">
        <v>18</v>
      </c>
      <c r="I218" s="541"/>
      <c r="J218" s="715" t="s">
        <v>613</v>
      </c>
      <c r="K218" s="529" t="s">
        <v>299</v>
      </c>
      <c r="L218" s="529">
        <v>1</v>
      </c>
      <c r="M218" s="717"/>
      <c r="N218" s="530" t="str">
        <f t="shared" ref="N218:N225" si="105">IF(M218=0, "INCLUDED", IF(ISERROR(M218*L218), M218, M218*L218))</f>
        <v>INCLUDED</v>
      </c>
      <c r="O218" s="747">
        <f t="shared" ref="O218:O225" si="106">IF(N218="Included",0,N218)</f>
        <v>0</v>
      </c>
      <c r="P218" s="747">
        <f t="shared" ref="P218:P225" si="107">IF( I218="",H218*(IF(N218="Included",0,N218))/100,I218*(IF(N218="Included",0,N218)))</f>
        <v>0</v>
      </c>
      <c r="Q218" s="748">
        <f>Discount!$H$36</f>
        <v>0</v>
      </c>
      <c r="R218" s="748">
        <f t="shared" ref="R218:R225" si="108">Q218*O218</f>
        <v>0</v>
      </c>
      <c r="S218" s="748">
        <f t="shared" ref="S218:S225" si="109">IF(I218="",H218*R218/100,I218*R218)</f>
        <v>0</v>
      </c>
      <c r="T218" s="749">
        <f t="shared" ref="T218:T225" si="110">M218*L218</f>
        <v>0</v>
      </c>
      <c r="V218" s="850">
        <f t="shared" ref="V218:V225" si="111">ROUND(M218,2)</f>
        <v>0</v>
      </c>
      <c r="W218" s="749">
        <f t="shared" ref="W218:W225" si="112">L218*V218</f>
        <v>0</v>
      </c>
      <c r="X218" s="749">
        <f t="shared" ref="X218:X225" si="113">IF(I218="",H218/100,I218)</f>
        <v>0.18</v>
      </c>
      <c r="Y218" s="749">
        <f t="shared" ref="Y218:Y225" si="114">IF(X218=0.12,0.12,0)</f>
        <v>0</v>
      </c>
      <c r="Z218" s="749">
        <f t="shared" ref="Z218:Z225" si="115">IF(X218=0.18,0.18,0)</f>
        <v>0.18</v>
      </c>
      <c r="AA218" s="749">
        <f t="shared" ref="AA218:AA225" si="116">IF(X218=0.28,0.28,0)</f>
        <v>0</v>
      </c>
      <c r="AB218" s="526">
        <f t="shared" ref="AB218:AB225" si="117">W218*Y218</f>
        <v>0</v>
      </c>
      <c r="AC218" s="526">
        <f t="shared" ref="AC218:AC225" si="118">W218*Z218</f>
        <v>0</v>
      </c>
      <c r="AD218" s="526">
        <f t="shared" ref="AD218:AD225" si="119">W218*AA218</f>
        <v>0</v>
      </c>
    </row>
    <row r="219" spans="1:30" ht="31.5">
      <c r="A219" s="759">
        <v>201</v>
      </c>
      <c r="B219" s="529">
        <v>7000016906</v>
      </c>
      <c r="C219" s="529">
        <v>1040</v>
      </c>
      <c r="D219" s="529" t="s">
        <v>746</v>
      </c>
      <c r="E219" s="529">
        <v>1000034998</v>
      </c>
      <c r="F219" s="529">
        <v>85171890</v>
      </c>
      <c r="G219" s="716"/>
      <c r="H219" s="529">
        <v>18</v>
      </c>
      <c r="I219" s="541"/>
      <c r="J219" s="715" t="s">
        <v>614</v>
      </c>
      <c r="K219" s="529" t="s">
        <v>299</v>
      </c>
      <c r="L219" s="529">
        <v>2</v>
      </c>
      <c r="M219" s="717"/>
      <c r="N219" s="530" t="str">
        <f t="shared" si="105"/>
        <v>INCLUDED</v>
      </c>
      <c r="O219" s="747">
        <f t="shared" si="106"/>
        <v>0</v>
      </c>
      <c r="P219" s="747">
        <f t="shared" si="107"/>
        <v>0</v>
      </c>
      <c r="Q219" s="748">
        <f>Discount!$H$36</f>
        <v>0</v>
      </c>
      <c r="R219" s="748">
        <f t="shared" si="108"/>
        <v>0</v>
      </c>
      <c r="S219" s="748">
        <f t="shared" si="109"/>
        <v>0</v>
      </c>
      <c r="T219" s="749">
        <f t="shared" si="110"/>
        <v>0</v>
      </c>
      <c r="V219" s="850">
        <f t="shared" si="111"/>
        <v>0</v>
      </c>
      <c r="W219" s="749">
        <f t="shared" si="112"/>
        <v>0</v>
      </c>
      <c r="X219" s="749">
        <f t="shared" si="113"/>
        <v>0.18</v>
      </c>
      <c r="Y219" s="749">
        <f t="shared" si="114"/>
        <v>0</v>
      </c>
      <c r="Z219" s="749">
        <f t="shared" si="115"/>
        <v>0.18</v>
      </c>
      <c r="AA219" s="749">
        <f t="shared" si="116"/>
        <v>0</v>
      </c>
      <c r="AB219" s="526">
        <f t="shared" si="117"/>
        <v>0</v>
      </c>
      <c r="AC219" s="526">
        <f t="shared" si="118"/>
        <v>0</v>
      </c>
      <c r="AD219" s="526">
        <f t="shared" si="119"/>
        <v>0</v>
      </c>
    </row>
    <row r="220" spans="1:30" ht="31.5">
      <c r="A220" s="759">
        <v>202</v>
      </c>
      <c r="B220" s="529">
        <v>7000016906</v>
      </c>
      <c r="C220" s="529">
        <v>1050</v>
      </c>
      <c r="D220" s="529" t="s">
        <v>746</v>
      </c>
      <c r="E220" s="529">
        <v>1000030942</v>
      </c>
      <c r="F220" s="529">
        <v>85447090</v>
      </c>
      <c r="G220" s="716"/>
      <c r="H220" s="529">
        <v>18</v>
      </c>
      <c r="I220" s="541"/>
      <c r="J220" s="715" t="s">
        <v>615</v>
      </c>
      <c r="K220" s="529" t="s">
        <v>478</v>
      </c>
      <c r="L220" s="529">
        <v>1</v>
      </c>
      <c r="M220" s="717"/>
      <c r="N220" s="530" t="str">
        <f t="shared" si="105"/>
        <v>INCLUDED</v>
      </c>
      <c r="O220" s="747">
        <f t="shared" si="106"/>
        <v>0</v>
      </c>
      <c r="P220" s="747">
        <f t="shared" si="107"/>
        <v>0</v>
      </c>
      <c r="Q220" s="748">
        <f>Discount!$H$36</f>
        <v>0</v>
      </c>
      <c r="R220" s="748">
        <f t="shared" si="108"/>
        <v>0</v>
      </c>
      <c r="S220" s="748">
        <f t="shared" si="109"/>
        <v>0</v>
      </c>
      <c r="T220" s="749">
        <f t="shared" si="110"/>
        <v>0</v>
      </c>
      <c r="V220" s="850">
        <f t="shared" si="111"/>
        <v>0</v>
      </c>
      <c r="W220" s="749">
        <f t="shared" si="112"/>
        <v>0</v>
      </c>
      <c r="X220" s="749">
        <f t="shared" si="113"/>
        <v>0.18</v>
      </c>
      <c r="Y220" s="749">
        <f t="shared" si="114"/>
        <v>0</v>
      </c>
      <c r="Z220" s="749">
        <f t="shared" si="115"/>
        <v>0.18</v>
      </c>
      <c r="AA220" s="749">
        <f t="shared" si="116"/>
        <v>0</v>
      </c>
      <c r="AB220" s="526">
        <f t="shared" si="117"/>
        <v>0</v>
      </c>
      <c r="AC220" s="526">
        <f t="shared" si="118"/>
        <v>0</v>
      </c>
      <c r="AD220" s="526">
        <f t="shared" si="119"/>
        <v>0</v>
      </c>
    </row>
    <row r="221" spans="1:30" ht="31.5">
      <c r="A221" s="759">
        <v>203</v>
      </c>
      <c r="B221" s="529">
        <v>7000016906</v>
      </c>
      <c r="C221" s="529">
        <v>1060</v>
      </c>
      <c r="D221" s="529" t="s">
        <v>746</v>
      </c>
      <c r="E221" s="529">
        <v>1000023471</v>
      </c>
      <c r="F221" s="529">
        <v>85372000</v>
      </c>
      <c r="G221" s="716"/>
      <c r="H221" s="529">
        <v>18</v>
      </c>
      <c r="I221" s="541"/>
      <c r="J221" s="715" t="s">
        <v>616</v>
      </c>
      <c r="K221" s="529" t="s">
        <v>299</v>
      </c>
      <c r="L221" s="529">
        <v>1</v>
      </c>
      <c r="M221" s="717"/>
      <c r="N221" s="530" t="str">
        <f t="shared" si="105"/>
        <v>INCLUDED</v>
      </c>
      <c r="O221" s="747">
        <f t="shared" si="106"/>
        <v>0</v>
      </c>
      <c r="P221" s="747">
        <f t="shared" si="107"/>
        <v>0</v>
      </c>
      <c r="Q221" s="748">
        <f>Discount!$H$36</f>
        <v>0</v>
      </c>
      <c r="R221" s="748">
        <f t="shared" si="108"/>
        <v>0</v>
      </c>
      <c r="S221" s="748">
        <f t="shared" si="109"/>
        <v>0</v>
      </c>
      <c r="T221" s="749">
        <f t="shared" si="110"/>
        <v>0</v>
      </c>
      <c r="V221" s="850">
        <f t="shared" si="111"/>
        <v>0</v>
      </c>
      <c r="W221" s="749">
        <f t="shared" si="112"/>
        <v>0</v>
      </c>
      <c r="X221" s="749">
        <f t="shared" si="113"/>
        <v>0.18</v>
      </c>
      <c r="Y221" s="749">
        <f t="shared" si="114"/>
        <v>0</v>
      </c>
      <c r="Z221" s="749">
        <f t="shared" si="115"/>
        <v>0.18</v>
      </c>
      <c r="AA221" s="749">
        <f t="shared" si="116"/>
        <v>0</v>
      </c>
      <c r="AB221" s="526">
        <f t="shared" si="117"/>
        <v>0</v>
      </c>
      <c r="AC221" s="526">
        <f t="shared" si="118"/>
        <v>0</v>
      </c>
      <c r="AD221" s="526">
        <f t="shared" si="119"/>
        <v>0</v>
      </c>
    </row>
    <row r="222" spans="1:30" ht="31.5">
      <c r="A222" s="759">
        <v>204</v>
      </c>
      <c r="B222" s="529">
        <v>7000016906</v>
      </c>
      <c r="C222" s="529">
        <v>1080</v>
      </c>
      <c r="D222" s="529" t="s">
        <v>747</v>
      </c>
      <c r="E222" s="529">
        <v>1000017518</v>
      </c>
      <c r="F222" s="529">
        <v>85364900</v>
      </c>
      <c r="G222" s="716"/>
      <c r="H222" s="529">
        <v>18</v>
      </c>
      <c r="I222" s="541"/>
      <c r="J222" s="715" t="s">
        <v>619</v>
      </c>
      <c r="K222" s="529" t="s">
        <v>299</v>
      </c>
      <c r="L222" s="529">
        <v>2</v>
      </c>
      <c r="M222" s="717"/>
      <c r="N222" s="530" t="str">
        <f t="shared" si="105"/>
        <v>INCLUDED</v>
      </c>
      <c r="O222" s="747">
        <f t="shared" si="106"/>
        <v>0</v>
      </c>
      <c r="P222" s="747">
        <f t="shared" si="107"/>
        <v>0</v>
      </c>
      <c r="Q222" s="748">
        <f>Discount!$H$36</f>
        <v>0</v>
      </c>
      <c r="R222" s="748">
        <f t="shared" si="108"/>
        <v>0</v>
      </c>
      <c r="S222" s="748">
        <f t="shared" si="109"/>
        <v>0</v>
      </c>
      <c r="T222" s="749">
        <f t="shared" si="110"/>
        <v>0</v>
      </c>
      <c r="V222" s="850">
        <f t="shared" si="111"/>
        <v>0</v>
      </c>
      <c r="W222" s="749">
        <f t="shared" si="112"/>
        <v>0</v>
      </c>
      <c r="X222" s="749">
        <f t="shared" si="113"/>
        <v>0.18</v>
      </c>
      <c r="Y222" s="749">
        <f t="shared" si="114"/>
        <v>0</v>
      </c>
      <c r="Z222" s="749">
        <f t="shared" si="115"/>
        <v>0.18</v>
      </c>
      <c r="AA222" s="749">
        <f t="shared" si="116"/>
        <v>0</v>
      </c>
      <c r="AB222" s="526">
        <f t="shared" si="117"/>
        <v>0</v>
      </c>
      <c r="AC222" s="526">
        <f t="shared" si="118"/>
        <v>0</v>
      </c>
      <c r="AD222" s="526">
        <f t="shared" si="119"/>
        <v>0</v>
      </c>
    </row>
    <row r="223" spans="1:30" ht="31.5">
      <c r="A223" s="759">
        <v>205</v>
      </c>
      <c r="B223" s="529">
        <v>7000016906</v>
      </c>
      <c r="C223" s="529">
        <v>1090</v>
      </c>
      <c r="D223" s="529" t="s">
        <v>747</v>
      </c>
      <c r="E223" s="529">
        <v>1000022512</v>
      </c>
      <c r="F223" s="529">
        <v>90311000</v>
      </c>
      <c r="G223" s="716"/>
      <c r="H223" s="529">
        <v>18</v>
      </c>
      <c r="I223" s="541"/>
      <c r="J223" s="715" t="s">
        <v>620</v>
      </c>
      <c r="K223" s="529" t="s">
        <v>299</v>
      </c>
      <c r="L223" s="529">
        <v>2</v>
      </c>
      <c r="M223" s="717"/>
      <c r="N223" s="530" t="str">
        <f t="shared" si="105"/>
        <v>INCLUDED</v>
      </c>
      <c r="O223" s="747">
        <f t="shared" si="106"/>
        <v>0</v>
      </c>
      <c r="P223" s="747">
        <f t="shared" si="107"/>
        <v>0</v>
      </c>
      <c r="Q223" s="748">
        <f>Discount!$H$36</f>
        <v>0</v>
      </c>
      <c r="R223" s="748">
        <f t="shared" si="108"/>
        <v>0</v>
      </c>
      <c r="S223" s="748">
        <f t="shared" si="109"/>
        <v>0</v>
      </c>
      <c r="T223" s="749">
        <f t="shared" si="110"/>
        <v>0</v>
      </c>
      <c r="V223" s="850">
        <f t="shared" si="111"/>
        <v>0</v>
      </c>
      <c r="W223" s="749">
        <f t="shared" si="112"/>
        <v>0</v>
      </c>
      <c r="X223" s="749">
        <f t="shared" si="113"/>
        <v>0.18</v>
      </c>
      <c r="Y223" s="749">
        <f t="shared" si="114"/>
        <v>0</v>
      </c>
      <c r="Z223" s="749">
        <f t="shared" si="115"/>
        <v>0.18</v>
      </c>
      <c r="AA223" s="749">
        <f t="shared" si="116"/>
        <v>0</v>
      </c>
      <c r="AB223" s="526">
        <f t="shared" si="117"/>
        <v>0</v>
      </c>
      <c r="AC223" s="526">
        <f t="shared" si="118"/>
        <v>0</v>
      </c>
      <c r="AD223" s="526">
        <f t="shared" si="119"/>
        <v>0</v>
      </c>
    </row>
    <row r="224" spans="1:30" ht="47.25">
      <c r="A224" s="759">
        <v>206</v>
      </c>
      <c r="B224" s="529">
        <v>7000016906</v>
      </c>
      <c r="C224" s="529">
        <v>1100</v>
      </c>
      <c r="D224" s="529" t="s">
        <v>747</v>
      </c>
      <c r="E224" s="529">
        <v>1000022510</v>
      </c>
      <c r="F224" s="529">
        <v>85176290</v>
      </c>
      <c r="G224" s="716"/>
      <c r="H224" s="529">
        <v>18</v>
      </c>
      <c r="I224" s="541"/>
      <c r="J224" s="715" t="s">
        <v>621</v>
      </c>
      <c r="K224" s="529" t="s">
        <v>299</v>
      </c>
      <c r="L224" s="529">
        <v>3</v>
      </c>
      <c r="M224" s="717"/>
      <c r="N224" s="530" t="str">
        <f t="shared" si="105"/>
        <v>INCLUDED</v>
      </c>
      <c r="O224" s="747">
        <f t="shared" si="106"/>
        <v>0</v>
      </c>
      <c r="P224" s="747">
        <f t="shared" si="107"/>
        <v>0</v>
      </c>
      <c r="Q224" s="748">
        <f>Discount!$H$36</f>
        <v>0</v>
      </c>
      <c r="R224" s="748">
        <f t="shared" si="108"/>
        <v>0</v>
      </c>
      <c r="S224" s="748">
        <f t="shared" si="109"/>
        <v>0</v>
      </c>
      <c r="T224" s="749">
        <f t="shared" si="110"/>
        <v>0</v>
      </c>
      <c r="V224" s="850">
        <f t="shared" si="111"/>
        <v>0</v>
      </c>
      <c r="W224" s="749">
        <f t="shared" si="112"/>
        <v>0</v>
      </c>
      <c r="X224" s="749">
        <f t="shared" si="113"/>
        <v>0.18</v>
      </c>
      <c r="Y224" s="749">
        <f t="shared" si="114"/>
        <v>0</v>
      </c>
      <c r="Z224" s="749">
        <f t="shared" si="115"/>
        <v>0.18</v>
      </c>
      <c r="AA224" s="749">
        <f t="shared" si="116"/>
        <v>0</v>
      </c>
      <c r="AB224" s="526">
        <f t="shared" si="117"/>
        <v>0</v>
      </c>
      <c r="AC224" s="526">
        <f t="shared" si="118"/>
        <v>0</v>
      </c>
      <c r="AD224" s="526">
        <f t="shared" si="119"/>
        <v>0</v>
      </c>
    </row>
    <row r="225" spans="1:30" ht="47.25">
      <c r="A225" s="759">
        <v>207</v>
      </c>
      <c r="B225" s="529">
        <v>7000016906</v>
      </c>
      <c r="C225" s="529">
        <v>1110</v>
      </c>
      <c r="D225" s="529" t="s">
        <v>747</v>
      </c>
      <c r="E225" s="529">
        <v>1000022487</v>
      </c>
      <c r="F225" s="529">
        <v>85447090</v>
      </c>
      <c r="G225" s="716"/>
      <c r="H225" s="529">
        <v>18</v>
      </c>
      <c r="I225" s="541"/>
      <c r="J225" s="715" t="s">
        <v>622</v>
      </c>
      <c r="K225" s="529" t="s">
        <v>299</v>
      </c>
      <c r="L225" s="529">
        <v>1</v>
      </c>
      <c r="M225" s="717"/>
      <c r="N225" s="530" t="str">
        <f t="shared" si="105"/>
        <v>INCLUDED</v>
      </c>
      <c r="O225" s="747">
        <f t="shared" si="106"/>
        <v>0</v>
      </c>
      <c r="P225" s="747">
        <f t="shared" si="107"/>
        <v>0</v>
      </c>
      <c r="Q225" s="748">
        <f>Discount!$H$36</f>
        <v>0</v>
      </c>
      <c r="R225" s="748">
        <f t="shared" si="108"/>
        <v>0</v>
      </c>
      <c r="S225" s="748">
        <f t="shared" si="109"/>
        <v>0</v>
      </c>
      <c r="T225" s="749">
        <f t="shared" si="110"/>
        <v>0</v>
      </c>
      <c r="V225" s="850">
        <f t="shared" si="111"/>
        <v>0</v>
      </c>
      <c r="W225" s="749">
        <f t="shared" si="112"/>
        <v>0</v>
      </c>
      <c r="X225" s="749">
        <f t="shared" si="113"/>
        <v>0.18</v>
      </c>
      <c r="Y225" s="749">
        <f t="shared" si="114"/>
        <v>0</v>
      </c>
      <c r="Z225" s="749">
        <f t="shared" si="115"/>
        <v>0.18</v>
      </c>
      <c r="AA225" s="749">
        <f t="shared" si="116"/>
        <v>0</v>
      </c>
      <c r="AB225" s="526">
        <f t="shared" si="117"/>
        <v>0</v>
      </c>
      <c r="AC225" s="526">
        <f t="shared" si="118"/>
        <v>0</v>
      </c>
      <c r="AD225" s="526">
        <f t="shared" si="119"/>
        <v>0</v>
      </c>
    </row>
    <row r="226" spans="1:30">
      <c r="A226" s="453"/>
      <c r="B226" s="529"/>
      <c r="C226" s="453"/>
      <c r="D226" s="529"/>
      <c r="E226" s="529"/>
      <c r="F226" s="529"/>
      <c r="G226" s="529"/>
      <c r="H226" s="529"/>
      <c r="I226" s="529"/>
      <c r="J226" s="529"/>
      <c r="K226" s="529"/>
      <c r="L226" s="529"/>
      <c r="M226" s="529"/>
      <c r="N226" s="529"/>
      <c r="O226" s="747"/>
      <c r="P226" s="747"/>
      <c r="Q226" s="748"/>
      <c r="R226" s="748"/>
      <c r="S226" s="748"/>
      <c r="T226" s="749"/>
    </row>
    <row r="227" spans="1:30" ht="26.25" customHeight="1">
      <c r="A227" s="936" t="s">
        <v>473</v>
      </c>
      <c r="B227" s="936"/>
      <c r="C227" s="936"/>
      <c r="D227" s="936"/>
      <c r="E227" s="936"/>
      <c r="F227" s="936"/>
      <c r="G227" s="936"/>
      <c r="H227" s="936"/>
      <c r="I227" s="936"/>
      <c r="J227" s="936"/>
      <c r="K227" s="936"/>
      <c r="L227" s="936"/>
      <c r="M227" s="936"/>
      <c r="N227" s="705">
        <f>ROUND(SUM(N17:N226),0)</f>
        <v>0</v>
      </c>
      <c r="O227" s="750"/>
      <c r="P227" s="751">
        <f>SUM(P17:P226)</f>
        <v>0</v>
      </c>
      <c r="Q227" s="752"/>
      <c r="R227" s="753">
        <f>SUM(R17:R226)</f>
        <v>0</v>
      </c>
      <c r="S227" s="754">
        <f>SUM(S17:S226)</f>
        <v>0</v>
      </c>
      <c r="T227" s="749">
        <f>SUM(T17:T226)</f>
        <v>0</v>
      </c>
      <c r="W227" s="749">
        <f>SUM(W18:W225)</f>
        <v>0</v>
      </c>
      <c r="AB227" s="749">
        <f>SUM(AB18:AB225)</f>
        <v>0</v>
      </c>
      <c r="AC227" s="749">
        <f>SUM(AC18:AC225)</f>
        <v>0</v>
      </c>
      <c r="AD227" s="749">
        <f>SUM(AD18:AD225)</f>
        <v>0</v>
      </c>
    </row>
    <row r="228" spans="1:30" ht="26.25" customHeight="1">
      <c r="A228" s="936" t="s">
        <v>271</v>
      </c>
      <c r="B228" s="936"/>
      <c r="C228" s="936"/>
      <c r="D228" s="936"/>
      <c r="E228" s="936"/>
      <c r="F228" s="936"/>
      <c r="G228" s="936"/>
      <c r="H228" s="936"/>
      <c r="I228" s="936"/>
      <c r="J228" s="936"/>
      <c r="K228" s="936"/>
      <c r="L228" s="936"/>
      <c r="M228" s="936"/>
      <c r="N228" s="705" t="s">
        <v>339</v>
      </c>
      <c r="O228" s="755"/>
      <c r="P228" s="755"/>
      <c r="Q228" s="756"/>
      <c r="R228" s="756"/>
      <c r="S228" s="756"/>
      <c r="W228" s="745" t="str">
        <f>W17</f>
        <v>Total Corrected Price (excl. GST)</v>
      </c>
      <c r="X228" s="745"/>
      <c r="Y228" s="745"/>
      <c r="Z228" s="745"/>
      <c r="AA228" s="745"/>
      <c r="AB228" s="745" t="str">
        <f>AB17</f>
        <v>GST amount @12%</v>
      </c>
      <c r="AC228" s="745" t="str">
        <f>AC17</f>
        <v>GST amount @18%</v>
      </c>
      <c r="AD228" s="745" t="str">
        <f>AD17</f>
        <v>GST amount @28%</v>
      </c>
    </row>
    <row r="229" spans="1:30" ht="26.25" customHeight="1">
      <c r="A229" s="936" t="s">
        <v>474</v>
      </c>
      <c r="B229" s="936"/>
      <c r="C229" s="936"/>
      <c r="D229" s="936"/>
      <c r="E229" s="936"/>
      <c r="F229" s="936"/>
      <c r="G229" s="936"/>
      <c r="H229" s="936"/>
      <c r="I229" s="936"/>
      <c r="J229" s="936"/>
      <c r="K229" s="936"/>
      <c r="L229" s="936"/>
      <c r="M229" s="936"/>
      <c r="N229" s="705">
        <f>N227</f>
        <v>0</v>
      </c>
      <c r="O229" s="755"/>
      <c r="P229" s="755"/>
      <c r="Q229" s="756"/>
      <c r="R229" s="756"/>
      <c r="S229" s="756"/>
    </row>
    <row r="230" spans="1:30" ht="32.25" customHeight="1">
      <c r="B230" s="938" t="s">
        <v>310</v>
      </c>
      <c r="C230" s="938"/>
      <c r="D230" s="938"/>
      <c r="E230" s="938"/>
      <c r="F230" s="938"/>
      <c r="G230" s="938"/>
      <c r="H230" s="938"/>
      <c r="I230" s="938"/>
      <c r="J230" s="938"/>
      <c r="K230" s="938"/>
      <c r="L230" s="938"/>
      <c r="M230" s="938"/>
      <c r="N230" s="938"/>
      <c r="O230" s="755"/>
      <c r="P230" s="755"/>
      <c r="Q230" s="756"/>
      <c r="R230" s="756"/>
      <c r="S230" s="756"/>
    </row>
    <row r="231" spans="1:30">
      <c r="O231" s="756"/>
      <c r="P231" s="756"/>
      <c r="Q231" s="756"/>
      <c r="R231" s="756"/>
      <c r="S231" s="756"/>
    </row>
    <row r="232" spans="1:30" ht="16.5">
      <c r="B232" s="745" t="s">
        <v>315</v>
      </c>
      <c r="C232" s="940" t="str">
        <f>'Names of Bidder'!D27&amp;" "&amp;'Names of Bidder'!E27&amp;" "&amp;'Names of Bidder'!F27</f>
        <v xml:space="preserve">  </v>
      </c>
      <c r="D232" s="937"/>
      <c r="I232" s="527"/>
      <c r="J232" s="758" t="s">
        <v>317</v>
      </c>
      <c r="K232" s="939" t="str">
        <f>IF('Names of Bidder'!D24="","",'Names of Bidder'!D24)</f>
        <v/>
      </c>
      <c r="L232" s="939"/>
      <c r="M232" s="939"/>
      <c r="N232" s="939"/>
      <c r="O232" s="756"/>
      <c r="P232" s="756"/>
      <c r="Q232" s="756"/>
      <c r="R232" s="756"/>
      <c r="S232" s="756"/>
    </row>
    <row r="233" spans="1:30" ht="16.5">
      <c r="B233" s="745" t="s">
        <v>316</v>
      </c>
      <c r="C233" s="937" t="str">
        <f>IF('Names of Bidder'!D28="","",'Names of Bidder'!D28)</f>
        <v/>
      </c>
      <c r="D233" s="937"/>
      <c r="I233" s="527"/>
      <c r="J233" s="758" t="s">
        <v>125</v>
      </c>
      <c r="K233" s="939" t="str">
        <f>IF('Names of Bidder'!D25="","",'Names of Bidder'!D25)</f>
        <v/>
      </c>
      <c r="L233" s="939"/>
      <c r="M233" s="939"/>
      <c r="N233" s="939"/>
      <c r="O233" s="756"/>
      <c r="P233" s="756"/>
      <c r="Q233" s="756"/>
      <c r="R233" s="756"/>
      <c r="S233" s="756"/>
    </row>
    <row r="234" spans="1:30">
      <c r="O234" s="756"/>
      <c r="P234" s="756"/>
      <c r="Q234" s="756"/>
      <c r="R234" s="756"/>
      <c r="S234" s="756"/>
    </row>
    <row r="235" spans="1:30">
      <c r="G235" s="528"/>
      <c r="H235" s="528"/>
      <c r="I235" s="528"/>
    </row>
    <row r="236" spans="1:30">
      <c r="G236" s="528"/>
      <c r="H236" s="528"/>
      <c r="I236" s="528"/>
    </row>
    <row r="237" spans="1:30">
      <c r="G237" s="528"/>
      <c r="H237" s="528"/>
      <c r="I237" s="528"/>
    </row>
    <row r="238" spans="1:30">
      <c r="G238" s="528"/>
      <c r="H238" s="528"/>
      <c r="I238" s="528"/>
      <c r="M238" s="757"/>
    </row>
    <row r="239" spans="1:30">
      <c r="G239" s="528"/>
      <c r="H239" s="528"/>
      <c r="I239" s="528"/>
    </row>
    <row r="240" spans="1:30">
      <c r="G240" s="528"/>
      <c r="H240" s="528"/>
      <c r="I240" s="528"/>
    </row>
    <row r="241" spans="7:15">
      <c r="G241" s="528"/>
      <c r="H241" s="528"/>
      <c r="I241" s="528"/>
      <c r="O241" s="757"/>
    </row>
    <row r="242" spans="7:15">
      <c r="G242" s="528"/>
      <c r="H242" s="528"/>
      <c r="I242" s="528"/>
    </row>
    <row r="243" spans="7:15">
      <c r="G243" s="528"/>
      <c r="H243" s="528"/>
      <c r="I243" s="528"/>
    </row>
    <row r="244" spans="7:15">
      <c r="G244" s="528"/>
      <c r="H244" s="528"/>
      <c r="I244" s="528"/>
    </row>
    <row r="245" spans="7:15">
      <c r="G245" s="528"/>
      <c r="H245" s="528"/>
      <c r="I245" s="528"/>
    </row>
    <row r="246" spans="7:15">
      <c r="G246" s="528"/>
      <c r="H246" s="528"/>
      <c r="I246" s="528"/>
    </row>
    <row r="247" spans="7:15">
      <c r="G247" s="528"/>
      <c r="H247" s="528"/>
      <c r="I247" s="528"/>
    </row>
    <row r="248" spans="7:15">
      <c r="G248" s="528"/>
      <c r="H248" s="528"/>
      <c r="I248" s="528"/>
    </row>
    <row r="249" spans="7:15">
      <c r="G249" s="528"/>
      <c r="H249" s="528"/>
      <c r="I249" s="528"/>
    </row>
    <row r="250" spans="7:15">
      <c r="G250" s="528"/>
      <c r="H250" s="528"/>
      <c r="I250" s="528"/>
    </row>
    <row r="251" spans="7:15">
      <c r="G251" s="528"/>
      <c r="H251" s="528"/>
      <c r="I251" s="528"/>
    </row>
    <row r="252" spans="7:15">
      <c r="G252" s="528"/>
      <c r="H252" s="528"/>
      <c r="I252" s="528"/>
    </row>
    <row r="253" spans="7:15">
      <c r="G253" s="528"/>
      <c r="H253" s="528"/>
      <c r="I253" s="528"/>
    </row>
    <row r="254" spans="7:15">
      <c r="G254" s="528"/>
      <c r="H254" s="528"/>
      <c r="I254" s="528"/>
    </row>
    <row r="255" spans="7:15">
      <c r="G255" s="528"/>
      <c r="H255" s="528"/>
      <c r="I255" s="528"/>
    </row>
    <row r="256" spans="7:15">
      <c r="G256" s="528"/>
      <c r="H256" s="528"/>
      <c r="I256" s="528"/>
    </row>
    <row r="257" spans="7:9">
      <c r="G257" s="528"/>
      <c r="H257" s="528"/>
      <c r="I257" s="528"/>
    </row>
    <row r="258" spans="7:9">
      <c r="G258" s="528"/>
      <c r="H258" s="528"/>
      <c r="I258" s="528"/>
    </row>
    <row r="259" spans="7:9">
      <c r="G259" s="528"/>
      <c r="H259" s="528"/>
      <c r="I259" s="528"/>
    </row>
    <row r="260" spans="7:9">
      <c r="G260" s="528"/>
      <c r="H260" s="528"/>
      <c r="I260" s="528"/>
    </row>
    <row r="261" spans="7:9">
      <c r="G261" s="528"/>
      <c r="H261" s="528"/>
      <c r="I261" s="528"/>
    </row>
    <row r="262" spans="7:9">
      <c r="G262" s="528"/>
      <c r="H262" s="528"/>
      <c r="I262" s="528"/>
    </row>
    <row r="263" spans="7:9">
      <c r="G263" s="528"/>
      <c r="H263" s="528"/>
      <c r="I263" s="528"/>
    </row>
    <row r="264" spans="7:9">
      <c r="G264" s="528"/>
      <c r="H264" s="528"/>
      <c r="I264" s="528"/>
    </row>
    <row r="265" spans="7:9">
      <c r="G265" s="528"/>
      <c r="H265" s="528"/>
      <c r="I265" s="528"/>
    </row>
    <row r="266" spans="7:9">
      <c r="G266" s="528"/>
      <c r="H266" s="528"/>
      <c r="I266" s="528"/>
    </row>
  </sheetData>
  <sheetProtection password="BA13" sheet="1" formatColumns="0" formatRows="0" selectLockedCells="1"/>
  <customSheetViews>
    <customSheetView guid="{F38BD2F3-61EE-4B49-A7FC-8FB2B5BA6A2F}" scale="90" showPageBreaks="1" printArea="1" hiddenColumns="1" view="pageBreakPreview" topLeftCell="A7">
      <selection activeCell="G18" sqref="G18"/>
      <pageMargins left="0.25" right="0.25" top="0.75" bottom="0.5" header="0.3" footer="0.5"/>
      <printOptions horizontalCentered="1"/>
      <pageSetup paperSize="9" scale="55" orientation="landscape" r:id="rId1"/>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2"/>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3"/>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4"/>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5"/>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9"/>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0"/>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1"/>
      <headerFooter>
        <oddHeader>&amp;RSchedule-1
Page &amp;P of &amp;N</oddHeader>
      </headerFooter>
    </customSheetView>
    <customSheetView guid="{267FF044-3C5D-4FEC-AC00-A7E30583F8BB}" scale="90" showPageBreaks="1" printArea="1" hiddenColumns="1" view="pageBreakPreview" topLeftCell="A22">
      <selection activeCell="M18" sqref="M18"/>
      <pageMargins left="0.25" right="0.25" top="0.75" bottom="0.5" header="0.3" footer="0.5"/>
      <printOptions horizontalCentered="1"/>
      <pageSetup paperSize="9" scale="55" orientation="landscape" r:id="rId12"/>
      <headerFooter>
        <oddHeader>&amp;RSchedule-1
Page &amp;P of &amp;N</oddHeader>
      </headerFooter>
    </customSheetView>
    <customSheetView guid="{A29B4069-9BED-4703-B114-D2D164877E8C}" scale="90" showPageBreaks="1" printArea="1" hiddenColumns="1" view="pageBreakPreview">
      <selection activeCell="M363" sqref="M363"/>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2">
    <mergeCell ref="Z10:AL10"/>
    <mergeCell ref="Z8:AL8"/>
    <mergeCell ref="Z9:AL9"/>
    <mergeCell ref="A227:M227"/>
    <mergeCell ref="C233:D233"/>
    <mergeCell ref="B230:N230"/>
    <mergeCell ref="K233:N233"/>
    <mergeCell ref="K232:N232"/>
    <mergeCell ref="A228:M228"/>
    <mergeCell ref="A229:M229"/>
    <mergeCell ref="C232:D232"/>
    <mergeCell ref="A3:N3"/>
    <mergeCell ref="A4:N4"/>
    <mergeCell ref="A6:B6"/>
    <mergeCell ref="A8:G8"/>
    <mergeCell ref="K14:N14"/>
    <mergeCell ref="C12:G12"/>
    <mergeCell ref="C10:G10"/>
    <mergeCell ref="C9:G9"/>
    <mergeCell ref="A7:I7"/>
    <mergeCell ref="A13:N13"/>
    <mergeCell ref="C11:G11"/>
  </mergeCells>
  <conditionalFormatting sqref="I18:I33 I158:I167 I43:I46 I56:I156 I224:I225">
    <cfRule type="expression" dxfId="42" priority="90" stopIfTrue="1">
      <formula>H18&gt;0</formula>
    </cfRule>
  </conditionalFormatting>
  <conditionalFormatting sqref="I168 I179:I180">
    <cfRule type="expression" dxfId="41" priority="86" stopIfTrue="1">
      <formula>H168&gt;0</formula>
    </cfRule>
  </conditionalFormatting>
  <conditionalFormatting sqref="I181:I182 I216:I217">
    <cfRule type="expression" dxfId="40" priority="67" stopIfTrue="1">
      <formula>H181&gt;0</formula>
    </cfRule>
  </conditionalFormatting>
  <conditionalFormatting sqref="I169:I173">
    <cfRule type="expression" dxfId="39" priority="65" stopIfTrue="1">
      <formula>H169&gt;0</formula>
    </cfRule>
  </conditionalFormatting>
  <conditionalFormatting sqref="I174:I178">
    <cfRule type="expression" dxfId="38" priority="64" stopIfTrue="1">
      <formula>H174&gt;0</formula>
    </cfRule>
  </conditionalFormatting>
  <conditionalFormatting sqref="I47:I55">
    <cfRule type="expression" dxfId="37" priority="43" stopIfTrue="1">
      <formula>H47&gt;0</formula>
    </cfRule>
  </conditionalFormatting>
  <conditionalFormatting sqref="I34:I42">
    <cfRule type="expression" dxfId="36" priority="42" stopIfTrue="1">
      <formula>H34&gt;0</formula>
    </cfRule>
  </conditionalFormatting>
  <conditionalFormatting sqref="I214:I215">
    <cfRule type="expression" dxfId="35" priority="41" stopIfTrue="1">
      <formula>H214&gt;0</formula>
    </cfRule>
  </conditionalFormatting>
  <conditionalFormatting sqref="I183:I186">
    <cfRule type="expression" dxfId="34" priority="40" stopIfTrue="1">
      <formula>H183&gt;0</formula>
    </cfRule>
  </conditionalFormatting>
  <conditionalFormatting sqref="I187:I191">
    <cfRule type="expression" dxfId="33" priority="39" stopIfTrue="1">
      <formula>H187&gt;0</formula>
    </cfRule>
  </conditionalFormatting>
  <conditionalFormatting sqref="I218:I219">
    <cfRule type="expression" dxfId="32" priority="37" stopIfTrue="1">
      <formula>H218&gt;0</formula>
    </cfRule>
  </conditionalFormatting>
  <conditionalFormatting sqref="I212:I213">
    <cfRule type="expression" dxfId="31" priority="35" stopIfTrue="1">
      <formula>H212&gt;0</formula>
    </cfRule>
  </conditionalFormatting>
  <conditionalFormatting sqref="I192:I194 I206">
    <cfRule type="expression" dxfId="30" priority="34" stopIfTrue="1">
      <formula>H192&gt;0</formula>
    </cfRule>
  </conditionalFormatting>
  <conditionalFormatting sqref="I207:I211">
    <cfRule type="expression" dxfId="29" priority="33" stopIfTrue="1">
      <formula>H207&gt;0</formula>
    </cfRule>
  </conditionalFormatting>
  <conditionalFormatting sqref="I220:I223">
    <cfRule type="expression" dxfId="28" priority="31" stopIfTrue="1">
      <formula>H220&gt;0</formula>
    </cfRule>
  </conditionalFormatting>
  <conditionalFormatting sqref="I204:I205">
    <cfRule type="expression" dxfId="27" priority="29" stopIfTrue="1">
      <formula>H204&gt;0</formula>
    </cfRule>
  </conditionalFormatting>
  <conditionalFormatting sqref="I195:I198">
    <cfRule type="expression" dxfId="26" priority="28" stopIfTrue="1">
      <formula>H195&gt;0</formula>
    </cfRule>
  </conditionalFormatting>
  <conditionalFormatting sqref="I199:I203">
    <cfRule type="expression" dxfId="25" priority="27" stopIfTrue="1">
      <formula>H199&gt;0</formula>
    </cfRule>
  </conditionalFormatting>
  <dataValidations count="3">
    <dataValidation type="list" operator="greaterThan" allowBlank="1" showInputMessage="1" showErrorMessage="1" sqref="I18:I225">
      <formula1>"0%,5%,12%,18%,28%"</formula1>
    </dataValidation>
    <dataValidation type="whole" operator="greaterThan" allowBlank="1" showInputMessage="1" showErrorMessage="1" sqref="G18:G225">
      <formula1>0</formula1>
    </dataValidation>
    <dataValidation type="decimal" operator="greaterThanOrEqual" allowBlank="1" showInputMessage="1" showErrorMessage="1" sqref="M18:M225">
      <formula1>0</formula1>
    </dataValidation>
  </dataValidations>
  <hyperlinks>
    <hyperlink ref="X17" r:id="rId14" display="GST@18%"/>
  </hyperlinks>
  <printOptions horizontalCentered="1"/>
  <pageMargins left="0.25" right="0.25" top="0.75" bottom="0.5" header="0.3" footer="0.5"/>
  <pageSetup paperSize="9" scale="55" orientation="landscape" r:id="rId15"/>
  <headerFooter>
    <oddHeader>&amp;RSchedule-1
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232"/>
  <sheetViews>
    <sheetView view="pageBreakPreview" topLeftCell="A125" zoomScale="80" zoomScaleNormal="100" zoomScaleSheetLayoutView="80" workbookViewId="0">
      <selection activeCell="I139" sqref="I139"/>
    </sheetView>
  </sheetViews>
  <sheetFormatPr defaultColWidth="9.140625" defaultRowHeight="15.75"/>
  <cols>
    <col min="1" max="1" width="6.140625" style="425" customWidth="1"/>
    <col min="2" max="2" width="17.7109375" style="425" customWidth="1"/>
    <col min="3" max="3" width="11.28515625" style="425" customWidth="1"/>
    <col min="4" max="4" width="23.85546875" style="425" customWidth="1"/>
    <col min="5" max="5" width="20.28515625" style="425" customWidth="1"/>
    <col min="6" max="6" width="85.5703125" style="417" customWidth="1"/>
    <col min="7" max="7" width="11.28515625" style="425" customWidth="1"/>
    <col min="8" max="8" width="19.85546875" style="425" customWidth="1"/>
    <col min="9" max="9" width="18.85546875" style="9" customWidth="1"/>
    <col min="10" max="10" width="24.28515625" style="425" customWidth="1"/>
    <col min="11" max="12" width="18.140625" style="422" hidden="1" customWidth="1"/>
    <col min="13" max="13" width="10.28515625" style="422" customWidth="1"/>
    <col min="14" max="14" width="9.140625" style="422" customWidth="1"/>
    <col min="15" max="17" width="9.140625" style="422"/>
    <col min="18" max="28" width="9.140625" style="413"/>
    <col min="29" max="16384" width="9.140625" style="421"/>
  </cols>
  <sheetData>
    <row r="1" spans="1:32" ht="27.75" customHeight="1">
      <c r="A1" s="1" t="str">
        <f>Basic!B5</f>
        <v>Spec. No: 5002002280/SUB-STATION(EXCLUDIN/DOM/A06-CC CS -7</v>
      </c>
      <c r="B1" s="1"/>
      <c r="C1" s="1"/>
      <c r="D1" s="416"/>
      <c r="E1" s="416"/>
      <c r="F1" s="416"/>
      <c r="G1" s="419"/>
      <c r="H1" s="419"/>
      <c r="I1" s="420"/>
      <c r="J1" s="611" t="s">
        <v>14</v>
      </c>
    </row>
    <row r="2" spans="1:32" ht="21.75" customHeight="1">
      <c r="A2" s="415"/>
      <c r="B2" s="415"/>
      <c r="C2" s="415"/>
      <c r="D2" s="415"/>
      <c r="E2" s="415"/>
      <c r="F2" s="415"/>
      <c r="G2" s="352"/>
      <c r="H2" s="352"/>
      <c r="I2" s="423"/>
      <c r="J2" s="352"/>
    </row>
    <row r="3" spans="1:32" ht="106.5" customHeight="1">
      <c r="A3" s="926" t="str">
        <f>Cover!$B$2</f>
        <v>765kV AIS Substation Extension Package (SS-91) under Transmission Network Expansion in Gujarat to increase its ATC from ISTS: Part C.</v>
      </c>
      <c r="B3" s="926"/>
      <c r="C3" s="926"/>
      <c r="D3" s="926"/>
      <c r="E3" s="926"/>
      <c r="F3" s="926"/>
      <c r="G3" s="926"/>
      <c r="H3" s="926"/>
      <c r="I3" s="926"/>
      <c r="J3" s="926"/>
      <c r="K3" s="424"/>
      <c r="N3" s="947"/>
      <c r="O3" s="947"/>
      <c r="R3" s="422"/>
      <c r="S3" s="422"/>
      <c r="T3" s="422"/>
      <c r="U3" s="422"/>
      <c r="V3" s="422"/>
      <c r="W3" s="422"/>
      <c r="X3" s="422"/>
      <c r="Y3" s="422"/>
      <c r="Z3" s="422"/>
      <c r="AA3" s="422"/>
      <c r="AC3" s="413"/>
      <c r="AD3" s="413"/>
      <c r="AE3" s="413"/>
      <c r="AF3" s="413"/>
    </row>
    <row r="4" spans="1:32" ht="21.95" customHeight="1">
      <c r="A4" s="948" t="s">
        <v>0</v>
      </c>
      <c r="B4" s="948"/>
      <c r="C4" s="948"/>
      <c r="D4" s="948"/>
      <c r="E4" s="948"/>
      <c r="F4" s="948"/>
      <c r="G4" s="948"/>
      <c r="H4" s="948"/>
      <c r="I4" s="948"/>
      <c r="J4" s="948"/>
    </row>
    <row r="5" spans="1:32" ht="15" customHeight="1">
      <c r="J5" s="352"/>
    </row>
    <row r="6" spans="1:32" ht="22.5" customHeight="1">
      <c r="A6" s="928" t="s">
        <v>350</v>
      </c>
      <c r="B6" s="928"/>
      <c r="C6" s="4"/>
      <c r="D6" s="352"/>
      <c r="E6" s="4"/>
      <c r="F6" s="4"/>
      <c r="G6" s="4"/>
      <c r="H6" s="4"/>
      <c r="I6" s="4"/>
      <c r="J6" s="352"/>
    </row>
    <row r="7" spans="1:32" ht="25.5" customHeight="1">
      <c r="A7" s="951">
        <f>'Sch-1'!A7</f>
        <v>0</v>
      </c>
      <c r="B7" s="951"/>
      <c r="C7" s="951"/>
      <c r="D7" s="951"/>
      <c r="E7" s="951"/>
      <c r="F7" s="951"/>
      <c r="G7" s="575"/>
      <c r="H7" s="450" t="s">
        <v>1</v>
      </c>
      <c r="I7" s="575"/>
      <c r="J7" s="352"/>
    </row>
    <row r="8" spans="1:32" ht="29.25" customHeight="1">
      <c r="A8" s="929" t="str">
        <f>"Bidder’s Name and Address  (" &amp; MID('Names of Bidder'!B9,9, 20) &amp; ") :"</f>
        <v>Bidder’s Name and Address  (Sole Bidder) :</v>
      </c>
      <c r="B8" s="929"/>
      <c r="C8" s="929"/>
      <c r="D8" s="929"/>
      <c r="E8" s="929"/>
      <c r="F8" s="929"/>
      <c r="G8" s="929"/>
      <c r="H8" s="451" t="s">
        <v>2</v>
      </c>
      <c r="I8" s="531"/>
      <c r="J8" s="352"/>
    </row>
    <row r="9" spans="1:32" ht="26.25" customHeight="1">
      <c r="A9" s="456" t="s">
        <v>12</v>
      </c>
      <c r="B9" s="406"/>
      <c r="C9" s="953" t="str">
        <f>IF('Names of Bidder'!D9=0, "", 'Names of Bidder'!D9)</f>
        <v/>
      </c>
      <c r="D9" s="953"/>
      <c r="E9" s="953"/>
      <c r="F9" s="577"/>
      <c r="G9" s="577"/>
      <c r="H9" s="451" t="s">
        <v>3</v>
      </c>
      <c r="I9" s="407"/>
      <c r="J9" s="352"/>
    </row>
    <row r="10" spans="1:32" ht="17.25" customHeight="1">
      <c r="A10" s="456" t="s">
        <v>11</v>
      </c>
      <c r="B10" s="406"/>
      <c r="C10" s="952" t="str">
        <f>IF('Names of Bidder'!D10=0, "", 'Names of Bidder'!D10)</f>
        <v/>
      </c>
      <c r="D10" s="952"/>
      <c r="E10" s="952"/>
      <c r="F10" s="577"/>
      <c r="G10" s="577"/>
      <c r="H10" s="451" t="s">
        <v>4</v>
      </c>
      <c r="I10" s="407"/>
      <c r="J10" s="352"/>
    </row>
    <row r="11" spans="1:32" ht="18" customHeight="1">
      <c r="A11" s="407"/>
      <c r="B11" s="407"/>
      <c r="C11" s="952" t="str">
        <f>IF('Names of Bidder'!D11=0, "", 'Names of Bidder'!D11)</f>
        <v/>
      </c>
      <c r="D11" s="952"/>
      <c r="E11" s="952"/>
      <c r="F11" s="577"/>
      <c r="G11" s="577"/>
      <c r="H11" s="451" t="s">
        <v>5</v>
      </c>
      <c r="I11" s="407"/>
      <c r="J11" s="352"/>
    </row>
    <row r="12" spans="1:32" ht="18" customHeight="1">
      <c r="A12" s="407"/>
      <c r="B12" s="407"/>
      <c r="C12" s="952" t="str">
        <f>IF('Names of Bidder'!D12=0, "", 'Names of Bidder'!D12)</f>
        <v/>
      </c>
      <c r="D12" s="952"/>
      <c r="E12" s="952"/>
      <c r="F12" s="577"/>
      <c r="G12" s="577"/>
      <c r="H12" s="451" t="s">
        <v>6</v>
      </c>
      <c r="I12" s="407"/>
      <c r="J12" s="352"/>
    </row>
    <row r="13" spans="1:32" s="466" customFormat="1" ht="26.45" customHeight="1">
      <c r="A13" s="941" t="s">
        <v>364</v>
      </c>
      <c r="B13" s="941"/>
      <c r="C13" s="941"/>
      <c r="D13" s="941"/>
      <c r="E13" s="941"/>
      <c r="F13" s="941"/>
      <c r="G13" s="941"/>
      <c r="H13" s="941"/>
      <c r="I13" s="941"/>
      <c r="J13" s="941"/>
      <c r="K13" s="464"/>
      <c r="L13" s="464"/>
      <c r="M13" s="464"/>
      <c r="N13" s="464"/>
      <c r="O13" s="464"/>
      <c r="P13" s="464"/>
      <c r="Q13" s="464"/>
      <c r="R13" s="465"/>
      <c r="S13" s="465"/>
      <c r="T13" s="465"/>
      <c r="U13" s="465"/>
      <c r="V13" s="465"/>
      <c r="W13" s="465"/>
      <c r="X13" s="465"/>
      <c r="Y13" s="465"/>
      <c r="Z13" s="465"/>
      <c r="AA13" s="465"/>
      <c r="AB13" s="465"/>
    </row>
    <row r="14" spans="1:32" ht="20.25" customHeight="1" thickBot="1">
      <c r="A14" s="426"/>
      <c r="B14" s="426"/>
      <c r="C14" s="426"/>
      <c r="D14" s="426"/>
      <c r="E14" s="426"/>
      <c r="F14" s="418"/>
      <c r="G14" s="427"/>
      <c r="H14" s="427"/>
      <c r="I14" s="950" t="s">
        <v>355</v>
      </c>
      <c r="J14" s="950"/>
    </row>
    <row r="15" spans="1:32" ht="102" customHeight="1">
      <c r="A15" s="13" t="s">
        <v>7</v>
      </c>
      <c r="B15" s="17" t="s">
        <v>266</v>
      </c>
      <c r="C15" s="17" t="s">
        <v>278</v>
      </c>
      <c r="D15" s="17" t="s">
        <v>280</v>
      </c>
      <c r="E15" s="17" t="s">
        <v>13</v>
      </c>
      <c r="F15" s="14" t="s">
        <v>15</v>
      </c>
      <c r="G15" s="14" t="s">
        <v>9</v>
      </c>
      <c r="H15" s="14" t="s">
        <v>16</v>
      </c>
      <c r="I15" s="14" t="s">
        <v>363</v>
      </c>
      <c r="J15" s="15" t="s">
        <v>362</v>
      </c>
    </row>
    <row r="16" spans="1:32" s="587" customFormat="1">
      <c r="A16" s="584">
        <v>1</v>
      </c>
      <c r="B16" s="584">
        <v>2</v>
      </c>
      <c r="C16" s="584">
        <v>3</v>
      </c>
      <c r="D16" s="584">
        <v>4</v>
      </c>
      <c r="E16" s="584">
        <v>5</v>
      </c>
      <c r="F16" s="584">
        <v>6</v>
      </c>
      <c r="G16" s="584">
        <v>7</v>
      </c>
      <c r="H16" s="584">
        <v>8</v>
      </c>
      <c r="I16" s="584">
        <v>9</v>
      </c>
      <c r="J16" s="584" t="s">
        <v>356</v>
      </c>
      <c r="K16" s="585"/>
      <c r="L16" s="585"/>
      <c r="M16" s="585"/>
      <c r="N16" s="585"/>
      <c r="O16" s="585"/>
      <c r="P16" s="585"/>
      <c r="Q16" s="585"/>
      <c r="R16" s="586"/>
      <c r="S16" s="586"/>
      <c r="T16" s="586"/>
      <c r="U16" s="586"/>
      <c r="V16" s="586"/>
      <c r="W16" s="586"/>
      <c r="X16" s="586"/>
      <c r="Y16" s="586"/>
      <c r="Z16" s="586"/>
      <c r="AA16" s="586"/>
      <c r="AB16" s="586"/>
    </row>
    <row r="17" spans="1:28" s="766" customFormat="1" ht="31.5">
      <c r="A17" s="760"/>
      <c r="B17" s="944" t="str">
        <f>'Sch-1'!B17</f>
        <v>Extn. works at 765/400kV Banaskantha S/S</v>
      </c>
      <c r="C17" s="945"/>
      <c r="D17" s="945"/>
      <c r="E17" s="946"/>
      <c r="F17" s="761"/>
      <c r="G17" s="762"/>
      <c r="H17" s="762"/>
      <c r="I17" s="763"/>
      <c r="J17" s="764"/>
      <c r="K17" s="851" t="s">
        <v>511</v>
      </c>
      <c r="L17" s="852" t="s">
        <v>519</v>
      </c>
      <c r="M17" s="765"/>
      <c r="N17" s="765"/>
      <c r="O17" s="765"/>
      <c r="P17" s="765"/>
      <c r="Q17" s="765"/>
      <c r="R17" s="765"/>
      <c r="S17" s="765"/>
      <c r="T17" s="765"/>
      <c r="U17" s="765"/>
      <c r="V17" s="765"/>
      <c r="W17" s="765"/>
      <c r="X17" s="765"/>
      <c r="Y17" s="765"/>
      <c r="Z17" s="765"/>
      <c r="AA17" s="765"/>
      <c r="AB17" s="765"/>
    </row>
    <row r="18" spans="1:28" s="722" customFormat="1" ht="41.25" customHeight="1">
      <c r="A18" s="767">
        <v>1</v>
      </c>
      <c r="B18" s="529">
        <v>7000016907</v>
      </c>
      <c r="C18" s="529">
        <v>10</v>
      </c>
      <c r="D18" s="529" t="s">
        <v>663</v>
      </c>
      <c r="E18" s="529">
        <v>1000005826</v>
      </c>
      <c r="F18" s="525" t="s">
        <v>677</v>
      </c>
      <c r="G18" s="529" t="s">
        <v>299</v>
      </c>
      <c r="H18" s="529">
        <v>1</v>
      </c>
      <c r="I18" s="717"/>
      <c r="J18" s="530" t="str">
        <f t="shared" ref="J18:J92" si="0">IF(I18=0, "INCLUDED", IF(ISERROR(I18*H18), I18, I18*H18))</f>
        <v>INCLUDED</v>
      </c>
      <c r="K18" s="853">
        <f>ROUND(I18,2)</f>
        <v>0</v>
      </c>
      <c r="L18" s="854">
        <f>H18*K18</f>
        <v>0</v>
      </c>
      <c r="M18" s="721"/>
      <c r="N18" s="721"/>
      <c r="O18" s="721"/>
      <c r="P18" s="721"/>
      <c r="Q18" s="721"/>
      <c r="R18" s="721"/>
      <c r="S18" s="721"/>
      <c r="T18" s="721"/>
      <c r="U18" s="721"/>
      <c r="V18" s="721"/>
      <c r="W18" s="721"/>
      <c r="X18" s="721"/>
      <c r="Y18" s="721"/>
      <c r="Z18" s="721"/>
      <c r="AA18" s="721"/>
      <c r="AB18" s="721"/>
    </row>
    <row r="19" spans="1:28" s="722" customFormat="1" ht="39.75" customHeight="1">
      <c r="A19" s="767">
        <v>2</v>
      </c>
      <c r="B19" s="529">
        <v>7000016907</v>
      </c>
      <c r="C19" s="529">
        <v>20</v>
      </c>
      <c r="D19" s="529" t="s">
        <v>663</v>
      </c>
      <c r="E19" s="529">
        <v>1000005848</v>
      </c>
      <c r="F19" s="525" t="s">
        <v>678</v>
      </c>
      <c r="G19" s="529" t="s">
        <v>299</v>
      </c>
      <c r="H19" s="529">
        <v>3</v>
      </c>
      <c r="I19" s="717"/>
      <c r="J19" s="530" t="str">
        <f t="shared" si="0"/>
        <v>INCLUDED</v>
      </c>
      <c r="K19" s="853">
        <f t="shared" ref="K19:K92" si="1">ROUND(I19,2)</f>
        <v>0</v>
      </c>
      <c r="L19" s="854">
        <f t="shared" ref="L19:L92" si="2">H19*K19</f>
        <v>0</v>
      </c>
      <c r="M19" s="721"/>
      <c r="N19" s="721"/>
      <c r="O19" s="721"/>
      <c r="P19" s="721"/>
      <c r="Q19" s="721"/>
      <c r="R19" s="721"/>
      <c r="S19" s="721"/>
      <c r="T19" s="721"/>
      <c r="U19" s="721"/>
      <c r="V19" s="721"/>
      <c r="W19" s="721"/>
      <c r="X19" s="721"/>
      <c r="Y19" s="721"/>
      <c r="Z19" s="721"/>
      <c r="AA19" s="721"/>
      <c r="AB19" s="721"/>
    </row>
    <row r="20" spans="1:28" s="722" customFormat="1" ht="31.5">
      <c r="A20" s="767">
        <v>3</v>
      </c>
      <c r="B20" s="529">
        <v>7000016907</v>
      </c>
      <c r="C20" s="529">
        <v>30</v>
      </c>
      <c r="D20" s="529" t="s">
        <v>663</v>
      </c>
      <c r="E20" s="529">
        <v>1000005853</v>
      </c>
      <c r="F20" s="525" t="s">
        <v>679</v>
      </c>
      <c r="G20" s="529" t="s">
        <v>299</v>
      </c>
      <c r="H20" s="529">
        <v>1</v>
      </c>
      <c r="I20" s="717"/>
      <c r="J20" s="530" t="str">
        <f t="shared" si="0"/>
        <v>INCLUDED</v>
      </c>
      <c r="K20" s="853">
        <f t="shared" si="1"/>
        <v>0</v>
      </c>
      <c r="L20" s="854">
        <f t="shared" si="2"/>
        <v>0</v>
      </c>
      <c r="M20" s="721"/>
      <c r="N20" s="721"/>
      <c r="O20" s="721"/>
      <c r="P20" s="721"/>
      <c r="Q20" s="721"/>
      <c r="R20" s="721"/>
      <c r="S20" s="721"/>
      <c r="T20" s="721"/>
      <c r="U20" s="721"/>
      <c r="V20" s="721"/>
      <c r="W20" s="721"/>
      <c r="X20" s="721"/>
      <c r="Y20" s="721"/>
      <c r="Z20" s="721"/>
      <c r="AA20" s="721"/>
      <c r="AB20" s="721"/>
    </row>
    <row r="21" spans="1:28" s="722" customFormat="1" ht="31.5">
      <c r="A21" s="767">
        <v>4</v>
      </c>
      <c r="B21" s="529">
        <v>7000016907</v>
      </c>
      <c r="C21" s="529">
        <v>40</v>
      </c>
      <c r="D21" s="529" t="s">
        <v>663</v>
      </c>
      <c r="E21" s="529">
        <v>1000005843</v>
      </c>
      <c r="F21" s="525" t="s">
        <v>680</v>
      </c>
      <c r="G21" s="529" t="s">
        <v>299</v>
      </c>
      <c r="H21" s="529">
        <v>6</v>
      </c>
      <c r="I21" s="717"/>
      <c r="J21" s="530" t="str">
        <f t="shared" si="0"/>
        <v>INCLUDED</v>
      </c>
      <c r="K21" s="853">
        <f t="shared" si="1"/>
        <v>0</v>
      </c>
      <c r="L21" s="854">
        <f t="shared" si="2"/>
        <v>0</v>
      </c>
      <c r="M21" s="721"/>
      <c r="N21" s="721"/>
      <c r="O21" s="721"/>
      <c r="P21" s="721"/>
      <c r="Q21" s="721"/>
      <c r="R21" s="721"/>
      <c r="S21" s="721"/>
      <c r="T21" s="721"/>
      <c r="U21" s="721"/>
      <c r="V21" s="721"/>
      <c r="W21" s="721"/>
      <c r="X21" s="721"/>
      <c r="Y21" s="721"/>
      <c r="Z21" s="721"/>
      <c r="AA21" s="721"/>
      <c r="AB21" s="721"/>
    </row>
    <row r="22" spans="1:28" s="722" customFormat="1" ht="31.5">
      <c r="A22" s="767">
        <v>5</v>
      </c>
      <c r="B22" s="529">
        <v>7000016907</v>
      </c>
      <c r="C22" s="529">
        <v>50</v>
      </c>
      <c r="D22" s="529" t="s">
        <v>663</v>
      </c>
      <c r="E22" s="529">
        <v>1000005798</v>
      </c>
      <c r="F22" s="525" t="s">
        <v>681</v>
      </c>
      <c r="G22" s="529" t="s">
        <v>299</v>
      </c>
      <c r="H22" s="529">
        <v>3</v>
      </c>
      <c r="I22" s="717"/>
      <c r="J22" s="530" t="str">
        <f t="shared" si="0"/>
        <v>INCLUDED</v>
      </c>
      <c r="K22" s="853">
        <f t="shared" si="1"/>
        <v>0</v>
      </c>
      <c r="L22" s="854">
        <f t="shared" si="2"/>
        <v>0</v>
      </c>
      <c r="M22" s="721"/>
      <c r="N22" s="721"/>
      <c r="O22" s="721"/>
      <c r="P22" s="721"/>
      <c r="Q22" s="721"/>
      <c r="R22" s="721"/>
      <c r="S22" s="721"/>
      <c r="T22" s="721"/>
      <c r="U22" s="721"/>
      <c r="V22" s="721"/>
      <c r="W22" s="721"/>
      <c r="X22" s="721"/>
      <c r="Y22" s="721"/>
      <c r="Z22" s="721"/>
      <c r="AA22" s="721"/>
      <c r="AB22" s="721"/>
    </row>
    <row r="23" spans="1:28" s="722" customFormat="1" ht="31.5">
      <c r="A23" s="767">
        <v>6</v>
      </c>
      <c r="B23" s="529">
        <v>7000016907</v>
      </c>
      <c r="C23" s="529">
        <v>60</v>
      </c>
      <c r="D23" s="529" t="s">
        <v>663</v>
      </c>
      <c r="E23" s="529">
        <v>1000020421</v>
      </c>
      <c r="F23" s="525" t="s">
        <v>682</v>
      </c>
      <c r="G23" s="529" t="s">
        <v>299</v>
      </c>
      <c r="H23" s="529">
        <v>3</v>
      </c>
      <c r="I23" s="717"/>
      <c r="J23" s="530" t="str">
        <f t="shared" si="0"/>
        <v>INCLUDED</v>
      </c>
      <c r="K23" s="853">
        <f t="shared" si="1"/>
        <v>0</v>
      </c>
      <c r="L23" s="854">
        <f t="shared" si="2"/>
        <v>0</v>
      </c>
      <c r="M23" s="721"/>
      <c r="N23" s="721"/>
      <c r="O23" s="721"/>
      <c r="P23" s="721"/>
      <c r="Q23" s="721"/>
      <c r="R23" s="721"/>
      <c r="S23" s="721"/>
      <c r="T23" s="721"/>
      <c r="U23" s="721"/>
      <c r="V23" s="721"/>
      <c r="W23" s="721"/>
      <c r="X23" s="721"/>
      <c r="Y23" s="721"/>
      <c r="Z23" s="721"/>
      <c r="AA23" s="721"/>
      <c r="AB23" s="721"/>
    </row>
    <row r="24" spans="1:28" s="722" customFormat="1" ht="31.5">
      <c r="A24" s="767">
        <v>7</v>
      </c>
      <c r="B24" s="529">
        <v>7000016907</v>
      </c>
      <c r="C24" s="529">
        <v>70</v>
      </c>
      <c r="D24" s="529" t="s">
        <v>663</v>
      </c>
      <c r="E24" s="529">
        <v>1000005791</v>
      </c>
      <c r="F24" s="525" t="s">
        <v>683</v>
      </c>
      <c r="G24" s="529" t="s">
        <v>299</v>
      </c>
      <c r="H24" s="529">
        <v>3</v>
      </c>
      <c r="I24" s="717"/>
      <c r="J24" s="530" t="str">
        <f t="shared" si="0"/>
        <v>INCLUDED</v>
      </c>
      <c r="K24" s="853">
        <f t="shared" si="1"/>
        <v>0</v>
      </c>
      <c r="L24" s="854">
        <f t="shared" si="2"/>
        <v>0</v>
      </c>
      <c r="M24" s="721"/>
      <c r="N24" s="721"/>
      <c r="O24" s="721"/>
      <c r="P24" s="721"/>
      <c r="Q24" s="721"/>
      <c r="R24" s="721"/>
      <c r="S24" s="721"/>
      <c r="T24" s="721"/>
      <c r="U24" s="721"/>
      <c r="V24" s="721"/>
      <c r="W24" s="721"/>
      <c r="X24" s="721"/>
      <c r="Y24" s="721"/>
      <c r="Z24" s="721"/>
      <c r="AA24" s="721"/>
      <c r="AB24" s="721"/>
    </row>
    <row r="25" spans="1:28" s="722" customFormat="1" ht="31.5">
      <c r="A25" s="767">
        <v>8</v>
      </c>
      <c r="B25" s="529">
        <v>7000016907</v>
      </c>
      <c r="C25" s="529">
        <v>80</v>
      </c>
      <c r="D25" s="529" t="s">
        <v>581</v>
      </c>
      <c r="E25" s="529">
        <v>1000004401</v>
      </c>
      <c r="F25" s="525" t="s">
        <v>532</v>
      </c>
      <c r="G25" s="529" t="s">
        <v>299</v>
      </c>
      <c r="H25" s="529">
        <v>60</v>
      </c>
      <c r="I25" s="717"/>
      <c r="J25" s="530" t="str">
        <f t="shared" si="0"/>
        <v>INCLUDED</v>
      </c>
      <c r="K25" s="853">
        <f t="shared" si="1"/>
        <v>0</v>
      </c>
      <c r="L25" s="854">
        <f t="shared" si="2"/>
        <v>0</v>
      </c>
      <c r="M25" s="721"/>
      <c r="N25" s="721"/>
      <c r="O25" s="721"/>
      <c r="P25" s="721"/>
      <c r="Q25" s="721"/>
      <c r="R25" s="721"/>
      <c r="S25" s="721"/>
      <c r="T25" s="721"/>
      <c r="U25" s="721"/>
      <c r="V25" s="721"/>
      <c r="W25" s="721"/>
      <c r="X25" s="721"/>
      <c r="Y25" s="721"/>
      <c r="Z25" s="721"/>
      <c r="AA25" s="721"/>
      <c r="AB25" s="721"/>
    </row>
    <row r="26" spans="1:28" s="722" customFormat="1" ht="31.5">
      <c r="A26" s="767">
        <v>9</v>
      </c>
      <c r="B26" s="529">
        <v>7000016907</v>
      </c>
      <c r="C26" s="529">
        <v>90</v>
      </c>
      <c r="D26" s="529" t="s">
        <v>581</v>
      </c>
      <c r="E26" s="529">
        <v>1000020419</v>
      </c>
      <c r="F26" s="525" t="s">
        <v>531</v>
      </c>
      <c r="G26" s="529" t="s">
        <v>299</v>
      </c>
      <c r="H26" s="529">
        <v>9</v>
      </c>
      <c r="I26" s="717"/>
      <c r="J26" s="530" t="str">
        <f t="shared" si="0"/>
        <v>INCLUDED</v>
      </c>
      <c r="K26" s="853">
        <f t="shared" si="1"/>
        <v>0</v>
      </c>
      <c r="L26" s="854">
        <f t="shared" si="2"/>
        <v>0</v>
      </c>
      <c r="M26" s="721"/>
      <c r="N26" s="721"/>
      <c r="O26" s="721"/>
      <c r="P26" s="721"/>
      <c r="Q26" s="721"/>
      <c r="R26" s="721"/>
      <c r="S26" s="721"/>
      <c r="T26" s="721"/>
      <c r="U26" s="721"/>
      <c r="V26" s="721"/>
      <c r="W26" s="721"/>
      <c r="X26" s="721"/>
      <c r="Y26" s="721"/>
      <c r="Z26" s="721"/>
      <c r="AA26" s="721"/>
      <c r="AB26" s="721"/>
    </row>
    <row r="27" spans="1:28" s="722" customFormat="1" ht="31.5">
      <c r="A27" s="767">
        <v>10</v>
      </c>
      <c r="B27" s="529">
        <v>7000016907</v>
      </c>
      <c r="C27" s="529">
        <v>100</v>
      </c>
      <c r="D27" s="529" t="s">
        <v>581</v>
      </c>
      <c r="E27" s="529">
        <v>1000004495</v>
      </c>
      <c r="F27" s="525" t="s">
        <v>684</v>
      </c>
      <c r="G27" s="529" t="s">
        <v>299</v>
      </c>
      <c r="H27" s="529">
        <v>3</v>
      </c>
      <c r="I27" s="717"/>
      <c r="J27" s="530" t="str">
        <f t="shared" si="0"/>
        <v>INCLUDED</v>
      </c>
      <c r="K27" s="853">
        <f t="shared" si="1"/>
        <v>0</v>
      </c>
      <c r="L27" s="854">
        <f t="shared" si="2"/>
        <v>0</v>
      </c>
      <c r="M27" s="721"/>
      <c r="N27" s="721"/>
      <c r="O27" s="721"/>
      <c r="P27" s="721"/>
      <c r="Q27" s="721"/>
      <c r="R27" s="721"/>
      <c r="S27" s="721"/>
      <c r="T27" s="721"/>
      <c r="U27" s="721"/>
      <c r="V27" s="721"/>
      <c r="W27" s="721"/>
      <c r="X27" s="721"/>
      <c r="Y27" s="721"/>
      <c r="Z27" s="721"/>
      <c r="AA27" s="721"/>
      <c r="AB27" s="721"/>
    </row>
    <row r="28" spans="1:28" s="722" customFormat="1" ht="31.5">
      <c r="A28" s="767">
        <v>11</v>
      </c>
      <c r="B28" s="529">
        <v>7000016907</v>
      </c>
      <c r="C28" s="529">
        <v>110</v>
      </c>
      <c r="D28" s="529" t="s">
        <v>581</v>
      </c>
      <c r="E28" s="529">
        <v>1000004496</v>
      </c>
      <c r="F28" s="525" t="s">
        <v>685</v>
      </c>
      <c r="G28" s="529" t="s">
        <v>299</v>
      </c>
      <c r="H28" s="529">
        <v>3</v>
      </c>
      <c r="I28" s="717"/>
      <c r="J28" s="530" t="str">
        <f t="shared" si="0"/>
        <v>INCLUDED</v>
      </c>
      <c r="K28" s="853">
        <f t="shared" si="1"/>
        <v>0</v>
      </c>
      <c r="L28" s="854">
        <f t="shared" si="2"/>
        <v>0</v>
      </c>
      <c r="M28" s="721"/>
      <c r="N28" s="721"/>
      <c r="O28" s="721"/>
      <c r="P28" s="721"/>
      <c r="Q28" s="721"/>
      <c r="R28" s="721"/>
      <c r="S28" s="721"/>
      <c r="T28" s="721"/>
      <c r="U28" s="721"/>
      <c r="V28" s="721"/>
      <c r="W28" s="721"/>
      <c r="X28" s="721"/>
      <c r="Y28" s="721"/>
      <c r="Z28" s="721"/>
      <c r="AA28" s="721"/>
      <c r="AB28" s="721"/>
    </row>
    <row r="29" spans="1:28" s="722" customFormat="1" ht="42.75" customHeight="1">
      <c r="A29" s="767">
        <v>12</v>
      </c>
      <c r="B29" s="529">
        <v>7000016907</v>
      </c>
      <c r="C29" s="529">
        <v>120</v>
      </c>
      <c r="D29" s="529" t="s">
        <v>581</v>
      </c>
      <c r="E29" s="529">
        <v>1000004498</v>
      </c>
      <c r="F29" s="525" t="s">
        <v>587</v>
      </c>
      <c r="G29" s="529" t="s">
        <v>299</v>
      </c>
      <c r="H29" s="529">
        <v>13</v>
      </c>
      <c r="I29" s="717"/>
      <c r="J29" s="530" t="str">
        <f t="shared" si="0"/>
        <v>INCLUDED</v>
      </c>
      <c r="K29" s="853">
        <f t="shared" si="1"/>
        <v>0</v>
      </c>
      <c r="L29" s="854">
        <f t="shared" si="2"/>
        <v>0</v>
      </c>
      <c r="M29" s="721"/>
      <c r="N29" s="721"/>
      <c r="O29" s="721"/>
      <c r="P29" s="721"/>
      <c r="Q29" s="721"/>
      <c r="R29" s="721"/>
      <c r="S29" s="721"/>
      <c r="T29" s="721"/>
      <c r="U29" s="721"/>
      <c r="V29" s="721"/>
      <c r="W29" s="721"/>
      <c r="X29" s="721"/>
      <c r="Y29" s="721"/>
      <c r="Z29" s="721"/>
      <c r="AA29" s="721"/>
      <c r="AB29" s="721"/>
    </row>
    <row r="30" spans="1:28" s="722" customFormat="1" ht="42.75" customHeight="1">
      <c r="A30" s="767">
        <v>13</v>
      </c>
      <c r="B30" s="529">
        <v>7000016907</v>
      </c>
      <c r="C30" s="529">
        <v>130</v>
      </c>
      <c r="D30" s="529" t="s">
        <v>581</v>
      </c>
      <c r="E30" s="529">
        <v>1000004535</v>
      </c>
      <c r="F30" s="525" t="s">
        <v>586</v>
      </c>
      <c r="G30" s="529" t="s">
        <v>299</v>
      </c>
      <c r="H30" s="529">
        <v>6</v>
      </c>
      <c r="I30" s="717"/>
      <c r="J30" s="530" t="str">
        <f t="shared" si="0"/>
        <v>INCLUDED</v>
      </c>
      <c r="K30" s="853">
        <f t="shared" si="1"/>
        <v>0</v>
      </c>
      <c r="L30" s="854">
        <f t="shared" si="2"/>
        <v>0</v>
      </c>
      <c r="M30" s="721"/>
      <c r="N30" s="721"/>
      <c r="O30" s="721"/>
      <c r="P30" s="721"/>
      <c r="Q30" s="721"/>
      <c r="R30" s="721"/>
      <c r="S30" s="721"/>
      <c r="T30" s="721"/>
      <c r="U30" s="721"/>
      <c r="V30" s="721"/>
      <c r="W30" s="721"/>
      <c r="X30" s="721"/>
      <c r="Y30" s="721"/>
      <c r="Z30" s="721"/>
      <c r="AA30" s="721"/>
      <c r="AB30" s="721"/>
    </row>
    <row r="31" spans="1:28" s="722" customFormat="1" ht="42.75" customHeight="1">
      <c r="A31" s="767">
        <v>14</v>
      </c>
      <c r="B31" s="529">
        <v>7000016907</v>
      </c>
      <c r="C31" s="529">
        <v>140</v>
      </c>
      <c r="D31" s="529" t="s">
        <v>581</v>
      </c>
      <c r="E31" s="529">
        <v>1000004463</v>
      </c>
      <c r="F31" s="525" t="s">
        <v>585</v>
      </c>
      <c r="G31" s="529" t="s">
        <v>299</v>
      </c>
      <c r="H31" s="529">
        <v>15</v>
      </c>
      <c r="I31" s="717"/>
      <c r="J31" s="530" t="str">
        <f t="shared" si="0"/>
        <v>INCLUDED</v>
      </c>
      <c r="K31" s="853">
        <f t="shared" si="1"/>
        <v>0</v>
      </c>
      <c r="L31" s="854">
        <f t="shared" si="2"/>
        <v>0</v>
      </c>
      <c r="M31" s="721"/>
      <c r="N31" s="721"/>
      <c r="O31" s="721"/>
      <c r="P31" s="721"/>
      <c r="Q31" s="721"/>
      <c r="R31" s="721"/>
      <c r="S31" s="721"/>
      <c r="T31" s="721"/>
      <c r="U31" s="721"/>
      <c r="V31" s="721"/>
      <c r="W31" s="721"/>
      <c r="X31" s="721"/>
      <c r="Y31" s="721"/>
      <c r="Z31" s="721"/>
      <c r="AA31" s="721"/>
      <c r="AB31" s="721"/>
    </row>
    <row r="32" spans="1:28" s="722" customFormat="1" ht="42.75" customHeight="1">
      <c r="A32" s="767">
        <v>15</v>
      </c>
      <c r="B32" s="529">
        <v>7000016907</v>
      </c>
      <c r="C32" s="529">
        <v>150</v>
      </c>
      <c r="D32" s="529" t="s">
        <v>581</v>
      </c>
      <c r="E32" s="529">
        <v>1000004501</v>
      </c>
      <c r="F32" s="525" t="s">
        <v>584</v>
      </c>
      <c r="G32" s="529" t="s">
        <v>299</v>
      </c>
      <c r="H32" s="529">
        <v>5</v>
      </c>
      <c r="I32" s="717"/>
      <c r="J32" s="530" t="str">
        <f t="shared" si="0"/>
        <v>INCLUDED</v>
      </c>
      <c r="K32" s="853">
        <f t="shared" si="1"/>
        <v>0</v>
      </c>
      <c r="L32" s="854">
        <f t="shared" si="2"/>
        <v>0</v>
      </c>
      <c r="M32" s="721"/>
      <c r="N32" s="721"/>
      <c r="O32" s="721"/>
      <c r="P32" s="721"/>
      <c r="Q32" s="721"/>
      <c r="R32" s="721"/>
      <c r="S32" s="721"/>
      <c r="T32" s="721"/>
      <c r="U32" s="721"/>
      <c r="V32" s="721"/>
      <c r="W32" s="721"/>
      <c r="X32" s="721"/>
      <c r="Y32" s="721"/>
      <c r="Z32" s="721"/>
      <c r="AA32" s="721"/>
      <c r="AB32" s="721"/>
    </row>
    <row r="33" spans="1:28" s="722" customFormat="1" ht="31.5">
      <c r="A33" s="767">
        <v>16</v>
      </c>
      <c r="B33" s="529">
        <v>7000016907</v>
      </c>
      <c r="C33" s="529">
        <v>160</v>
      </c>
      <c r="D33" s="529" t="s">
        <v>664</v>
      </c>
      <c r="E33" s="529">
        <v>1000001998</v>
      </c>
      <c r="F33" s="525" t="s">
        <v>686</v>
      </c>
      <c r="G33" s="529" t="s">
        <v>300</v>
      </c>
      <c r="H33" s="529">
        <v>1</v>
      </c>
      <c r="I33" s="717"/>
      <c r="J33" s="530" t="str">
        <f t="shared" si="0"/>
        <v>INCLUDED</v>
      </c>
      <c r="K33" s="853">
        <f t="shared" si="1"/>
        <v>0</v>
      </c>
      <c r="L33" s="854">
        <f t="shared" si="2"/>
        <v>0</v>
      </c>
      <c r="M33" s="721"/>
      <c r="N33" s="721"/>
      <c r="O33" s="721"/>
      <c r="P33" s="721"/>
      <c r="Q33" s="721"/>
      <c r="R33" s="721"/>
      <c r="S33" s="721"/>
      <c r="T33" s="721"/>
      <c r="U33" s="721"/>
      <c r="V33" s="721"/>
      <c r="W33" s="721"/>
      <c r="X33" s="721"/>
      <c r="Y33" s="721"/>
      <c r="Z33" s="721"/>
      <c r="AA33" s="721"/>
      <c r="AB33" s="721"/>
    </row>
    <row r="34" spans="1:28" s="722" customFormat="1" ht="42.75" customHeight="1">
      <c r="A34" s="767">
        <v>17</v>
      </c>
      <c r="B34" s="529">
        <v>7000016907</v>
      </c>
      <c r="C34" s="529">
        <v>170</v>
      </c>
      <c r="D34" s="529" t="s">
        <v>665</v>
      </c>
      <c r="E34" s="529">
        <v>1000011351</v>
      </c>
      <c r="F34" s="525" t="s">
        <v>687</v>
      </c>
      <c r="G34" s="529" t="s">
        <v>300</v>
      </c>
      <c r="H34" s="529">
        <v>1</v>
      </c>
      <c r="I34" s="717"/>
      <c r="J34" s="530" t="str">
        <f t="shared" si="0"/>
        <v>INCLUDED</v>
      </c>
      <c r="K34" s="853">
        <f t="shared" si="1"/>
        <v>0</v>
      </c>
      <c r="L34" s="854">
        <f t="shared" si="2"/>
        <v>0</v>
      </c>
      <c r="M34" s="721"/>
      <c r="N34" s="721"/>
      <c r="O34" s="721"/>
      <c r="P34" s="721"/>
      <c r="Q34" s="721"/>
      <c r="R34" s="721"/>
      <c r="S34" s="721"/>
      <c r="T34" s="721"/>
      <c r="U34" s="721"/>
      <c r="V34" s="721"/>
      <c r="W34" s="721"/>
      <c r="X34" s="721"/>
      <c r="Y34" s="721"/>
      <c r="Z34" s="721"/>
      <c r="AA34" s="721"/>
      <c r="AB34" s="721"/>
    </row>
    <row r="35" spans="1:28" s="722" customFormat="1" ht="42.75" customHeight="1">
      <c r="A35" s="767">
        <v>18</v>
      </c>
      <c r="B35" s="529">
        <v>7000016907</v>
      </c>
      <c r="C35" s="529">
        <v>180</v>
      </c>
      <c r="D35" s="529" t="s">
        <v>665</v>
      </c>
      <c r="E35" s="529">
        <v>1000015788</v>
      </c>
      <c r="F35" s="525" t="s">
        <v>688</v>
      </c>
      <c r="G35" s="529" t="s">
        <v>607</v>
      </c>
      <c r="H35" s="529">
        <v>1</v>
      </c>
      <c r="I35" s="717"/>
      <c r="J35" s="530" t="str">
        <f t="shared" si="0"/>
        <v>INCLUDED</v>
      </c>
      <c r="K35" s="853">
        <f t="shared" si="1"/>
        <v>0</v>
      </c>
      <c r="L35" s="854">
        <f t="shared" si="2"/>
        <v>0</v>
      </c>
      <c r="M35" s="721"/>
      <c r="N35" s="721"/>
      <c r="O35" s="721"/>
      <c r="P35" s="721"/>
      <c r="Q35" s="721"/>
      <c r="R35" s="721"/>
      <c r="S35" s="721"/>
      <c r="T35" s="721"/>
      <c r="U35" s="721"/>
      <c r="V35" s="721"/>
      <c r="W35" s="721"/>
      <c r="X35" s="721"/>
      <c r="Y35" s="721"/>
      <c r="Z35" s="721"/>
      <c r="AA35" s="721"/>
      <c r="AB35" s="721"/>
    </row>
    <row r="36" spans="1:28" s="722" customFormat="1" ht="42.75" customHeight="1">
      <c r="A36" s="767">
        <v>19</v>
      </c>
      <c r="B36" s="529">
        <v>7000016907</v>
      </c>
      <c r="C36" s="529">
        <v>190</v>
      </c>
      <c r="D36" s="529" t="s">
        <v>666</v>
      </c>
      <c r="E36" s="529">
        <v>1000055993</v>
      </c>
      <c r="F36" s="525" t="s">
        <v>689</v>
      </c>
      <c r="G36" s="529" t="s">
        <v>299</v>
      </c>
      <c r="H36" s="529">
        <v>3</v>
      </c>
      <c r="I36" s="717"/>
      <c r="J36" s="530" t="str">
        <f t="shared" si="0"/>
        <v>INCLUDED</v>
      </c>
      <c r="K36" s="853">
        <f t="shared" si="1"/>
        <v>0</v>
      </c>
      <c r="L36" s="854">
        <f t="shared" si="2"/>
        <v>0</v>
      </c>
      <c r="M36" s="721"/>
      <c r="N36" s="721"/>
      <c r="O36" s="721"/>
      <c r="P36" s="721"/>
      <c r="Q36" s="721"/>
      <c r="R36" s="721"/>
      <c r="S36" s="721"/>
      <c r="T36" s="721"/>
      <c r="U36" s="721"/>
      <c r="V36" s="721"/>
      <c r="W36" s="721"/>
      <c r="X36" s="721"/>
      <c r="Y36" s="721"/>
      <c r="Z36" s="721"/>
      <c r="AA36" s="721"/>
      <c r="AB36" s="721"/>
    </row>
    <row r="37" spans="1:28" s="722" customFormat="1" ht="42.75" customHeight="1">
      <c r="A37" s="767">
        <v>20</v>
      </c>
      <c r="B37" s="529">
        <v>7000016907</v>
      </c>
      <c r="C37" s="529">
        <v>200</v>
      </c>
      <c r="D37" s="529" t="s">
        <v>666</v>
      </c>
      <c r="E37" s="529">
        <v>1000055995</v>
      </c>
      <c r="F37" s="525" t="s">
        <v>690</v>
      </c>
      <c r="G37" s="529" t="s">
        <v>299</v>
      </c>
      <c r="H37" s="529">
        <v>3</v>
      </c>
      <c r="I37" s="717"/>
      <c r="J37" s="530" t="str">
        <f t="shared" si="0"/>
        <v>INCLUDED</v>
      </c>
      <c r="K37" s="853">
        <f t="shared" si="1"/>
        <v>0</v>
      </c>
      <c r="L37" s="854">
        <f t="shared" si="2"/>
        <v>0</v>
      </c>
      <c r="M37" s="721"/>
      <c r="N37" s="721"/>
      <c r="O37" s="721"/>
      <c r="P37" s="721"/>
      <c r="Q37" s="721"/>
      <c r="R37" s="721"/>
      <c r="S37" s="721"/>
      <c r="T37" s="721"/>
      <c r="U37" s="721"/>
      <c r="V37" s="721"/>
      <c r="W37" s="721"/>
      <c r="X37" s="721"/>
      <c r="Y37" s="721"/>
      <c r="Z37" s="721"/>
      <c r="AA37" s="721"/>
      <c r="AB37" s="721"/>
    </row>
    <row r="38" spans="1:28" s="722" customFormat="1" ht="122.25" customHeight="1">
      <c r="A38" s="767">
        <v>21</v>
      </c>
      <c r="B38" s="529">
        <v>7000016907</v>
      </c>
      <c r="C38" s="529">
        <v>210</v>
      </c>
      <c r="D38" s="529" t="s">
        <v>666</v>
      </c>
      <c r="E38" s="529">
        <v>1000055997</v>
      </c>
      <c r="F38" s="525" t="s">
        <v>691</v>
      </c>
      <c r="G38" s="529" t="s">
        <v>299</v>
      </c>
      <c r="H38" s="529">
        <v>3</v>
      </c>
      <c r="I38" s="717"/>
      <c r="J38" s="530" t="str">
        <f t="shared" si="0"/>
        <v>INCLUDED</v>
      </c>
      <c r="K38" s="853">
        <f t="shared" si="1"/>
        <v>0</v>
      </c>
      <c r="L38" s="854">
        <f t="shared" si="2"/>
        <v>0</v>
      </c>
      <c r="M38" s="721"/>
      <c r="N38" s="721"/>
      <c r="O38" s="721"/>
      <c r="P38" s="721"/>
      <c r="Q38" s="721"/>
      <c r="R38" s="721"/>
      <c r="S38" s="721"/>
      <c r="T38" s="721"/>
      <c r="U38" s="721"/>
      <c r="V38" s="721"/>
      <c r="W38" s="721"/>
      <c r="X38" s="721"/>
      <c r="Y38" s="721"/>
      <c r="Z38" s="721"/>
      <c r="AA38" s="721"/>
      <c r="AB38" s="721"/>
    </row>
    <row r="39" spans="1:28" s="722" customFormat="1" ht="27.75" customHeight="1">
      <c r="A39" s="767">
        <v>22</v>
      </c>
      <c r="B39" s="529">
        <v>7000016907</v>
      </c>
      <c r="C39" s="529">
        <v>220</v>
      </c>
      <c r="D39" s="529" t="s">
        <v>521</v>
      </c>
      <c r="E39" s="529">
        <v>1000011319</v>
      </c>
      <c r="F39" s="525" t="s">
        <v>692</v>
      </c>
      <c r="G39" s="529" t="s">
        <v>300</v>
      </c>
      <c r="H39" s="529">
        <v>1</v>
      </c>
      <c r="I39" s="717"/>
      <c r="J39" s="530" t="str">
        <f t="shared" si="0"/>
        <v>INCLUDED</v>
      </c>
      <c r="K39" s="853">
        <f t="shared" si="1"/>
        <v>0</v>
      </c>
      <c r="L39" s="854">
        <f t="shared" si="2"/>
        <v>0</v>
      </c>
      <c r="M39" s="721"/>
      <c r="N39" s="721"/>
      <c r="O39" s="721"/>
      <c r="P39" s="721"/>
      <c r="Q39" s="721"/>
      <c r="R39" s="721"/>
      <c r="S39" s="721"/>
      <c r="T39" s="721"/>
      <c r="U39" s="721"/>
      <c r="V39" s="721"/>
      <c r="W39" s="721"/>
      <c r="X39" s="721"/>
      <c r="Y39" s="721"/>
      <c r="Z39" s="721"/>
      <c r="AA39" s="721"/>
      <c r="AB39" s="721"/>
    </row>
    <row r="40" spans="1:28" s="722" customFormat="1" ht="47.25">
      <c r="A40" s="767">
        <v>23</v>
      </c>
      <c r="B40" s="529">
        <v>7000016907</v>
      </c>
      <c r="C40" s="529">
        <v>230</v>
      </c>
      <c r="D40" s="529" t="s">
        <v>521</v>
      </c>
      <c r="E40" s="529">
        <v>1000011322</v>
      </c>
      <c r="F40" s="525" t="s">
        <v>589</v>
      </c>
      <c r="G40" s="529" t="s">
        <v>300</v>
      </c>
      <c r="H40" s="529">
        <v>2</v>
      </c>
      <c r="I40" s="717"/>
      <c r="J40" s="530" t="str">
        <f t="shared" si="0"/>
        <v>INCLUDED</v>
      </c>
      <c r="K40" s="853">
        <f t="shared" si="1"/>
        <v>0</v>
      </c>
      <c r="L40" s="854">
        <f t="shared" si="2"/>
        <v>0</v>
      </c>
      <c r="M40" s="721"/>
      <c r="N40" s="721"/>
      <c r="O40" s="721"/>
      <c r="P40" s="721"/>
      <c r="Q40" s="721"/>
      <c r="R40" s="721"/>
      <c r="S40" s="721"/>
      <c r="T40" s="721"/>
      <c r="U40" s="721"/>
      <c r="V40" s="721"/>
      <c r="W40" s="721"/>
      <c r="X40" s="721"/>
      <c r="Y40" s="721"/>
      <c r="Z40" s="721"/>
      <c r="AA40" s="721"/>
      <c r="AB40" s="721"/>
    </row>
    <row r="41" spans="1:28" s="722" customFormat="1" ht="47.25">
      <c r="A41" s="767">
        <v>24</v>
      </c>
      <c r="B41" s="529">
        <v>7000016907</v>
      </c>
      <c r="C41" s="529">
        <v>240</v>
      </c>
      <c r="D41" s="529" t="s">
        <v>521</v>
      </c>
      <c r="E41" s="529">
        <v>1000011327</v>
      </c>
      <c r="F41" s="525" t="s">
        <v>693</v>
      </c>
      <c r="G41" s="529" t="s">
        <v>300</v>
      </c>
      <c r="H41" s="529">
        <v>1</v>
      </c>
      <c r="I41" s="717"/>
      <c r="J41" s="530" t="str">
        <f t="shared" si="0"/>
        <v>INCLUDED</v>
      </c>
      <c r="K41" s="853">
        <f t="shared" si="1"/>
        <v>0</v>
      </c>
      <c r="L41" s="854">
        <f t="shared" si="2"/>
        <v>0</v>
      </c>
      <c r="M41" s="721"/>
      <c r="N41" s="721"/>
      <c r="O41" s="721"/>
      <c r="P41" s="721"/>
      <c r="Q41" s="721"/>
      <c r="R41" s="721"/>
      <c r="S41" s="721"/>
      <c r="T41" s="721"/>
      <c r="U41" s="721"/>
      <c r="V41" s="721"/>
      <c r="W41" s="721"/>
      <c r="X41" s="721"/>
      <c r="Y41" s="721"/>
      <c r="Z41" s="721"/>
      <c r="AA41" s="721"/>
      <c r="AB41" s="721"/>
    </row>
    <row r="42" spans="1:28" s="722" customFormat="1" ht="47.25">
      <c r="A42" s="767">
        <v>25</v>
      </c>
      <c r="B42" s="529">
        <v>7000016907</v>
      </c>
      <c r="C42" s="529">
        <v>250</v>
      </c>
      <c r="D42" s="529" t="s">
        <v>521</v>
      </c>
      <c r="E42" s="529">
        <v>1000011326</v>
      </c>
      <c r="F42" s="525" t="s">
        <v>590</v>
      </c>
      <c r="G42" s="529" t="s">
        <v>300</v>
      </c>
      <c r="H42" s="529">
        <v>1</v>
      </c>
      <c r="I42" s="717"/>
      <c r="J42" s="530" t="str">
        <f t="shared" si="0"/>
        <v>INCLUDED</v>
      </c>
      <c r="K42" s="853">
        <f t="shared" si="1"/>
        <v>0</v>
      </c>
      <c r="L42" s="854">
        <f t="shared" si="2"/>
        <v>0</v>
      </c>
      <c r="M42" s="721"/>
      <c r="N42" s="721"/>
      <c r="O42" s="721"/>
      <c r="P42" s="721"/>
      <c r="Q42" s="721"/>
      <c r="R42" s="721"/>
      <c r="S42" s="721"/>
      <c r="T42" s="721"/>
      <c r="U42" s="721"/>
      <c r="V42" s="721"/>
      <c r="W42" s="721"/>
      <c r="X42" s="721"/>
      <c r="Y42" s="721"/>
      <c r="Z42" s="721"/>
      <c r="AA42" s="721"/>
      <c r="AB42" s="721"/>
    </row>
    <row r="43" spans="1:28" s="722" customFormat="1" ht="31.5">
      <c r="A43" s="767">
        <v>26</v>
      </c>
      <c r="B43" s="529">
        <v>7000016907</v>
      </c>
      <c r="C43" s="529">
        <v>260</v>
      </c>
      <c r="D43" s="529" t="s">
        <v>522</v>
      </c>
      <c r="E43" s="529">
        <v>1000055988</v>
      </c>
      <c r="F43" s="525" t="s">
        <v>694</v>
      </c>
      <c r="G43" s="529" t="s">
        <v>299</v>
      </c>
      <c r="H43" s="529">
        <v>6</v>
      </c>
      <c r="I43" s="717"/>
      <c r="J43" s="530" t="str">
        <f t="shared" si="0"/>
        <v>INCLUDED</v>
      </c>
      <c r="K43" s="853">
        <f t="shared" si="1"/>
        <v>0</v>
      </c>
      <c r="L43" s="854">
        <f t="shared" si="2"/>
        <v>0</v>
      </c>
      <c r="M43" s="721"/>
      <c r="N43" s="721"/>
      <c r="O43" s="721"/>
      <c r="P43" s="721"/>
      <c r="Q43" s="721"/>
      <c r="R43" s="721"/>
      <c r="S43" s="721"/>
      <c r="T43" s="721"/>
      <c r="U43" s="721"/>
      <c r="V43" s="721"/>
      <c r="W43" s="721"/>
      <c r="X43" s="721"/>
      <c r="Y43" s="721"/>
      <c r="Z43" s="721"/>
      <c r="AA43" s="721"/>
      <c r="AB43" s="721"/>
    </row>
    <row r="44" spans="1:28" s="722" customFormat="1" ht="31.5">
      <c r="A44" s="767">
        <v>27</v>
      </c>
      <c r="B44" s="529">
        <v>7000016907</v>
      </c>
      <c r="C44" s="529">
        <v>270</v>
      </c>
      <c r="D44" s="529" t="s">
        <v>522</v>
      </c>
      <c r="E44" s="529">
        <v>1000055986</v>
      </c>
      <c r="F44" s="525" t="s">
        <v>591</v>
      </c>
      <c r="G44" s="529" t="s">
        <v>299</v>
      </c>
      <c r="H44" s="529">
        <v>24</v>
      </c>
      <c r="I44" s="717"/>
      <c r="J44" s="530" t="str">
        <f t="shared" si="0"/>
        <v>INCLUDED</v>
      </c>
      <c r="K44" s="853">
        <f t="shared" si="1"/>
        <v>0</v>
      </c>
      <c r="L44" s="854">
        <f t="shared" si="2"/>
        <v>0</v>
      </c>
      <c r="M44" s="721"/>
      <c r="N44" s="721"/>
      <c r="O44" s="721"/>
      <c r="P44" s="721"/>
      <c r="Q44" s="721"/>
      <c r="R44" s="721"/>
      <c r="S44" s="721"/>
      <c r="T44" s="721"/>
      <c r="U44" s="721"/>
      <c r="V44" s="721"/>
      <c r="W44" s="721"/>
      <c r="X44" s="721"/>
      <c r="Y44" s="721"/>
      <c r="Z44" s="721"/>
      <c r="AA44" s="721"/>
      <c r="AB44" s="721"/>
    </row>
    <row r="45" spans="1:28" s="722" customFormat="1" ht="31.5">
      <c r="A45" s="767">
        <v>28</v>
      </c>
      <c r="B45" s="529">
        <v>7000016907</v>
      </c>
      <c r="C45" s="529">
        <v>280</v>
      </c>
      <c r="D45" s="529" t="s">
        <v>522</v>
      </c>
      <c r="E45" s="529">
        <v>1000055991</v>
      </c>
      <c r="F45" s="525" t="s">
        <v>592</v>
      </c>
      <c r="G45" s="529" t="s">
        <v>299</v>
      </c>
      <c r="H45" s="529">
        <v>21</v>
      </c>
      <c r="I45" s="717"/>
      <c r="J45" s="530" t="str">
        <f t="shared" si="0"/>
        <v>INCLUDED</v>
      </c>
      <c r="K45" s="853">
        <f t="shared" si="1"/>
        <v>0</v>
      </c>
      <c r="L45" s="854">
        <f t="shared" si="2"/>
        <v>0</v>
      </c>
      <c r="M45" s="721"/>
      <c r="N45" s="721"/>
      <c r="O45" s="721"/>
      <c r="P45" s="721"/>
      <c r="Q45" s="721"/>
      <c r="R45" s="721"/>
      <c r="S45" s="721"/>
      <c r="T45" s="721"/>
      <c r="U45" s="721"/>
      <c r="V45" s="721"/>
      <c r="W45" s="721"/>
      <c r="X45" s="721"/>
      <c r="Y45" s="721"/>
      <c r="Z45" s="721"/>
      <c r="AA45" s="721"/>
      <c r="AB45" s="721"/>
    </row>
    <row r="46" spans="1:28" s="722" customFormat="1" ht="31.5">
      <c r="A46" s="767">
        <v>29</v>
      </c>
      <c r="B46" s="529">
        <v>7000016907</v>
      </c>
      <c r="C46" s="529">
        <v>290</v>
      </c>
      <c r="D46" s="529" t="s">
        <v>522</v>
      </c>
      <c r="E46" s="529">
        <v>1000055984</v>
      </c>
      <c r="F46" s="525" t="s">
        <v>593</v>
      </c>
      <c r="G46" s="529" t="s">
        <v>299</v>
      </c>
      <c r="H46" s="529">
        <v>27</v>
      </c>
      <c r="I46" s="717"/>
      <c r="J46" s="530" t="str">
        <f t="shared" si="0"/>
        <v>INCLUDED</v>
      </c>
      <c r="K46" s="853">
        <f t="shared" si="1"/>
        <v>0</v>
      </c>
      <c r="L46" s="854">
        <f t="shared" si="2"/>
        <v>0</v>
      </c>
      <c r="M46" s="721"/>
      <c r="N46" s="721"/>
      <c r="O46" s="721"/>
      <c r="P46" s="721"/>
      <c r="Q46" s="721"/>
      <c r="R46" s="721"/>
      <c r="S46" s="721"/>
      <c r="T46" s="721"/>
      <c r="U46" s="721"/>
      <c r="V46" s="721"/>
      <c r="W46" s="721"/>
      <c r="X46" s="721"/>
      <c r="Y46" s="721"/>
      <c r="Z46" s="721"/>
      <c r="AA46" s="721"/>
      <c r="AB46" s="721"/>
    </row>
    <row r="47" spans="1:28" s="722" customFormat="1">
      <c r="A47" s="767">
        <v>30</v>
      </c>
      <c r="B47" s="529">
        <v>7000016907</v>
      </c>
      <c r="C47" s="529">
        <v>300</v>
      </c>
      <c r="D47" s="529" t="s">
        <v>582</v>
      </c>
      <c r="E47" s="529">
        <v>1000009713</v>
      </c>
      <c r="F47" s="525" t="s">
        <v>594</v>
      </c>
      <c r="G47" s="529" t="s">
        <v>299</v>
      </c>
      <c r="H47" s="529">
        <v>2</v>
      </c>
      <c r="I47" s="717"/>
      <c r="J47" s="530" t="str">
        <f t="shared" si="0"/>
        <v>INCLUDED</v>
      </c>
      <c r="K47" s="853">
        <f t="shared" si="1"/>
        <v>0</v>
      </c>
      <c r="L47" s="854">
        <f t="shared" si="2"/>
        <v>0</v>
      </c>
      <c r="M47" s="721"/>
      <c r="N47" s="721"/>
      <c r="O47" s="721"/>
      <c r="P47" s="721"/>
      <c r="Q47" s="721"/>
      <c r="R47" s="721"/>
      <c r="S47" s="721"/>
      <c r="T47" s="721"/>
      <c r="U47" s="721"/>
      <c r="V47" s="721"/>
      <c r="W47" s="721"/>
      <c r="X47" s="721"/>
      <c r="Y47" s="721"/>
      <c r="Z47" s="721"/>
      <c r="AA47" s="721"/>
      <c r="AB47" s="721"/>
    </row>
    <row r="48" spans="1:28" s="722" customFormat="1">
      <c r="A48" s="767">
        <v>31</v>
      </c>
      <c r="B48" s="529">
        <v>7000016907</v>
      </c>
      <c r="C48" s="529">
        <v>310</v>
      </c>
      <c r="D48" s="529" t="s">
        <v>582</v>
      </c>
      <c r="E48" s="529">
        <v>1000009714</v>
      </c>
      <c r="F48" s="525" t="s">
        <v>695</v>
      </c>
      <c r="G48" s="529" t="s">
        <v>299</v>
      </c>
      <c r="H48" s="529">
        <v>1</v>
      </c>
      <c r="I48" s="717"/>
      <c r="J48" s="530" t="str">
        <f t="shared" si="0"/>
        <v>INCLUDED</v>
      </c>
      <c r="K48" s="853">
        <f t="shared" si="1"/>
        <v>0</v>
      </c>
      <c r="L48" s="854">
        <f t="shared" si="2"/>
        <v>0</v>
      </c>
      <c r="M48" s="721"/>
      <c r="N48" s="721"/>
      <c r="O48" s="721"/>
      <c r="P48" s="721"/>
      <c r="Q48" s="721"/>
      <c r="R48" s="721"/>
      <c r="S48" s="721"/>
      <c r="T48" s="721"/>
      <c r="U48" s="721"/>
      <c r="V48" s="721"/>
      <c r="W48" s="721"/>
      <c r="X48" s="721"/>
      <c r="Y48" s="721"/>
      <c r="Z48" s="721"/>
      <c r="AA48" s="721"/>
      <c r="AB48" s="721"/>
    </row>
    <row r="49" spans="1:28" s="722" customFormat="1">
      <c r="A49" s="767">
        <v>32</v>
      </c>
      <c r="B49" s="529">
        <v>7000016907</v>
      </c>
      <c r="C49" s="529">
        <v>320</v>
      </c>
      <c r="D49" s="529" t="s">
        <v>667</v>
      </c>
      <c r="E49" s="529">
        <v>1000005073</v>
      </c>
      <c r="F49" s="525" t="s">
        <v>696</v>
      </c>
      <c r="G49" s="529" t="s">
        <v>299</v>
      </c>
      <c r="H49" s="529">
        <v>1</v>
      </c>
      <c r="I49" s="717"/>
      <c r="J49" s="530" t="str">
        <f t="shared" si="0"/>
        <v>INCLUDED</v>
      </c>
      <c r="K49" s="853">
        <f t="shared" si="1"/>
        <v>0</v>
      </c>
      <c r="L49" s="854">
        <f t="shared" si="2"/>
        <v>0</v>
      </c>
      <c r="M49" s="721"/>
      <c r="N49" s="721"/>
      <c r="O49" s="721"/>
      <c r="P49" s="721"/>
      <c r="Q49" s="721"/>
      <c r="R49" s="721"/>
      <c r="S49" s="721"/>
      <c r="T49" s="721"/>
      <c r="U49" s="721"/>
      <c r="V49" s="721"/>
      <c r="W49" s="721"/>
      <c r="X49" s="721"/>
      <c r="Y49" s="721"/>
      <c r="Z49" s="721"/>
      <c r="AA49" s="721"/>
      <c r="AB49" s="721"/>
    </row>
    <row r="50" spans="1:28" s="722" customFormat="1" ht="31.5">
      <c r="A50" s="767">
        <v>33</v>
      </c>
      <c r="B50" s="529">
        <v>7000016907</v>
      </c>
      <c r="C50" s="529">
        <v>330</v>
      </c>
      <c r="D50" s="529" t="s">
        <v>667</v>
      </c>
      <c r="E50" s="529">
        <v>1000005789</v>
      </c>
      <c r="F50" s="525" t="s">
        <v>697</v>
      </c>
      <c r="G50" s="529" t="s">
        <v>299</v>
      </c>
      <c r="H50" s="529">
        <v>1</v>
      </c>
      <c r="I50" s="717"/>
      <c r="J50" s="530" t="str">
        <f t="shared" si="0"/>
        <v>INCLUDED</v>
      </c>
      <c r="K50" s="853">
        <f t="shared" si="1"/>
        <v>0</v>
      </c>
      <c r="L50" s="854">
        <f t="shared" si="2"/>
        <v>0</v>
      </c>
      <c r="M50" s="721"/>
      <c r="N50" s="721"/>
      <c r="O50" s="721"/>
      <c r="P50" s="721"/>
      <c r="Q50" s="721"/>
      <c r="R50" s="721"/>
      <c r="S50" s="721"/>
      <c r="T50" s="721"/>
      <c r="U50" s="721"/>
      <c r="V50" s="721"/>
      <c r="W50" s="721"/>
      <c r="X50" s="721"/>
      <c r="Y50" s="721"/>
      <c r="Z50" s="721"/>
      <c r="AA50" s="721"/>
      <c r="AB50" s="721"/>
    </row>
    <row r="51" spans="1:28" s="722" customFormat="1" ht="31.5">
      <c r="A51" s="767">
        <v>34</v>
      </c>
      <c r="B51" s="529">
        <v>7000016907</v>
      </c>
      <c r="C51" s="529">
        <v>340</v>
      </c>
      <c r="D51" s="529" t="s">
        <v>523</v>
      </c>
      <c r="E51" s="529">
        <v>1000002165</v>
      </c>
      <c r="F51" s="525" t="s">
        <v>595</v>
      </c>
      <c r="G51" s="529" t="s">
        <v>299</v>
      </c>
      <c r="H51" s="529">
        <v>5</v>
      </c>
      <c r="I51" s="717"/>
      <c r="J51" s="530" t="str">
        <f t="shared" si="0"/>
        <v>INCLUDED</v>
      </c>
      <c r="K51" s="853">
        <f t="shared" si="1"/>
        <v>0</v>
      </c>
      <c r="L51" s="854">
        <f t="shared" si="2"/>
        <v>0</v>
      </c>
      <c r="M51" s="721"/>
      <c r="N51" s="721"/>
      <c r="O51" s="721"/>
      <c r="P51" s="721"/>
      <c r="Q51" s="721"/>
      <c r="R51" s="721"/>
      <c r="S51" s="721"/>
      <c r="T51" s="721"/>
      <c r="U51" s="721"/>
      <c r="V51" s="721"/>
      <c r="W51" s="721"/>
      <c r="X51" s="721"/>
      <c r="Y51" s="721"/>
      <c r="Z51" s="721"/>
      <c r="AA51" s="721"/>
      <c r="AB51" s="721"/>
    </row>
    <row r="52" spans="1:28" s="722" customFormat="1" ht="31.5">
      <c r="A52" s="767">
        <v>35</v>
      </c>
      <c r="B52" s="529">
        <v>7000016907</v>
      </c>
      <c r="C52" s="529">
        <v>350</v>
      </c>
      <c r="D52" s="529" t="s">
        <v>523</v>
      </c>
      <c r="E52" s="529">
        <v>1000003398</v>
      </c>
      <c r="F52" s="525" t="s">
        <v>698</v>
      </c>
      <c r="G52" s="529" t="s">
        <v>299</v>
      </c>
      <c r="H52" s="529">
        <v>2</v>
      </c>
      <c r="I52" s="717"/>
      <c r="J52" s="530" t="str">
        <f t="shared" si="0"/>
        <v>INCLUDED</v>
      </c>
      <c r="K52" s="853">
        <f t="shared" si="1"/>
        <v>0</v>
      </c>
      <c r="L52" s="854">
        <f t="shared" si="2"/>
        <v>0</v>
      </c>
      <c r="M52" s="721"/>
      <c r="N52" s="721"/>
      <c r="O52" s="721"/>
      <c r="P52" s="721"/>
      <c r="Q52" s="721"/>
      <c r="R52" s="721"/>
      <c r="S52" s="721"/>
      <c r="T52" s="721"/>
      <c r="U52" s="721"/>
      <c r="V52" s="721"/>
      <c r="W52" s="721"/>
      <c r="X52" s="721"/>
      <c r="Y52" s="721"/>
      <c r="Z52" s="721"/>
      <c r="AA52" s="721"/>
      <c r="AB52" s="721"/>
    </row>
    <row r="53" spans="1:28" s="722" customFormat="1" ht="31.5">
      <c r="A53" s="767">
        <v>36</v>
      </c>
      <c r="B53" s="529">
        <v>7000016907</v>
      </c>
      <c r="C53" s="529">
        <v>360</v>
      </c>
      <c r="D53" s="529" t="s">
        <v>524</v>
      </c>
      <c r="E53" s="529">
        <v>1000003411</v>
      </c>
      <c r="F53" s="525" t="s">
        <v>598</v>
      </c>
      <c r="G53" s="529" t="s">
        <v>299</v>
      </c>
      <c r="H53" s="529">
        <v>2</v>
      </c>
      <c r="I53" s="717"/>
      <c r="J53" s="530" t="str">
        <f t="shared" si="0"/>
        <v>INCLUDED</v>
      </c>
      <c r="K53" s="853">
        <f t="shared" si="1"/>
        <v>0</v>
      </c>
      <c r="L53" s="854">
        <f t="shared" si="2"/>
        <v>0</v>
      </c>
      <c r="M53" s="721"/>
      <c r="N53" s="721"/>
      <c r="O53" s="721"/>
      <c r="P53" s="721"/>
      <c r="Q53" s="721"/>
      <c r="R53" s="721"/>
      <c r="S53" s="721"/>
      <c r="T53" s="721"/>
      <c r="U53" s="721"/>
      <c r="V53" s="721"/>
      <c r="W53" s="721"/>
      <c r="X53" s="721"/>
      <c r="Y53" s="721"/>
      <c r="Z53" s="721"/>
      <c r="AA53" s="721"/>
      <c r="AB53" s="721"/>
    </row>
    <row r="54" spans="1:28" s="722" customFormat="1" ht="31.5">
      <c r="A54" s="767">
        <v>37</v>
      </c>
      <c r="B54" s="529">
        <v>7000016907</v>
      </c>
      <c r="C54" s="529">
        <v>370</v>
      </c>
      <c r="D54" s="529" t="s">
        <v>524</v>
      </c>
      <c r="E54" s="529">
        <v>1000003409</v>
      </c>
      <c r="F54" s="525" t="s">
        <v>597</v>
      </c>
      <c r="G54" s="529" t="s">
        <v>299</v>
      </c>
      <c r="H54" s="529">
        <v>3</v>
      </c>
      <c r="I54" s="717"/>
      <c r="J54" s="530" t="str">
        <f t="shared" si="0"/>
        <v>INCLUDED</v>
      </c>
      <c r="K54" s="853">
        <f t="shared" si="1"/>
        <v>0</v>
      </c>
      <c r="L54" s="854">
        <f t="shared" si="2"/>
        <v>0</v>
      </c>
      <c r="M54" s="721"/>
      <c r="N54" s="721"/>
      <c r="O54" s="721"/>
      <c r="P54" s="721"/>
      <c r="Q54" s="721"/>
      <c r="R54" s="721"/>
      <c r="S54" s="721"/>
      <c r="T54" s="721"/>
      <c r="U54" s="721"/>
      <c r="V54" s="721"/>
      <c r="W54" s="721"/>
      <c r="X54" s="721"/>
      <c r="Y54" s="721"/>
      <c r="Z54" s="721"/>
      <c r="AA54" s="721"/>
      <c r="AB54" s="721"/>
    </row>
    <row r="55" spans="1:28" s="722" customFormat="1" ht="31.5">
      <c r="A55" s="767">
        <v>38</v>
      </c>
      <c r="B55" s="529">
        <v>7000016907</v>
      </c>
      <c r="C55" s="529">
        <v>380</v>
      </c>
      <c r="D55" s="529" t="s">
        <v>524</v>
      </c>
      <c r="E55" s="529">
        <v>1000005535</v>
      </c>
      <c r="F55" s="525" t="s">
        <v>699</v>
      </c>
      <c r="G55" s="529" t="s">
        <v>299</v>
      </c>
      <c r="H55" s="529">
        <v>1</v>
      </c>
      <c r="I55" s="717"/>
      <c r="J55" s="530" t="str">
        <f t="shared" si="0"/>
        <v>INCLUDED</v>
      </c>
      <c r="K55" s="853">
        <f t="shared" si="1"/>
        <v>0</v>
      </c>
      <c r="L55" s="854">
        <f t="shared" si="2"/>
        <v>0</v>
      </c>
      <c r="M55" s="721"/>
      <c r="N55" s="721"/>
      <c r="O55" s="721"/>
      <c r="P55" s="721"/>
      <c r="Q55" s="721"/>
      <c r="R55" s="721"/>
      <c r="S55" s="721"/>
      <c r="T55" s="721"/>
      <c r="U55" s="721"/>
      <c r="V55" s="721"/>
      <c r="W55" s="721"/>
      <c r="X55" s="721"/>
      <c r="Y55" s="721"/>
      <c r="Z55" s="721"/>
      <c r="AA55" s="721"/>
      <c r="AB55" s="721"/>
    </row>
    <row r="56" spans="1:28" s="722" customFormat="1" ht="94.5">
      <c r="A56" s="767">
        <v>39</v>
      </c>
      <c r="B56" s="529">
        <v>7000016907</v>
      </c>
      <c r="C56" s="529">
        <v>390</v>
      </c>
      <c r="D56" s="529" t="s">
        <v>525</v>
      </c>
      <c r="E56" s="529">
        <v>1000030433</v>
      </c>
      <c r="F56" s="525" t="s">
        <v>533</v>
      </c>
      <c r="G56" s="529" t="s">
        <v>300</v>
      </c>
      <c r="H56" s="529">
        <v>1</v>
      </c>
      <c r="I56" s="717"/>
      <c r="J56" s="530" t="str">
        <f t="shared" si="0"/>
        <v>INCLUDED</v>
      </c>
      <c r="K56" s="853">
        <f t="shared" si="1"/>
        <v>0</v>
      </c>
      <c r="L56" s="854">
        <f t="shared" si="2"/>
        <v>0</v>
      </c>
      <c r="M56" s="721"/>
      <c r="N56" s="721"/>
      <c r="O56" s="721"/>
      <c r="P56" s="721"/>
      <c r="Q56" s="721"/>
      <c r="R56" s="721"/>
      <c r="S56" s="721"/>
      <c r="T56" s="721"/>
      <c r="U56" s="721"/>
      <c r="V56" s="721"/>
      <c r="W56" s="721"/>
      <c r="X56" s="721"/>
      <c r="Y56" s="721"/>
      <c r="Z56" s="721"/>
      <c r="AA56" s="721"/>
      <c r="AB56" s="721"/>
    </row>
    <row r="57" spans="1:28" s="722" customFormat="1" ht="31.5">
      <c r="A57" s="767">
        <v>40</v>
      </c>
      <c r="B57" s="529">
        <v>7000016907</v>
      </c>
      <c r="C57" s="529">
        <v>400</v>
      </c>
      <c r="D57" s="529" t="s">
        <v>668</v>
      </c>
      <c r="E57" s="529">
        <v>1000004290</v>
      </c>
      <c r="F57" s="525" t="s">
        <v>599</v>
      </c>
      <c r="G57" s="529" t="s">
        <v>299</v>
      </c>
      <c r="H57" s="529">
        <v>4</v>
      </c>
      <c r="I57" s="717"/>
      <c r="J57" s="530" t="str">
        <f t="shared" si="0"/>
        <v>INCLUDED</v>
      </c>
      <c r="K57" s="853">
        <f t="shared" si="1"/>
        <v>0</v>
      </c>
      <c r="L57" s="854">
        <f t="shared" si="2"/>
        <v>0</v>
      </c>
      <c r="M57" s="721"/>
      <c r="N57" s="721"/>
      <c r="O57" s="721"/>
      <c r="P57" s="721"/>
      <c r="Q57" s="721"/>
      <c r="R57" s="721"/>
      <c r="S57" s="721"/>
      <c r="T57" s="721"/>
      <c r="U57" s="721"/>
      <c r="V57" s="721"/>
      <c r="W57" s="721"/>
      <c r="X57" s="721"/>
      <c r="Y57" s="721"/>
      <c r="Z57" s="721"/>
      <c r="AA57" s="721"/>
      <c r="AB57" s="721"/>
    </row>
    <row r="58" spans="1:28" s="722" customFormat="1" ht="31.5">
      <c r="A58" s="767">
        <v>41</v>
      </c>
      <c r="B58" s="529">
        <v>7000016907</v>
      </c>
      <c r="C58" s="529">
        <v>410</v>
      </c>
      <c r="D58" s="529" t="s">
        <v>668</v>
      </c>
      <c r="E58" s="529">
        <v>1000010014</v>
      </c>
      <c r="F58" s="525" t="s">
        <v>700</v>
      </c>
      <c r="G58" s="529" t="s">
        <v>300</v>
      </c>
      <c r="H58" s="529">
        <v>2</v>
      </c>
      <c r="I58" s="717"/>
      <c r="J58" s="530" t="str">
        <f t="shared" si="0"/>
        <v>INCLUDED</v>
      </c>
      <c r="K58" s="853">
        <f t="shared" si="1"/>
        <v>0</v>
      </c>
      <c r="L58" s="854">
        <f t="shared" si="2"/>
        <v>0</v>
      </c>
      <c r="M58" s="721"/>
      <c r="N58" s="721"/>
      <c r="O58" s="721"/>
      <c r="P58" s="721"/>
      <c r="Q58" s="721"/>
      <c r="R58" s="721"/>
      <c r="S58" s="721"/>
      <c r="T58" s="721"/>
      <c r="U58" s="721"/>
      <c r="V58" s="721"/>
      <c r="W58" s="721"/>
      <c r="X58" s="721"/>
      <c r="Y58" s="721"/>
      <c r="Z58" s="721"/>
      <c r="AA58" s="721"/>
      <c r="AB58" s="721"/>
    </row>
    <row r="59" spans="1:28" s="722" customFormat="1" ht="31.5">
      <c r="A59" s="767">
        <v>42</v>
      </c>
      <c r="B59" s="529">
        <v>7000016907</v>
      </c>
      <c r="C59" s="529">
        <v>420</v>
      </c>
      <c r="D59" s="529" t="s">
        <v>668</v>
      </c>
      <c r="E59" s="529">
        <v>1000000046</v>
      </c>
      <c r="F59" s="525" t="s">
        <v>701</v>
      </c>
      <c r="G59" s="529" t="s">
        <v>299</v>
      </c>
      <c r="H59" s="529">
        <v>2</v>
      </c>
      <c r="I59" s="717"/>
      <c r="J59" s="530" t="str">
        <f t="shared" si="0"/>
        <v>INCLUDED</v>
      </c>
      <c r="K59" s="853">
        <f t="shared" si="1"/>
        <v>0</v>
      </c>
      <c r="L59" s="854">
        <f t="shared" si="2"/>
        <v>0</v>
      </c>
      <c r="M59" s="721"/>
      <c r="N59" s="721"/>
      <c r="O59" s="721"/>
      <c r="P59" s="721"/>
      <c r="Q59" s="721"/>
      <c r="R59" s="721"/>
      <c r="S59" s="721"/>
      <c r="T59" s="721"/>
      <c r="U59" s="721"/>
      <c r="V59" s="721"/>
      <c r="W59" s="721"/>
      <c r="X59" s="721"/>
      <c r="Y59" s="721"/>
      <c r="Z59" s="721"/>
      <c r="AA59" s="721"/>
      <c r="AB59" s="721"/>
    </row>
    <row r="60" spans="1:28" s="722" customFormat="1" ht="31.5">
      <c r="A60" s="767">
        <v>43</v>
      </c>
      <c r="B60" s="529">
        <v>7000016907</v>
      </c>
      <c r="C60" s="529">
        <v>430</v>
      </c>
      <c r="D60" s="529" t="s">
        <v>668</v>
      </c>
      <c r="E60" s="529">
        <v>1000017887</v>
      </c>
      <c r="F60" s="525" t="s">
        <v>702</v>
      </c>
      <c r="G60" s="529" t="s">
        <v>299</v>
      </c>
      <c r="H60" s="529">
        <v>2</v>
      </c>
      <c r="I60" s="717"/>
      <c r="J60" s="530" t="str">
        <f t="shared" ref="J60:J72" si="3">IF(I60=0, "INCLUDED", IF(ISERROR(I60*H60), I60, I60*H60))</f>
        <v>INCLUDED</v>
      </c>
      <c r="K60" s="853">
        <f t="shared" ref="K60:K72" si="4">ROUND(I60,2)</f>
        <v>0</v>
      </c>
      <c r="L60" s="854">
        <f t="shared" ref="L60:L72" si="5">H60*K60</f>
        <v>0</v>
      </c>
      <c r="M60" s="721"/>
      <c r="N60" s="721"/>
      <c r="O60" s="721"/>
      <c r="P60" s="721"/>
      <c r="Q60" s="721"/>
      <c r="R60" s="721"/>
      <c r="S60" s="721"/>
      <c r="T60" s="721"/>
      <c r="U60" s="721"/>
      <c r="V60" s="721"/>
      <c r="W60" s="721"/>
      <c r="X60" s="721"/>
      <c r="Y60" s="721"/>
      <c r="Z60" s="721"/>
      <c r="AA60" s="721"/>
      <c r="AB60" s="721"/>
    </row>
    <row r="61" spans="1:28" s="722" customFormat="1" ht="31.5">
      <c r="A61" s="767">
        <v>44</v>
      </c>
      <c r="B61" s="529">
        <v>7000016907</v>
      </c>
      <c r="C61" s="529">
        <v>440</v>
      </c>
      <c r="D61" s="529" t="s">
        <v>668</v>
      </c>
      <c r="E61" s="529">
        <v>1000010638</v>
      </c>
      <c r="F61" s="525" t="s">
        <v>703</v>
      </c>
      <c r="G61" s="529" t="s">
        <v>299</v>
      </c>
      <c r="H61" s="529">
        <v>2</v>
      </c>
      <c r="I61" s="717"/>
      <c r="J61" s="530" t="str">
        <f t="shared" si="3"/>
        <v>INCLUDED</v>
      </c>
      <c r="K61" s="853">
        <f t="shared" si="4"/>
        <v>0</v>
      </c>
      <c r="L61" s="854">
        <f t="shared" si="5"/>
        <v>0</v>
      </c>
      <c r="M61" s="721"/>
      <c r="N61" s="721"/>
      <c r="O61" s="721"/>
      <c r="P61" s="721"/>
      <c r="Q61" s="721"/>
      <c r="R61" s="721"/>
      <c r="S61" s="721"/>
      <c r="T61" s="721"/>
      <c r="U61" s="721"/>
      <c r="V61" s="721"/>
      <c r="W61" s="721"/>
      <c r="X61" s="721"/>
      <c r="Y61" s="721"/>
      <c r="Z61" s="721"/>
      <c r="AA61" s="721"/>
      <c r="AB61" s="721"/>
    </row>
    <row r="62" spans="1:28" s="722" customFormat="1" ht="31.5">
      <c r="A62" s="767">
        <v>45</v>
      </c>
      <c r="B62" s="529">
        <v>7000016907</v>
      </c>
      <c r="C62" s="529">
        <v>450</v>
      </c>
      <c r="D62" s="529" t="s">
        <v>668</v>
      </c>
      <c r="E62" s="529">
        <v>1000036908</v>
      </c>
      <c r="F62" s="525" t="s">
        <v>704</v>
      </c>
      <c r="G62" s="529" t="s">
        <v>478</v>
      </c>
      <c r="H62" s="529">
        <v>1.5</v>
      </c>
      <c r="I62" s="717"/>
      <c r="J62" s="530" t="str">
        <f t="shared" si="3"/>
        <v>INCLUDED</v>
      </c>
      <c r="K62" s="853">
        <f t="shared" si="4"/>
        <v>0</v>
      </c>
      <c r="L62" s="854">
        <f t="shared" si="5"/>
        <v>0</v>
      </c>
      <c r="M62" s="721"/>
      <c r="N62" s="721"/>
      <c r="O62" s="721"/>
      <c r="P62" s="721"/>
      <c r="Q62" s="721"/>
      <c r="R62" s="721"/>
      <c r="S62" s="721"/>
      <c r="T62" s="721"/>
      <c r="U62" s="721"/>
      <c r="V62" s="721"/>
      <c r="W62" s="721"/>
      <c r="X62" s="721"/>
      <c r="Y62" s="721"/>
      <c r="Z62" s="721"/>
      <c r="AA62" s="721"/>
      <c r="AB62" s="721"/>
    </row>
    <row r="63" spans="1:28" s="722" customFormat="1" ht="31.5">
      <c r="A63" s="767">
        <v>46</v>
      </c>
      <c r="B63" s="529">
        <v>7000016907</v>
      </c>
      <c r="C63" s="529">
        <v>460</v>
      </c>
      <c r="D63" s="529" t="s">
        <v>668</v>
      </c>
      <c r="E63" s="529">
        <v>1000004400</v>
      </c>
      <c r="F63" s="525" t="s">
        <v>588</v>
      </c>
      <c r="G63" s="529" t="s">
        <v>299</v>
      </c>
      <c r="H63" s="529">
        <v>12</v>
      </c>
      <c r="I63" s="717"/>
      <c r="J63" s="530" t="str">
        <f t="shared" si="3"/>
        <v>INCLUDED</v>
      </c>
      <c r="K63" s="853">
        <f t="shared" si="4"/>
        <v>0</v>
      </c>
      <c r="L63" s="854">
        <f t="shared" si="5"/>
        <v>0</v>
      </c>
      <c r="M63" s="721"/>
      <c r="N63" s="721"/>
      <c r="O63" s="721"/>
      <c r="P63" s="721"/>
      <c r="Q63" s="721"/>
      <c r="R63" s="721"/>
      <c r="S63" s="721"/>
      <c r="T63" s="721"/>
      <c r="U63" s="721"/>
      <c r="V63" s="721"/>
      <c r="W63" s="721"/>
      <c r="X63" s="721"/>
      <c r="Y63" s="721"/>
      <c r="Z63" s="721"/>
      <c r="AA63" s="721"/>
      <c r="AB63" s="721"/>
    </row>
    <row r="64" spans="1:28" s="722" customFormat="1" ht="31.5">
      <c r="A64" s="767">
        <v>47</v>
      </c>
      <c r="B64" s="529">
        <v>7000016907</v>
      </c>
      <c r="C64" s="529">
        <v>470</v>
      </c>
      <c r="D64" s="529" t="s">
        <v>526</v>
      </c>
      <c r="E64" s="529">
        <v>1000032050</v>
      </c>
      <c r="F64" s="525" t="s">
        <v>534</v>
      </c>
      <c r="G64" s="529" t="s">
        <v>478</v>
      </c>
      <c r="H64" s="529">
        <v>3.9</v>
      </c>
      <c r="I64" s="717"/>
      <c r="J64" s="530" t="str">
        <f t="shared" si="3"/>
        <v>INCLUDED</v>
      </c>
      <c r="K64" s="853">
        <f t="shared" si="4"/>
        <v>0</v>
      </c>
      <c r="L64" s="854">
        <f t="shared" si="5"/>
        <v>0</v>
      </c>
      <c r="M64" s="721"/>
      <c r="N64" s="721"/>
      <c r="O64" s="721"/>
      <c r="P64" s="721"/>
      <c r="Q64" s="721"/>
      <c r="R64" s="721"/>
      <c r="S64" s="721"/>
      <c r="T64" s="721"/>
      <c r="U64" s="721"/>
      <c r="V64" s="721"/>
      <c r="W64" s="721"/>
      <c r="X64" s="721"/>
      <c r="Y64" s="721"/>
      <c r="Z64" s="721"/>
      <c r="AA64" s="721"/>
      <c r="AB64" s="721"/>
    </row>
    <row r="65" spans="1:28" s="722" customFormat="1" ht="31.5">
      <c r="A65" s="767">
        <v>48</v>
      </c>
      <c r="B65" s="529">
        <v>7000016907</v>
      </c>
      <c r="C65" s="529">
        <v>480</v>
      </c>
      <c r="D65" s="529" t="s">
        <v>526</v>
      </c>
      <c r="E65" s="529">
        <v>1000056265</v>
      </c>
      <c r="F65" s="525" t="s">
        <v>535</v>
      </c>
      <c r="G65" s="529" t="s">
        <v>478</v>
      </c>
      <c r="H65" s="529">
        <v>3.2</v>
      </c>
      <c r="I65" s="717"/>
      <c r="J65" s="530" t="str">
        <f t="shared" si="3"/>
        <v>INCLUDED</v>
      </c>
      <c r="K65" s="853">
        <f t="shared" si="4"/>
        <v>0</v>
      </c>
      <c r="L65" s="854">
        <f t="shared" si="5"/>
        <v>0</v>
      </c>
      <c r="M65" s="721"/>
      <c r="N65" s="721"/>
      <c r="O65" s="721"/>
      <c r="P65" s="721"/>
      <c r="Q65" s="721"/>
      <c r="R65" s="721"/>
      <c r="S65" s="721"/>
      <c r="T65" s="721"/>
      <c r="U65" s="721"/>
      <c r="V65" s="721"/>
      <c r="W65" s="721"/>
      <c r="X65" s="721"/>
      <c r="Y65" s="721"/>
      <c r="Z65" s="721"/>
      <c r="AA65" s="721"/>
      <c r="AB65" s="721"/>
    </row>
    <row r="66" spans="1:28" s="722" customFormat="1" ht="31.5">
      <c r="A66" s="767">
        <v>49</v>
      </c>
      <c r="B66" s="529">
        <v>7000016907</v>
      </c>
      <c r="C66" s="529">
        <v>490</v>
      </c>
      <c r="D66" s="529" t="s">
        <v>526</v>
      </c>
      <c r="E66" s="529">
        <v>1000056264</v>
      </c>
      <c r="F66" s="525" t="s">
        <v>536</v>
      </c>
      <c r="G66" s="529" t="s">
        <v>478</v>
      </c>
      <c r="H66" s="529">
        <v>8.5</v>
      </c>
      <c r="I66" s="717"/>
      <c r="J66" s="530" t="str">
        <f t="shared" si="3"/>
        <v>INCLUDED</v>
      </c>
      <c r="K66" s="853">
        <f t="shared" si="4"/>
        <v>0</v>
      </c>
      <c r="L66" s="854">
        <f t="shared" si="5"/>
        <v>0</v>
      </c>
      <c r="M66" s="721"/>
      <c r="N66" s="721"/>
      <c r="O66" s="721"/>
      <c r="P66" s="721"/>
      <c r="Q66" s="721"/>
      <c r="R66" s="721"/>
      <c r="S66" s="721"/>
      <c r="T66" s="721"/>
      <c r="U66" s="721"/>
      <c r="V66" s="721"/>
      <c r="W66" s="721"/>
      <c r="X66" s="721"/>
      <c r="Y66" s="721"/>
      <c r="Z66" s="721"/>
      <c r="AA66" s="721"/>
      <c r="AB66" s="721"/>
    </row>
    <row r="67" spans="1:28" s="722" customFormat="1" ht="31.5">
      <c r="A67" s="767">
        <v>50</v>
      </c>
      <c r="B67" s="529">
        <v>7000016907</v>
      </c>
      <c r="C67" s="529">
        <v>500</v>
      </c>
      <c r="D67" s="529" t="s">
        <v>526</v>
      </c>
      <c r="E67" s="529">
        <v>1000031887</v>
      </c>
      <c r="F67" s="525" t="s">
        <v>537</v>
      </c>
      <c r="G67" s="529" t="s">
        <v>478</v>
      </c>
      <c r="H67" s="529">
        <v>10.199999999999999</v>
      </c>
      <c r="I67" s="717"/>
      <c r="J67" s="530" t="str">
        <f t="shared" si="3"/>
        <v>INCLUDED</v>
      </c>
      <c r="K67" s="853">
        <f t="shared" si="4"/>
        <v>0</v>
      </c>
      <c r="L67" s="854">
        <f t="shared" si="5"/>
        <v>0</v>
      </c>
      <c r="M67" s="721"/>
      <c r="N67" s="721"/>
      <c r="O67" s="721"/>
      <c r="P67" s="721"/>
      <c r="Q67" s="721"/>
      <c r="R67" s="721"/>
      <c r="S67" s="721"/>
      <c r="T67" s="721"/>
      <c r="U67" s="721"/>
      <c r="V67" s="721"/>
      <c r="W67" s="721"/>
      <c r="X67" s="721"/>
      <c r="Y67" s="721"/>
      <c r="Z67" s="721"/>
      <c r="AA67" s="721"/>
      <c r="AB67" s="721"/>
    </row>
    <row r="68" spans="1:28" s="722" customFormat="1" ht="31.5">
      <c r="A68" s="767">
        <v>51</v>
      </c>
      <c r="B68" s="529">
        <v>7000016907</v>
      </c>
      <c r="C68" s="529">
        <v>510</v>
      </c>
      <c r="D68" s="529" t="s">
        <v>526</v>
      </c>
      <c r="E68" s="529">
        <v>1000031987</v>
      </c>
      <c r="F68" s="525" t="s">
        <v>538</v>
      </c>
      <c r="G68" s="529" t="s">
        <v>478</v>
      </c>
      <c r="H68" s="529">
        <v>15.5</v>
      </c>
      <c r="I68" s="717"/>
      <c r="J68" s="530" t="str">
        <f t="shared" si="3"/>
        <v>INCLUDED</v>
      </c>
      <c r="K68" s="853">
        <f t="shared" si="4"/>
        <v>0</v>
      </c>
      <c r="L68" s="854">
        <f t="shared" si="5"/>
        <v>0</v>
      </c>
      <c r="M68" s="721"/>
      <c r="N68" s="721"/>
      <c r="O68" s="721"/>
      <c r="P68" s="721"/>
      <c r="Q68" s="721"/>
      <c r="R68" s="721"/>
      <c r="S68" s="721"/>
      <c r="T68" s="721"/>
      <c r="U68" s="721"/>
      <c r="V68" s="721"/>
      <c r="W68" s="721"/>
      <c r="X68" s="721"/>
      <c r="Y68" s="721"/>
      <c r="Z68" s="721"/>
      <c r="AA68" s="721"/>
      <c r="AB68" s="721"/>
    </row>
    <row r="69" spans="1:28" s="722" customFormat="1" ht="31.5">
      <c r="A69" s="767">
        <v>52</v>
      </c>
      <c r="B69" s="529">
        <v>7000016907</v>
      </c>
      <c r="C69" s="529">
        <v>520</v>
      </c>
      <c r="D69" s="529" t="s">
        <v>526</v>
      </c>
      <c r="E69" s="529">
        <v>1000031964</v>
      </c>
      <c r="F69" s="525" t="s">
        <v>539</v>
      </c>
      <c r="G69" s="529" t="s">
        <v>478</v>
      </c>
      <c r="H69" s="529">
        <v>20</v>
      </c>
      <c r="I69" s="717"/>
      <c r="J69" s="530" t="str">
        <f t="shared" si="3"/>
        <v>INCLUDED</v>
      </c>
      <c r="K69" s="853">
        <f t="shared" si="4"/>
        <v>0</v>
      </c>
      <c r="L69" s="854">
        <f t="shared" si="5"/>
        <v>0</v>
      </c>
      <c r="M69" s="721"/>
      <c r="N69" s="721"/>
      <c r="O69" s="721"/>
      <c r="P69" s="721"/>
      <c r="Q69" s="721"/>
      <c r="R69" s="721"/>
      <c r="S69" s="721"/>
      <c r="T69" s="721"/>
      <c r="U69" s="721"/>
      <c r="V69" s="721"/>
      <c r="W69" s="721"/>
      <c r="X69" s="721"/>
      <c r="Y69" s="721"/>
      <c r="Z69" s="721"/>
      <c r="AA69" s="721"/>
      <c r="AB69" s="721"/>
    </row>
    <row r="70" spans="1:28" s="722" customFormat="1" ht="31.5">
      <c r="A70" s="767">
        <v>53</v>
      </c>
      <c r="B70" s="529">
        <v>7000016907</v>
      </c>
      <c r="C70" s="529">
        <v>530</v>
      </c>
      <c r="D70" s="529" t="s">
        <v>526</v>
      </c>
      <c r="E70" s="529">
        <v>1000031943</v>
      </c>
      <c r="F70" s="525" t="s">
        <v>540</v>
      </c>
      <c r="G70" s="529" t="s">
        <v>478</v>
      </c>
      <c r="H70" s="529">
        <v>3.5</v>
      </c>
      <c r="I70" s="717"/>
      <c r="J70" s="530" t="str">
        <f t="shared" si="3"/>
        <v>INCLUDED</v>
      </c>
      <c r="K70" s="853">
        <f t="shared" si="4"/>
        <v>0</v>
      </c>
      <c r="L70" s="854">
        <f t="shared" si="5"/>
        <v>0</v>
      </c>
      <c r="M70" s="721"/>
      <c r="N70" s="721"/>
      <c r="O70" s="721"/>
      <c r="P70" s="721"/>
      <c r="Q70" s="721"/>
      <c r="R70" s="721"/>
      <c r="S70" s="721"/>
      <c r="T70" s="721"/>
      <c r="U70" s="721"/>
      <c r="V70" s="721"/>
      <c r="W70" s="721"/>
      <c r="X70" s="721"/>
      <c r="Y70" s="721"/>
      <c r="Z70" s="721"/>
      <c r="AA70" s="721"/>
      <c r="AB70" s="721"/>
    </row>
    <row r="71" spans="1:28" s="722" customFormat="1" ht="31.5">
      <c r="A71" s="767">
        <v>54</v>
      </c>
      <c r="B71" s="529">
        <v>7000016907</v>
      </c>
      <c r="C71" s="529">
        <v>540</v>
      </c>
      <c r="D71" s="529" t="s">
        <v>526</v>
      </c>
      <c r="E71" s="529">
        <v>1000031985</v>
      </c>
      <c r="F71" s="525" t="s">
        <v>541</v>
      </c>
      <c r="G71" s="529" t="s">
        <v>478</v>
      </c>
      <c r="H71" s="529">
        <v>12</v>
      </c>
      <c r="I71" s="717"/>
      <c r="J71" s="530" t="str">
        <f t="shared" si="3"/>
        <v>INCLUDED</v>
      </c>
      <c r="K71" s="853">
        <f t="shared" si="4"/>
        <v>0</v>
      </c>
      <c r="L71" s="854">
        <f t="shared" si="5"/>
        <v>0</v>
      </c>
      <c r="M71" s="721"/>
      <c r="N71" s="721"/>
      <c r="O71" s="721"/>
      <c r="P71" s="721"/>
      <c r="Q71" s="721"/>
      <c r="R71" s="721"/>
      <c r="S71" s="721"/>
      <c r="T71" s="721"/>
      <c r="U71" s="721"/>
      <c r="V71" s="721"/>
      <c r="W71" s="721"/>
      <c r="X71" s="721"/>
      <c r="Y71" s="721"/>
      <c r="Z71" s="721"/>
      <c r="AA71" s="721"/>
      <c r="AB71" s="721"/>
    </row>
    <row r="72" spans="1:28" s="722" customFormat="1" ht="31.5">
      <c r="A72" s="767">
        <v>55</v>
      </c>
      <c r="B72" s="529">
        <v>7000016907</v>
      </c>
      <c r="C72" s="529">
        <v>550</v>
      </c>
      <c r="D72" s="529" t="s">
        <v>526</v>
      </c>
      <c r="E72" s="529">
        <v>1000031976</v>
      </c>
      <c r="F72" s="525" t="s">
        <v>542</v>
      </c>
      <c r="G72" s="529" t="s">
        <v>478</v>
      </c>
      <c r="H72" s="529">
        <v>2.5</v>
      </c>
      <c r="I72" s="717"/>
      <c r="J72" s="530" t="str">
        <f t="shared" si="3"/>
        <v>INCLUDED</v>
      </c>
      <c r="K72" s="853">
        <f t="shared" si="4"/>
        <v>0</v>
      </c>
      <c r="L72" s="854">
        <f t="shared" si="5"/>
        <v>0</v>
      </c>
      <c r="M72" s="721"/>
      <c r="N72" s="721"/>
      <c r="O72" s="721"/>
      <c r="P72" s="721"/>
      <c r="Q72" s="721"/>
      <c r="R72" s="721"/>
      <c r="S72" s="721"/>
      <c r="T72" s="721"/>
      <c r="U72" s="721"/>
      <c r="V72" s="721"/>
      <c r="W72" s="721"/>
      <c r="X72" s="721"/>
      <c r="Y72" s="721"/>
      <c r="Z72" s="721"/>
      <c r="AA72" s="721"/>
      <c r="AB72" s="721"/>
    </row>
    <row r="73" spans="1:28" s="722" customFormat="1" ht="31.5">
      <c r="A73" s="767">
        <v>56</v>
      </c>
      <c r="B73" s="529">
        <v>7000016907</v>
      </c>
      <c r="C73" s="529">
        <v>560</v>
      </c>
      <c r="D73" s="529" t="s">
        <v>526</v>
      </c>
      <c r="E73" s="529">
        <v>1000031953</v>
      </c>
      <c r="F73" s="525" t="s">
        <v>600</v>
      </c>
      <c r="G73" s="529" t="s">
        <v>478</v>
      </c>
      <c r="H73" s="529">
        <v>4.9000000000000004</v>
      </c>
      <c r="I73" s="717"/>
      <c r="J73" s="530" t="str">
        <f t="shared" si="0"/>
        <v>INCLUDED</v>
      </c>
      <c r="K73" s="853">
        <f t="shared" si="1"/>
        <v>0</v>
      </c>
      <c r="L73" s="854">
        <f t="shared" si="2"/>
        <v>0</v>
      </c>
      <c r="M73" s="721"/>
      <c r="N73" s="721"/>
      <c r="O73" s="721"/>
      <c r="P73" s="721"/>
      <c r="Q73" s="721"/>
      <c r="R73" s="721"/>
      <c r="S73" s="721"/>
      <c r="T73" s="721"/>
      <c r="U73" s="721"/>
      <c r="V73" s="721"/>
      <c r="W73" s="721"/>
      <c r="X73" s="721"/>
      <c r="Y73" s="721"/>
      <c r="Z73" s="721"/>
      <c r="AA73" s="721"/>
      <c r="AB73" s="721"/>
    </row>
    <row r="74" spans="1:28" s="722" customFormat="1" ht="31.5">
      <c r="A74" s="767">
        <v>57</v>
      </c>
      <c r="B74" s="529">
        <v>7000016907</v>
      </c>
      <c r="C74" s="529">
        <v>570</v>
      </c>
      <c r="D74" s="529" t="s">
        <v>526</v>
      </c>
      <c r="E74" s="529">
        <v>1000031957</v>
      </c>
      <c r="F74" s="525" t="s">
        <v>543</v>
      </c>
      <c r="G74" s="529" t="s">
        <v>478</v>
      </c>
      <c r="H74" s="529">
        <v>4.5</v>
      </c>
      <c r="I74" s="717"/>
      <c r="J74" s="530" t="str">
        <f t="shared" ref="J74:J86" si="6">IF(I74=0, "INCLUDED", IF(ISERROR(I74*H74), I74, I74*H74))</f>
        <v>INCLUDED</v>
      </c>
      <c r="K74" s="853">
        <f t="shared" ref="K74:K86" si="7">ROUND(I74,2)</f>
        <v>0</v>
      </c>
      <c r="L74" s="854">
        <f t="shared" ref="L74:L86" si="8">H74*K74</f>
        <v>0</v>
      </c>
      <c r="M74" s="721"/>
      <c r="N74" s="721"/>
      <c r="O74" s="721"/>
      <c r="P74" s="721"/>
      <c r="Q74" s="721"/>
      <c r="R74" s="721"/>
      <c r="S74" s="721"/>
      <c r="T74" s="721"/>
      <c r="U74" s="721"/>
      <c r="V74" s="721"/>
      <c r="W74" s="721"/>
      <c r="X74" s="721"/>
      <c r="Y74" s="721"/>
      <c r="Z74" s="721"/>
      <c r="AA74" s="721"/>
      <c r="AB74" s="721"/>
    </row>
    <row r="75" spans="1:28" s="722" customFormat="1" ht="47.25">
      <c r="A75" s="767">
        <v>58</v>
      </c>
      <c r="B75" s="529">
        <v>7000016907</v>
      </c>
      <c r="C75" s="529">
        <v>580</v>
      </c>
      <c r="D75" s="529" t="s">
        <v>627</v>
      </c>
      <c r="E75" s="529">
        <v>1000006284</v>
      </c>
      <c r="F75" s="525" t="s">
        <v>628</v>
      </c>
      <c r="G75" s="529" t="s">
        <v>300</v>
      </c>
      <c r="H75" s="529">
        <v>2</v>
      </c>
      <c r="I75" s="717"/>
      <c r="J75" s="530" t="str">
        <f t="shared" si="6"/>
        <v>INCLUDED</v>
      </c>
      <c r="K75" s="853">
        <f t="shared" si="7"/>
        <v>0</v>
      </c>
      <c r="L75" s="854">
        <f t="shared" si="8"/>
        <v>0</v>
      </c>
      <c r="M75" s="721"/>
      <c r="N75" s="721"/>
      <c r="O75" s="721"/>
      <c r="P75" s="721"/>
      <c r="Q75" s="721"/>
      <c r="R75" s="721"/>
      <c r="S75" s="721"/>
      <c r="T75" s="721"/>
      <c r="U75" s="721"/>
      <c r="V75" s="721"/>
      <c r="W75" s="721"/>
      <c r="X75" s="721"/>
      <c r="Y75" s="721"/>
      <c r="Z75" s="721"/>
      <c r="AA75" s="721"/>
      <c r="AB75" s="721"/>
    </row>
    <row r="76" spans="1:28" s="722" customFormat="1" ht="47.25">
      <c r="A76" s="767">
        <v>59</v>
      </c>
      <c r="B76" s="529">
        <v>7000016907</v>
      </c>
      <c r="C76" s="529">
        <v>590</v>
      </c>
      <c r="D76" s="529" t="s">
        <v>527</v>
      </c>
      <c r="E76" s="529">
        <v>1000012072</v>
      </c>
      <c r="F76" s="525" t="s">
        <v>705</v>
      </c>
      <c r="G76" s="529" t="s">
        <v>300</v>
      </c>
      <c r="H76" s="529">
        <v>3</v>
      </c>
      <c r="I76" s="717"/>
      <c r="J76" s="530" t="str">
        <f t="shared" si="6"/>
        <v>INCLUDED</v>
      </c>
      <c r="K76" s="853">
        <f t="shared" si="7"/>
        <v>0</v>
      </c>
      <c r="L76" s="854">
        <f t="shared" si="8"/>
        <v>0</v>
      </c>
      <c r="M76" s="721"/>
      <c r="N76" s="721"/>
      <c r="O76" s="721"/>
      <c r="P76" s="721"/>
      <c r="Q76" s="721"/>
      <c r="R76" s="721"/>
      <c r="S76" s="721"/>
      <c r="T76" s="721"/>
      <c r="U76" s="721"/>
      <c r="V76" s="721"/>
      <c r="W76" s="721"/>
      <c r="X76" s="721"/>
      <c r="Y76" s="721"/>
      <c r="Z76" s="721"/>
      <c r="AA76" s="721"/>
      <c r="AB76" s="721"/>
    </row>
    <row r="77" spans="1:28" s="722" customFormat="1" ht="31.5">
      <c r="A77" s="767">
        <v>60</v>
      </c>
      <c r="B77" s="529">
        <v>7000016907</v>
      </c>
      <c r="C77" s="529">
        <v>600</v>
      </c>
      <c r="D77" s="529" t="s">
        <v>527</v>
      </c>
      <c r="E77" s="529">
        <v>1000012018</v>
      </c>
      <c r="F77" s="525" t="s">
        <v>601</v>
      </c>
      <c r="G77" s="529" t="s">
        <v>300</v>
      </c>
      <c r="H77" s="529">
        <v>2</v>
      </c>
      <c r="I77" s="717"/>
      <c r="J77" s="530" t="str">
        <f t="shared" si="6"/>
        <v>INCLUDED</v>
      </c>
      <c r="K77" s="853">
        <f t="shared" si="7"/>
        <v>0</v>
      </c>
      <c r="L77" s="854">
        <f t="shared" si="8"/>
        <v>0</v>
      </c>
      <c r="M77" s="721"/>
      <c r="N77" s="721"/>
      <c r="O77" s="721"/>
      <c r="P77" s="721"/>
      <c r="Q77" s="721"/>
      <c r="R77" s="721"/>
      <c r="S77" s="721"/>
      <c r="T77" s="721"/>
      <c r="U77" s="721"/>
      <c r="V77" s="721"/>
      <c r="W77" s="721"/>
      <c r="X77" s="721"/>
      <c r="Y77" s="721"/>
      <c r="Z77" s="721"/>
      <c r="AA77" s="721"/>
      <c r="AB77" s="721"/>
    </row>
    <row r="78" spans="1:28" s="722" customFormat="1" ht="31.5">
      <c r="A78" s="767">
        <v>61</v>
      </c>
      <c r="B78" s="529">
        <v>7000016907</v>
      </c>
      <c r="C78" s="529">
        <v>610</v>
      </c>
      <c r="D78" s="529" t="s">
        <v>527</v>
      </c>
      <c r="E78" s="529">
        <v>1000012022</v>
      </c>
      <c r="F78" s="525" t="s">
        <v>602</v>
      </c>
      <c r="G78" s="529" t="s">
        <v>299</v>
      </c>
      <c r="H78" s="529">
        <v>2</v>
      </c>
      <c r="I78" s="717"/>
      <c r="J78" s="530" t="str">
        <f t="shared" si="6"/>
        <v>INCLUDED</v>
      </c>
      <c r="K78" s="853">
        <f t="shared" si="7"/>
        <v>0</v>
      </c>
      <c r="L78" s="854">
        <f t="shared" si="8"/>
        <v>0</v>
      </c>
      <c r="M78" s="721"/>
      <c r="N78" s="721"/>
      <c r="O78" s="721"/>
      <c r="P78" s="721"/>
      <c r="Q78" s="721"/>
      <c r="R78" s="721"/>
      <c r="S78" s="721"/>
      <c r="T78" s="721"/>
      <c r="U78" s="721"/>
      <c r="V78" s="721"/>
      <c r="W78" s="721"/>
      <c r="X78" s="721"/>
      <c r="Y78" s="721"/>
      <c r="Z78" s="721"/>
      <c r="AA78" s="721"/>
      <c r="AB78" s="721"/>
    </row>
    <row r="79" spans="1:28" s="722" customFormat="1" ht="31.5">
      <c r="A79" s="767">
        <v>62</v>
      </c>
      <c r="B79" s="529">
        <v>7000016907</v>
      </c>
      <c r="C79" s="529">
        <v>620</v>
      </c>
      <c r="D79" s="529" t="s">
        <v>528</v>
      </c>
      <c r="E79" s="529">
        <v>1000014547</v>
      </c>
      <c r="F79" s="525" t="s">
        <v>603</v>
      </c>
      <c r="G79" s="529" t="s">
        <v>299</v>
      </c>
      <c r="H79" s="529">
        <v>1</v>
      </c>
      <c r="I79" s="717"/>
      <c r="J79" s="530" t="str">
        <f t="shared" si="6"/>
        <v>INCLUDED</v>
      </c>
      <c r="K79" s="853">
        <f t="shared" si="7"/>
        <v>0</v>
      </c>
      <c r="L79" s="854">
        <f t="shared" si="8"/>
        <v>0</v>
      </c>
      <c r="M79" s="721"/>
      <c r="N79" s="721"/>
      <c r="O79" s="721"/>
      <c r="P79" s="721"/>
      <c r="Q79" s="721"/>
      <c r="R79" s="721"/>
      <c r="S79" s="721"/>
      <c r="T79" s="721"/>
      <c r="U79" s="721"/>
      <c r="V79" s="721"/>
      <c r="W79" s="721"/>
      <c r="X79" s="721"/>
      <c r="Y79" s="721"/>
      <c r="Z79" s="721"/>
      <c r="AA79" s="721"/>
      <c r="AB79" s="721"/>
    </row>
    <row r="80" spans="1:28" s="722" customFormat="1" ht="31.5">
      <c r="A80" s="767">
        <v>63</v>
      </c>
      <c r="B80" s="529">
        <v>7000016907</v>
      </c>
      <c r="C80" s="529">
        <v>630</v>
      </c>
      <c r="D80" s="529" t="s">
        <v>528</v>
      </c>
      <c r="E80" s="529">
        <v>1000017485</v>
      </c>
      <c r="F80" s="525" t="s">
        <v>706</v>
      </c>
      <c r="G80" s="529" t="s">
        <v>299</v>
      </c>
      <c r="H80" s="529">
        <v>3</v>
      </c>
      <c r="I80" s="717"/>
      <c r="J80" s="530" t="str">
        <f t="shared" si="6"/>
        <v>INCLUDED</v>
      </c>
      <c r="K80" s="853">
        <f t="shared" si="7"/>
        <v>0</v>
      </c>
      <c r="L80" s="854">
        <f t="shared" si="8"/>
        <v>0</v>
      </c>
      <c r="M80" s="721"/>
      <c r="N80" s="721"/>
      <c r="O80" s="721"/>
      <c r="P80" s="721"/>
      <c r="Q80" s="721"/>
      <c r="R80" s="721"/>
      <c r="S80" s="721"/>
      <c r="T80" s="721"/>
      <c r="U80" s="721"/>
      <c r="V80" s="721"/>
      <c r="W80" s="721"/>
      <c r="X80" s="721"/>
      <c r="Y80" s="721"/>
      <c r="Z80" s="721"/>
      <c r="AA80" s="721"/>
      <c r="AB80" s="721"/>
    </row>
    <row r="81" spans="1:28" s="722" customFormat="1" ht="31.5">
      <c r="A81" s="767">
        <v>64</v>
      </c>
      <c r="B81" s="529">
        <v>7000016907</v>
      </c>
      <c r="C81" s="529">
        <v>640</v>
      </c>
      <c r="D81" s="529" t="s">
        <v>528</v>
      </c>
      <c r="E81" s="529">
        <v>1000004952</v>
      </c>
      <c r="F81" s="525" t="s">
        <v>707</v>
      </c>
      <c r="G81" s="529" t="s">
        <v>299</v>
      </c>
      <c r="H81" s="529">
        <v>1</v>
      </c>
      <c r="I81" s="717"/>
      <c r="J81" s="530" t="str">
        <f t="shared" si="6"/>
        <v>INCLUDED</v>
      </c>
      <c r="K81" s="853">
        <f t="shared" si="7"/>
        <v>0</v>
      </c>
      <c r="L81" s="854">
        <f t="shared" si="8"/>
        <v>0</v>
      </c>
      <c r="M81" s="721"/>
      <c r="N81" s="721"/>
      <c r="O81" s="721"/>
      <c r="P81" s="721"/>
      <c r="Q81" s="721"/>
      <c r="R81" s="721"/>
      <c r="S81" s="721"/>
      <c r="T81" s="721"/>
      <c r="U81" s="721"/>
      <c r="V81" s="721"/>
      <c r="W81" s="721"/>
      <c r="X81" s="721"/>
      <c r="Y81" s="721"/>
      <c r="Z81" s="721"/>
      <c r="AA81" s="721"/>
      <c r="AB81" s="721"/>
    </row>
    <row r="82" spans="1:28" s="722" customFormat="1" ht="31.5">
      <c r="A82" s="767">
        <v>65</v>
      </c>
      <c r="B82" s="529">
        <v>7000016907</v>
      </c>
      <c r="C82" s="529">
        <v>650</v>
      </c>
      <c r="D82" s="529" t="s">
        <v>528</v>
      </c>
      <c r="E82" s="529">
        <v>1000001894</v>
      </c>
      <c r="F82" s="525" t="s">
        <v>708</v>
      </c>
      <c r="G82" s="529" t="s">
        <v>299</v>
      </c>
      <c r="H82" s="529">
        <v>1</v>
      </c>
      <c r="I82" s="717"/>
      <c r="J82" s="530" t="str">
        <f t="shared" si="6"/>
        <v>INCLUDED</v>
      </c>
      <c r="K82" s="853">
        <f t="shared" si="7"/>
        <v>0</v>
      </c>
      <c r="L82" s="854">
        <f t="shared" si="8"/>
        <v>0</v>
      </c>
      <c r="M82" s="721"/>
      <c r="N82" s="721"/>
      <c r="O82" s="721"/>
      <c r="P82" s="721"/>
      <c r="Q82" s="721"/>
      <c r="R82" s="721"/>
      <c r="S82" s="721"/>
      <c r="T82" s="721"/>
      <c r="U82" s="721"/>
      <c r="V82" s="721"/>
      <c r="W82" s="721"/>
      <c r="X82" s="721"/>
      <c r="Y82" s="721"/>
      <c r="Z82" s="721"/>
      <c r="AA82" s="721"/>
      <c r="AB82" s="721"/>
    </row>
    <row r="83" spans="1:28" s="722" customFormat="1" ht="31.5">
      <c r="A83" s="767">
        <v>66</v>
      </c>
      <c r="B83" s="529">
        <v>7000016907</v>
      </c>
      <c r="C83" s="529">
        <v>660</v>
      </c>
      <c r="D83" s="529" t="s">
        <v>528</v>
      </c>
      <c r="E83" s="529">
        <v>1000038387</v>
      </c>
      <c r="F83" s="525" t="s">
        <v>545</v>
      </c>
      <c r="G83" s="529" t="s">
        <v>299</v>
      </c>
      <c r="H83" s="529">
        <v>20</v>
      </c>
      <c r="I83" s="717"/>
      <c r="J83" s="530" t="str">
        <f t="shared" si="6"/>
        <v>INCLUDED</v>
      </c>
      <c r="K83" s="853">
        <f t="shared" si="7"/>
        <v>0</v>
      </c>
      <c r="L83" s="854">
        <f t="shared" si="8"/>
        <v>0</v>
      </c>
      <c r="M83" s="721"/>
      <c r="N83" s="721"/>
      <c r="O83" s="721"/>
      <c r="P83" s="721"/>
      <c r="Q83" s="721"/>
      <c r="R83" s="721"/>
      <c r="S83" s="721"/>
      <c r="T83" s="721"/>
      <c r="U83" s="721"/>
      <c r="V83" s="721"/>
      <c r="W83" s="721"/>
      <c r="X83" s="721"/>
      <c r="Y83" s="721"/>
      <c r="Z83" s="721"/>
      <c r="AA83" s="721"/>
      <c r="AB83" s="721"/>
    </row>
    <row r="84" spans="1:28" s="722" customFormat="1" ht="31.5">
      <c r="A84" s="767">
        <v>67</v>
      </c>
      <c r="B84" s="529">
        <v>7000016907</v>
      </c>
      <c r="C84" s="529">
        <v>670</v>
      </c>
      <c r="D84" s="529" t="s">
        <v>528</v>
      </c>
      <c r="E84" s="529">
        <v>1000038325</v>
      </c>
      <c r="F84" s="525" t="s">
        <v>544</v>
      </c>
      <c r="G84" s="529" t="s">
        <v>299</v>
      </c>
      <c r="H84" s="529">
        <v>15</v>
      </c>
      <c r="I84" s="717"/>
      <c r="J84" s="530" t="str">
        <f t="shared" si="6"/>
        <v>INCLUDED</v>
      </c>
      <c r="K84" s="853">
        <f t="shared" si="7"/>
        <v>0</v>
      </c>
      <c r="L84" s="854">
        <f t="shared" si="8"/>
        <v>0</v>
      </c>
      <c r="M84" s="721"/>
      <c r="N84" s="721"/>
      <c r="O84" s="721"/>
      <c r="P84" s="721"/>
      <c r="Q84" s="721"/>
      <c r="R84" s="721"/>
      <c r="S84" s="721"/>
      <c r="T84" s="721"/>
      <c r="U84" s="721"/>
      <c r="V84" s="721"/>
      <c r="W84" s="721"/>
      <c r="X84" s="721"/>
      <c r="Y84" s="721"/>
      <c r="Z84" s="721"/>
      <c r="AA84" s="721"/>
      <c r="AB84" s="721"/>
    </row>
    <row r="85" spans="1:28" s="722" customFormat="1" ht="31.5">
      <c r="A85" s="767">
        <v>68</v>
      </c>
      <c r="B85" s="529">
        <v>7000016907</v>
      </c>
      <c r="C85" s="529">
        <v>680</v>
      </c>
      <c r="D85" s="529" t="s">
        <v>528</v>
      </c>
      <c r="E85" s="529">
        <v>1000013795</v>
      </c>
      <c r="F85" s="525" t="s">
        <v>604</v>
      </c>
      <c r="G85" s="529" t="s">
        <v>552</v>
      </c>
      <c r="H85" s="529">
        <v>2</v>
      </c>
      <c r="I85" s="717"/>
      <c r="J85" s="530" t="str">
        <f t="shared" si="6"/>
        <v>INCLUDED</v>
      </c>
      <c r="K85" s="853">
        <f t="shared" si="7"/>
        <v>0</v>
      </c>
      <c r="L85" s="854">
        <f t="shared" si="8"/>
        <v>0</v>
      </c>
      <c r="M85" s="721"/>
      <c r="N85" s="721"/>
      <c r="O85" s="721"/>
      <c r="P85" s="721"/>
      <c r="Q85" s="721"/>
      <c r="R85" s="721"/>
      <c r="S85" s="721"/>
      <c r="T85" s="721"/>
      <c r="U85" s="721"/>
      <c r="V85" s="721"/>
      <c r="W85" s="721"/>
      <c r="X85" s="721"/>
      <c r="Y85" s="721"/>
      <c r="Z85" s="721"/>
      <c r="AA85" s="721"/>
      <c r="AB85" s="721"/>
    </row>
    <row r="86" spans="1:28" s="722" customFormat="1" ht="47.25">
      <c r="A86" s="767">
        <v>69</v>
      </c>
      <c r="B86" s="529">
        <v>7000016907</v>
      </c>
      <c r="C86" s="529">
        <v>690</v>
      </c>
      <c r="D86" s="529" t="s">
        <v>669</v>
      </c>
      <c r="E86" s="529">
        <v>1000020120</v>
      </c>
      <c r="F86" s="525" t="s">
        <v>709</v>
      </c>
      <c r="G86" s="529" t="s">
        <v>299</v>
      </c>
      <c r="H86" s="529">
        <v>2</v>
      </c>
      <c r="I86" s="717"/>
      <c r="J86" s="530" t="str">
        <f t="shared" si="6"/>
        <v>INCLUDED</v>
      </c>
      <c r="K86" s="853">
        <f t="shared" si="7"/>
        <v>0</v>
      </c>
      <c r="L86" s="854">
        <f t="shared" si="8"/>
        <v>0</v>
      </c>
      <c r="M86" s="721"/>
      <c r="N86" s="721"/>
      <c r="O86" s="721"/>
      <c r="P86" s="721"/>
      <c r="Q86" s="721"/>
      <c r="R86" s="721"/>
      <c r="S86" s="721"/>
      <c r="T86" s="721"/>
      <c r="U86" s="721"/>
      <c r="V86" s="721"/>
      <c r="W86" s="721"/>
      <c r="X86" s="721"/>
      <c r="Y86" s="721"/>
      <c r="Z86" s="721"/>
      <c r="AA86" s="721"/>
      <c r="AB86" s="721"/>
    </row>
    <row r="87" spans="1:28" s="722" customFormat="1" ht="47.25">
      <c r="A87" s="767">
        <v>70</v>
      </c>
      <c r="B87" s="529">
        <v>7000016907</v>
      </c>
      <c r="C87" s="529">
        <v>700</v>
      </c>
      <c r="D87" s="529" t="s">
        <v>669</v>
      </c>
      <c r="E87" s="529">
        <v>1000020119</v>
      </c>
      <c r="F87" s="525" t="s">
        <v>710</v>
      </c>
      <c r="G87" s="529" t="s">
        <v>299</v>
      </c>
      <c r="H87" s="529">
        <v>6</v>
      </c>
      <c r="I87" s="717"/>
      <c r="J87" s="530" t="str">
        <f t="shared" si="0"/>
        <v>INCLUDED</v>
      </c>
      <c r="K87" s="853">
        <f t="shared" si="1"/>
        <v>0</v>
      </c>
      <c r="L87" s="854">
        <f t="shared" si="2"/>
        <v>0</v>
      </c>
      <c r="M87" s="721"/>
      <c r="N87" s="721"/>
      <c r="O87" s="721"/>
      <c r="P87" s="721"/>
      <c r="Q87" s="721"/>
      <c r="R87" s="721"/>
      <c r="S87" s="721"/>
      <c r="T87" s="721"/>
      <c r="U87" s="721"/>
      <c r="V87" s="721"/>
      <c r="W87" s="721"/>
      <c r="X87" s="721"/>
      <c r="Y87" s="721"/>
      <c r="Z87" s="721"/>
      <c r="AA87" s="721"/>
      <c r="AB87" s="721"/>
    </row>
    <row r="88" spans="1:28" s="722" customFormat="1" ht="47.25">
      <c r="A88" s="767">
        <v>71</v>
      </c>
      <c r="B88" s="529">
        <v>7000016907</v>
      </c>
      <c r="C88" s="529">
        <v>710</v>
      </c>
      <c r="D88" s="529" t="s">
        <v>669</v>
      </c>
      <c r="E88" s="529">
        <v>1000020118</v>
      </c>
      <c r="F88" s="525" t="s">
        <v>711</v>
      </c>
      <c r="G88" s="529" t="s">
        <v>299</v>
      </c>
      <c r="H88" s="529">
        <v>4</v>
      </c>
      <c r="I88" s="717"/>
      <c r="J88" s="530" t="str">
        <f t="shared" si="0"/>
        <v>INCLUDED</v>
      </c>
      <c r="K88" s="853">
        <f t="shared" si="1"/>
        <v>0</v>
      </c>
      <c r="L88" s="854">
        <f t="shared" si="2"/>
        <v>0</v>
      </c>
      <c r="M88" s="721"/>
      <c r="N88" s="721"/>
      <c r="O88" s="721"/>
      <c r="P88" s="721"/>
      <c r="Q88" s="721"/>
      <c r="R88" s="721"/>
      <c r="S88" s="721"/>
      <c r="T88" s="721"/>
      <c r="U88" s="721"/>
      <c r="V88" s="721"/>
      <c r="W88" s="721"/>
      <c r="X88" s="721"/>
      <c r="Y88" s="721"/>
      <c r="Z88" s="721"/>
      <c r="AA88" s="721"/>
      <c r="AB88" s="721"/>
    </row>
    <row r="89" spans="1:28" s="722" customFormat="1" ht="47.25">
      <c r="A89" s="767">
        <v>72</v>
      </c>
      <c r="B89" s="529">
        <v>7000016907</v>
      </c>
      <c r="C89" s="529">
        <v>720</v>
      </c>
      <c r="D89" s="529" t="s">
        <v>669</v>
      </c>
      <c r="E89" s="529">
        <v>1000020149</v>
      </c>
      <c r="F89" s="525" t="s">
        <v>712</v>
      </c>
      <c r="G89" s="529" t="s">
        <v>299</v>
      </c>
      <c r="H89" s="529">
        <v>1</v>
      </c>
      <c r="I89" s="717"/>
      <c r="J89" s="530" t="str">
        <f t="shared" si="0"/>
        <v>INCLUDED</v>
      </c>
      <c r="K89" s="853">
        <f t="shared" si="1"/>
        <v>0</v>
      </c>
      <c r="L89" s="854">
        <f t="shared" si="2"/>
        <v>0</v>
      </c>
      <c r="M89" s="721"/>
      <c r="N89" s="721"/>
      <c r="O89" s="721"/>
      <c r="P89" s="721"/>
      <c r="Q89" s="721"/>
      <c r="R89" s="721"/>
      <c r="S89" s="721"/>
      <c r="T89" s="721"/>
      <c r="U89" s="721"/>
      <c r="V89" s="721"/>
      <c r="W89" s="721"/>
      <c r="X89" s="721"/>
      <c r="Y89" s="721"/>
      <c r="Z89" s="721"/>
      <c r="AA89" s="721"/>
      <c r="AB89" s="721"/>
    </row>
    <row r="90" spans="1:28" s="722" customFormat="1" ht="47.25">
      <c r="A90" s="767">
        <v>73</v>
      </c>
      <c r="B90" s="529">
        <v>7000016907</v>
      </c>
      <c r="C90" s="529">
        <v>730</v>
      </c>
      <c r="D90" s="529" t="s">
        <v>669</v>
      </c>
      <c r="E90" s="529">
        <v>1000020148</v>
      </c>
      <c r="F90" s="525" t="s">
        <v>713</v>
      </c>
      <c r="G90" s="529" t="s">
        <v>299</v>
      </c>
      <c r="H90" s="529">
        <v>2</v>
      </c>
      <c r="I90" s="717"/>
      <c r="J90" s="530" t="str">
        <f t="shared" si="0"/>
        <v>INCLUDED</v>
      </c>
      <c r="K90" s="853">
        <f t="shared" si="1"/>
        <v>0</v>
      </c>
      <c r="L90" s="854">
        <f t="shared" si="2"/>
        <v>0</v>
      </c>
      <c r="M90" s="721"/>
      <c r="N90" s="721"/>
      <c r="O90" s="721"/>
      <c r="P90" s="721"/>
      <c r="Q90" s="721"/>
      <c r="R90" s="721"/>
      <c r="S90" s="721"/>
      <c r="T90" s="721"/>
      <c r="U90" s="721"/>
      <c r="V90" s="721"/>
      <c r="W90" s="721"/>
      <c r="X90" s="721"/>
      <c r="Y90" s="721"/>
      <c r="Z90" s="721"/>
      <c r="AA90" s="721"/>
      <c r="AB90" s="721"/>
    </row>
    <row r="91" spans="1:28" s="722" customFormat="1" ht="47.25">
      <c r="A91" s="767">
        <v>74</v>
      </c>
      <c r="B91" s="529">
        <v>7000016907</v>
      </c>
      <c r="C91" s="529">
        <v>740</v>
      </c>
      <c r="D91" s="529" t="s">
        <v>669</v>
      </c>
      <c r="E91" s="529">
        <v>1000020146</v>
      </c>
      <c r="F91" s="525" t="s">
        <v>714</v>
      </c>
      <c r="G91" s="529" t="s">
        <v>299</v>
      </c>
      <c r="H91" s="529">
        <v>2</v>
      </c>
      <c r="I91" s="717"/>
      <c r="J91" s="530" t="str">
        <f t="shared" si="0"/>
        <v>INCLUDED</v>
      </c>
      <c r="K91" s="853">
        <f t="shared" si="1"/>
        <v>0</v>
      </c>
      <c r="L91" s="854">
        <f t="shared" si="2"/>
        <v>0</v>
      </c>
      <c r="M91" s="721"/>
      <c r="N91" s="721"/>
      <c r="O91" s="721"/>
      <c r="P91" s="721"/>
      <c r="Q91" s="721"/>
      <c r="R91" s="721"/>
      <c r="S91" s="721"/>
      <c r="T91" s="721"/>
      <c r="U91" s="721"/>
      <c r="V91" s="721"/>
      <c r="W91" s="721"/>
      <c r="X91" s="721"/>
      <c r="Y91" s="721"/>
      <c r="Z91" s="721"/>
      <c r="AA91" s="721"/>
      <c r="AB91" s="721"/>
    </row>
    <row r="92" spans="1:28" s="722" customFormat="1" ht="47.25">
      <c r="A92" s="767">
        <v>75</v>
      </c>
      <c r="B92" s="529">
        <v>7000016907</v>
      </c>
      <c r="C92" s="529">
        <v>750</v>
      </c>
      <c r="D92" s="529" t="s">
        <v>669</v>
      </c>
      <c r="E92" s="529">
        <v>1000020132</v>
      </c>
      <c r="F92" s="525" t="s">
        <v>715</v>
      </c>
      <c r="G92" s="529" t="s">
        <v>299</v>
      </c>
      <c r="H92" s="529">
        <v>3</v>
      </c>
      <c r="I92" s="717"/>
      <c r="J92" s="530" t="str">
        <f t="shared" si="0"/>
        <v>INCLUDED</v>
      </c>
      <c r="K92" s="853">
        <f t="shared" si="1"/>
        <v>0</v>
      </c>
      <c r="L92" s="854">
        <f t="shared" si="2"/>
        <v>0</v>
      </c>
      <c r="M92" s="721"/>
      <c r="N92" s="721"/>
      <c r="O92" s="721"/>
      <c r="P92" s="721"/>
      <c r="Q92" s="721"/>
      <c r="R92" s="721"/>
      <c r="S92" s="721"/>
      <c r="T92" s="721"/>
      <c r="U92" s="721"/>
      <c r="V92" s="721"/>
      <c r="W92" s="721"/>
      <c r="X92" s="721"/>
      <c r="Y92" s="721"/>
      <c r="Z92" s="721"/>
      <c r="AA92" s="721"/>
      <c r="AB92" s="721"/>
    </row>
    <row r="93" spans="1:28" s="722" customFormat="1" ht="47.25">
      <c r="A93" s="767">
        <v>76</v>
      </c>
      <c r="B93" s="529">
        <v>7000016907</v>
      </c>
      <c r="C93" s="529">
        <v>760</v>
      </c>
      <c r="D93" s="529" t="s">
        <v>669</v>
      </c>
      <c r="E93" s="529">
        <v>1000020130</v>
      </c>
      <c r="F93" s="715" t="s">
        <v>716</v>
      </c>
      <c r="G93" s="529" t="s">
        <v>299</v>
      </c>
      <c r="H93" s="529">
        <v>2</v>
      </c>
      <c r="I93" s="717"/>
      <c r="J93" s="530" t="str">
        <f t="shared" ref="J93:J164" si="9">IF(I93=0, "INCLUDED", IF(ISERROR(I93*H93), I93, I93*H93))</f>
        <v>INCLUDED</v>
      </c>
      <c r="K93" s="853">
        <f t="shared" ref="K93:K164" si="10">ROUND(I93,2)</f>
        <v>0</v>
      </c>
      <c r="L93" s="854">
        <f t="shared" ref="L93:L164" si="11">H93*K93</f>
        <v>0</v>
      </c>
      <c r="M93" s="721"/>
      <c r="N93" s="721"/>
      <c r="O93" s="721"/>
      <c r="P93" s="721"/>
      <c r="Q93" s="721"/>
      <c r="R93" s="721"/>
      <c r="S93" s="721"/>
      <c r="T93" s="721"/>
      <c r="U93" s="721"/>
      <c r="V93" s="721"/>
      <c r="W93" s="721"/>
      <c r="X93" s="721"/>
      <c r="Y93" s="721"/>
      <c r="Z93" s="721"/>
      <c r="AA93" s="721"/>
      <c r="AB93" s="721"/>
    </row>
    <row r="94" spans="1:28" s="722" customFormat="1" ht="47.25">
      <c r="A94" s="767">
        <v>77</v>
      </c>
      <c r="B94" s="529">
        <v>7000016907</v>
      </c>
      <c r="C94" s="529">
        <v>770</v>
      </c>
      <c r="D94" s="529" t="s">
        <v>669</v>
      </c>
      <c r="E94" s="529">
        <v>1000020125</v>
      </c>
      <c r="F94" s="715" t="s">
        <v>717</v>
      </c>
      <c r="G94" s="529" t="s">
        <v>299</v>
      </c>
      <c r="H94" s="529">
        <v>2</v>
      </c>
      <c r="I94" s="717"/>
      <c r="J94" s="530" t="str">
        <f t="shared" si="9"/>
        <v>INCLUDED</v>
      </c>
      <c r="K94" s="853">
        <f t="shared" si="10"/>
        <v>0</v>
      </c>
      <c r="L94" s="854">
        <f t="shared" si="11"/>
        <v>0</v>
      </c>
      <c r="M94" s="721"/>
      <c r="N94" s="721"/>
      <c r="O94" s="721"/>
      <c r="P94" s="721"/>
      <c r="Q94" s="721"/>
      <c r="R94" s="721"/>
      <c r="S94" s="721"/>
      <c r="T94" s="721"/>
      <c r="U94" s="721"/>
      <c r="V94" s="721"/>
      <c r="W94" s="721"/>
      <c r="X94" s="721"/>
      <c r="Y94" s="721"/>
      <c r="Z94" s="721"/>
      <c r="AA94" s="721"/>
      <c r="AB94" s="721"/>
    </row>
    <row r="95" spans="1:28" s="722" customFormat="1" ht="31.5">
      <c r="A95" s="767">
        <v>78</v>
      </c>
      <c r="B95" s="529">
        <v>7000016907</v>
      </c>
      <c r="C95" s="529">
        <v>780</v>
      </c>
      <c r="D95" s="529" t="s">
        <v>529</v>
      </c>
      <c r="E95" s="529">
        <v>1000017567</v>
      </c>
      <c r="F95" s="715" t="s">
        <v>718</v>
      </c>
      <c r="G95" s="529" t="s">
        <v>299</v>
      </c>
      <c r="H95" s="529">
        <v>60</v>
      </c>
      <c r="I95" s="717"/>
      <c r="J95" s="530" t="str">
        <f t="shared" si="9"/>
        <v>INCLUDED</v>
      </c>
      <c r="K95" s="853">
        <f t="shared" si="10"/>
        <v>0</v>
      </c>
      <c r="L95" s="854">
        <f t="shared" si="11"/>
        <v>0</v>
      </c>
      <c r="M95" s="721"/>
      <c r="N95" s="721"/>
      <c r="O95" s="721"/>
      <c r="P95" s="721"/>
      <c r="Q95" s="721"/>
      <c r="R95" s="721"/>
      <c r="S95" s="721"/>
      <c r="T95" s="721"/>
      <c r="U95" s="721"/>
      <c r="V95" s="721"/>
      <c r="W95" s="721"/>
      <c r="X95" s="721"/>
      <c r="Y95" s="721"/>
      <c r="Z95" s="721"/>
      <c r="AA95" s="721"/>
      <c r="AB95" s="721"/>
    </row>
    <row r="96" spans="1:28" s="722" customFormat="1" ht="47.25">
      <c r="A96" s="767">
        <v>79</v>
      </c>
      <c r="B96" s="529">
        <v>7000016907</v>
      </c>
      <c r="C96" s="529">
        <v>790</v>
      </c>
      <c r="D96" s="529" t="s">
        <v>529</v>
      </c>
      <c r="E96" s="529">
        <v>1000020192</v>
      </c>
      <c r="F96" s="715" t="s">
        <v>719</v>
      </c>
      <c r="G96" s="529" t="s">
        <v>299</v>
      </c>
      <c r="H96" s="529">
        <v>15</v>
      </c>
      <c r="I96" s="717"/>
      <c r="J96" s="530" t="str">
        <f t="shared" si="9"/>
        <v>INCLUDED</v>
      </c>
      <c r="K96" s="853">
        <f t="shared" si="10"/>
        <v>0</v>
      </c>
      <c r="L96" s="854">
        <f t="shared" si="11"/>
        <v>0</v>
      </c>
      <c r="M96" s="721"/>
      <c r="N96" s="721"/>
      <c r="O96" s="721"/>
      <c r="P96" s="721"/>
      <c r="Q96" s="721"/>
      <c r="R96" s="721"/>
      <c r="S96" s="721"/>
      <c r="T96" s="721"/>
      <c r="U96" s="721"/>
      <c r="V96" s="721"/>
      <c r="W96" s="721"/>
      <c r="X96" s="721"/>
      <c r="Y96" s="721"/>
      <c r="Z96" s="721"/>
      <c r="AA96" s="721"/>
      <c r="AB96" s="721"/>
    </row>
    <row r="97" spans="1:28" s="722" customFormat="1" ht="47.25">
      <c r="A97" s="767">
        <v>80</v>
      </c>
      <c r="B97" s="529">
        <v>7000016907</v>
      </c>
      <c r="C97" s="529">
        <v>800</v>
      </c>
      <c r="D97" s="529" t="s">
        <v>529</v>
      </c>
      <c r="E97" s="529">
        <v>1000020193</v>
      </c>
      <c r="F97" s="715" t="s">
        <v>720</v>
      </c>
      <c r="G97" s="529" t="s">
        <v>299</v>
      </c>
      <c r="H97" s="529">
        <v>6</v>
      </c>
      <c r="I97" s="717"/>
      <c r="J97" s="530" t="str">
        <f t="shared" si="9"/>
        <v>INCLUDED</v>
      </c>
      <c r="K97" s="853">
        <f t="shared" si="10"/>
        <v>0</v>
      </c>
      <c r="L97" s="854">
        <f t="shared" si="11"/>
        <v>0</v>
      </c>
      <c r="M97" s="721"/>
      <c r="N97" s="721"/>
      <c r="O97" s="721"/>
      <c r="P97" s="721"/>
      <c r="Q97" s="721"/>
      <c r="R97" s="721"/>
      <c r="S97" s="721"/>
      <c r="T97" s="721"/>
      <c r="U97" s="721"/>
      <c r="V97" s="721"/>
      <c r="W97" s="721"/>
      <c r="X97" s="721"/>
      <c r="Y97" s="721"/>
      <c r="Z97" s="721"/>
      <c r="AA97" s="721"/>
      <c r="AB97" s="721"/>
    </row>
    <row r="98" spans="1:28" s="722" customFormat="1" ht="47.25">
      <c r="A98" s="767">
        <v>81</v>
      </c>
      <c r="B98" s="529">
        <v>7000016907</v>
      </c>
      <c r="C98" s="529">
        <v>810</v>
      </c>
      <c r="D98" s="529" t="s">
        <v>529</v>
      </c>
      <c r="E98" s="529">
        <v>1000020194</v>
      </c>
      <c r="F98" s="715" t="s">
        <v>721</v>
      </c>
      <c r="G98" s="529" t="s">
        <v>299</v>
      </c>
      <c r="H98" s="529">
        <v>13</v>
      </c>
      <c r="I98" s="717"/>
      <c r="J98" s="530" t="str">
        <f t="shared" si="9"/>
        <v>INCLUDED</v>
      </c>
      <c r="K98" s="853">
        <f t="shared" si="10"/>
        <v>0</v>
      </c>
      <c r="L98" s="854">
        <f t="shared" si="11"/>
        <v>0</v>
      </c>
      <c r="M98" s="721"/>
      <c r="N98" s="721"/>
      <c r="O98" s="721"/>
      <c r="P98" s="721"/>
      <c r="Q98" s="721"/>
      <c r="R98" s="721"/>
      <c r="S98" s="721"/>
      <c r="T98" s="721"/>
      <c r="U98" s="721"/>
      <c r="V98" s="721"/>
      <c r="W98" s="721"/>
      <c r="X98" s="721"/>
      <c r="Y98" s="721"/>
      <c r="Z98" s="721"/>
      <c r="AA98" s="721"/>
      <c r="AB98" s="721"/>
    </row>
    <row r="99" spans="1:28" s="722" customFormat="1" ht="47.25">
      <c r="A99" s="767">
        <v>82</v>
      </c>
      <c r="B99" s="529">
        <v>7000016907</v>
      </c>
      <c r="C99" s="529">
        <v>820</v>
      </c>
      <c r="D99" s="529" t="s">
        <v>529</v>
      </c>
      <c r="E99" s="529">
        <v>1000020195</v>
      </c>
      <c r="F99" s="715" t="s">
        <v>722</v>
      </c>
      <c r="G99" s="529" t="s">
        <v>299</v>
      </c>
      <c r="H99" s="529">
        <v>9</v>
      </c>
      <c r="I99" s="717"/>
      <c r="J99" s="530" t="str">
        <f t="shared" si="9"/>
        <v>INCLUDED</v>
      </c>
      <c r="K99" s="853">
        <f t="shared" si="10"/>
        <v>0</v>
      </c>
      <c r="L99" s="854">
        <f t="shared" si="11"/>
        <v>0</v>
      </c>
      <c r="M99" s="721"/>
      <c r="N99" s="721"/>
      <c r="O99" s="721"/>
      <c r="P99" s="721"/>
      <c r="Q99" s="721"/>
      <c r="R99" s="721"/>
      <c r="S99" s="721"/>
      <c r="T99" s="721"/>
      <c r="U99" s="721"/>
      <c r="V99" s="721"/>
      <c r="W99" s="721"/>
      <c r="X99" s="721"/>
      <c r="Y99" s="721"/>
      <c r="Z99" s="721"/>
      <c r="AA99" s="721"/>
      <c r="AB99" s="721"/>
    </row>
    <row r="100" spans="1:28" s="722" customFormat="1" ht="31.5">
      <c r="A100" s="767">
        <v>83</v>
      </c>
      <c r="B100" s="529">
        <v>7000016907</v>
      </c>
      <c r="C100" s="529">
        <v>830</v>
      </c>
      <c r="D100" s="529" t="s">
        <v>529</v>
      </c>
      <c r="E100" s="529">
        <v>1000017568</v>
      </c>
      <c r="F100" s="715" t="s">
        <v>723</v>
      </c>
      <c r="G100" s="529" t="s">
        <v>299</v>
      </c>
      <c r="H100" s="529">
        <v>12</v>
      </c>
      <c r="I100" s="717"/>
      <c r="J100" s="530" t="str">
        <f t="shared" si="9"/>
        <v>INCLUDED</v>
      </c>
      <c r="K100" s="853">
        <f t="shared" si="10"/>
        <v>0</v>
      </c>
      <c r="L100" s="854">
        <f t="shared" si="11"/>
        <v>0</v>
      </c>
      <c r="M100" s="721"/>
      <c r="N100" s="721"/>
      <c r="O100" s="721"/>
      <c r="P100" s="721"/>
      <c r="Q100" s="721"/>
      <c r="R100" s="721"/>
      <c r="S100" s="721"/>
      <c r="T100" s="721"/>
      <c r="U100" s="721"/>
      <c r="V100" s="721"/>
      <c r="W100" s="721"/>
      <c r="X100" s="721"/>
      <c r="Y100" s="721"/>
      <c r="Z100" s="721"/>
      <c r="AA100" s="721"/>
      <c r="AB100" s="721"/>
    </row>
    <row r="101" spans="1:28" s="722" customFormat="1" ht="31.5">
      <c r="A101" s="767">
        <v>84</v>
      </c>
      <c r="B101" s="529">
        <v>7000016907</v>
      </c>
      <c r="C101" s="529">
        <v>840</v>
      </c>
      <c r="D101" s="529" t="s">
        <v>530</v>
      </c>
      <c r="E101" s="529">
        <v>1000053851</v>
      </c>
      <c r="F101" s="715" t="s">
        <v>606</v>
      </c>
      <c r="G101" s="529" t="s">
        <v>607</v>
      </c>
      <c r="H101" s="529">
        <v>1</v>
      </c>
      <c r="I101" s="717"/>
      <c r="J101" s="530" t="str">
        <f t="shared" si="9"/>
        <v>INCLUDED</v>
      </c>
      <c r="K101" s="853">
        <f t="shared" si="10"/>
        <v>0</v>
      </c>
      <c r="L101" s="854">
        <f t="shared" si="11"/>
        <v>0</v>
      </c>
      <c r="M101" s="721"/>
      <c r="N101" s="721"/>
      <c r="O101" s="721"/>
      <c r="P101" s="721"/>
      <c r="Q101" s="721"/>
      <c r="R101" s="721"/>
      <c r="S101" s="721"/>
      <c r="T101" s="721"/>
      <c r="U101" s="721"/>
      <c r="V101" s="721"/>
      <c r="W101" s="721"/>
      <c r="X101" s="721"/>
      <c r="Y101" s="721"/>
      <c r="Z101" s="721"/>
      <c r="AA101" s="721"/>
      <c r="AB101" s="721"/>
    </row>
    <row r="102" spans="1:28" s="722" customFormat="1" ht="31.5">
      <c r="A102" s="767">
        <v>85</v>
      </c>
      <c r="B102" s="529">
        <v>7000016907</v>
      </c>
      <c r="C102" s="529">
        <v>850</v>
      </c>
      <c r="D102" s="529" t="s">
        <v>530</v>
      </c>
      <c r="E102" s="529">
        <v>1000032289</v>
      </c>
      <c r="F102" s="715" t="s">
        <v>724</v>
      </c>
      <c r="G102" s="529" t="s">
        <v>300</v>
      </c>
      <c r="H102" s="529">
        <v>1</v>
      </c>
      <c r="I102" s="717"/>
      <c r="J102" s="530" t="str">
        <f t="shared" si="9"/>
        <v>INCLUDED</v>
      </c>
      <c r="K102" s="853">
        <f t="shared" si="10"/>
        <v>0</v>
      </c>
      <c r="L102" s="854">
        <f t="shared" si="11"/>
        <v>0</v>
      </c>
      <c r="M102" s="721"/>
      <c r="N102" s="721"/>
      <c r="O102" s="721"/>
      <c r="P102" s="721"/>
      <c r="Q102" s="721"/>
      <c r="R102" s="721"/>
      <c r="S102" s="721"/>
      <c r="T102" s="721"/>
      <c r="U102" s="721"/>
      <c r="V102" s="721"/>
      <c r="W102" s="721"/>
      <c r="X102" s="721"/>
      <c r="Y102" s="721"/>
      <c r="Z102" s="721"/>
      <c r="AA102" s="721"/>
      <c r="AB102" s="721"/>
    </row>
    <row r="103" spans="1:28" s="722" customFormat="1" ht="31.5">
      <c r="A103" s="767">
        <v>86</v>
      </c>
      <c r="B103" s="529">
        <v>7000016907</v>
      </c>
      <c r="C103" s="529">
        <v>860</v>
      </c>
      <c r="D103" s="529" t="s">
        <v>530</v>
      </c>
      <c r="E103" s="529">
        <v>1000025950</v>
      </c>
      <c r="F103" s="715" t="s">
        <v>725</v>
      </c>
      <c r="G103" s="529" t="s">
        <v>300</v>
      </c>
      <c r="H103" s="529">
        <v>1</v>
      </c>
      <c r="I103" s="717"/>
      <c r="J103" s="530" t="str">
        <f t="shared" si="9"/>
        <v>INCLUDED</v>
      </c>
      <c r="K103" s="853">
        <f t="shared" si="10"/>
        <v>0</v>
      </c>
      <c r="L103" s="854">
        <f t="shared" si="11"/>
        <v>0</v>
      </c>
      <c r="M103" s="721"/>
      <c r="N103" s="721"/>
      <c r="O103" s="721"/>
      <c r="P103" s="721"/>
      <c r="Q103" s="721"/>
      <c r="R103" s="721"/>
      <c r="S103" s="721"/>
      <c r="T103" s="721"/>
      <c r="U103" s="721"/>
      <c r="V103" s="721"/>
      <c r="W103" s="721"/>
      <c r="X103" s="721"/>
      <c r="Y103" s="721"/>
      <c r="Z103" s="721"/>
      <c r="AA103" s="721"/>
      <c r="AB103" s="721"/>
    </row>
    <row r="104" spans="1:28" s="722" customFormat="1" ht="31.5">
      <c r="A104" s="767">
        <v>87</v>
      </c>
      <c r="B104" s="529">
        <v>7000016907</v>
      </c>
      <c r="C104" s="529">
        <v>870</v>
      </c>
      <c r="D104" s="529" t="s">
        <v>530</v>
      </c>
      <c r="E104" s="529">
        <v>1000019927</v>
      </c>
      <c r="F104" s="715" t="s">
        <v>546</v>
      </c>
      <c r="G104" s="529" t="s">
        <v>552</v>
      </c>
      <c r="H104" s="529">
        <v>1</v>
      </c>
      <c r="I104" s="717"/>
      <c r="J104" s="530" t="str">
        <f t="shared" si="9"/>
        <v>INCLUDED</v>
      </c>
      <c r="K104" s="853">
        <f t="shared" si="10"/>
        <v>0</v>
      </c>
      <c r="L104" s="854">
        <f t="shared" si="11"/>
        <v>0</v>
      </c>
      <c r="M104" s="721"/>
      <c r="N104" s="721"/>
      <c r="O104" s="721"/>
      <c r="P104" s="721"/>
      <c r="Q104" s="721"/>
      <c r="R104" s="721"/>
      <c r="S104" s="721"/>
      <c r="T104" s="721"/>
      <c r="U104" s="721"/>
      <c r="V104" s="721"/>
      <c r="W104" s="721"/>
      <c r="X104" s="721"/>
      <c r="Y104" s="721"/>
      <c r="Z104" s="721"/>
      <c r="AA104" s="721"/>
      <c r="AB104" s="721"/>
    </row>
    <row r="105" spans="1:28" s="722" customFormat="1" ht="31.5">
      <c r="A105" s="767">
        <v>88</v>
      </c>
      <c r="B105" s="529">
        <v>7000016907</v>
      </c>
      <c r="C105" s="529">
        <v>880</v>
      </c>
      <c r="D105" s="529" t="s">
        <v>530</v>
      </c>
      <c r="E105" s="529">
        <v>1000019912</v>
      </c>
      <c r="F105" s="715" t="s">
        <v>547</v>
      </c>
      <c r="G105" s="529" t="s">
        <v>552</v>
      </c>
      <c r="H105" s="529">
        <v>1</v>
      </c>
      <c r="I105" s="717"/>
      <c r="J105" s="530" t="str">
        <f t="shared" si="9"/>
        <v>INCLUDED</v>
      </c>
      <c r="K105" s="853">
        <f t="shared" si="10"/>
        <v>0</v>
      </c>
      <c r="L105" s="854">
        <f t="shared" si="11"/>
        <v>0</v>
      </c>
      <c r="M105" s="721"/>
      <c r="N105" s="721"/>
      <c r="O105" s="721"/>
      <c r="P105" s="721"/>
      <c r="Q105" s="721"/>
      <c r="R105" s="721"/>
      <c r="S105" s="721"/>
      <c r="T105" s="721"/>
      <c r="U105" s="721"/>
      <c r="V105" s="721"/>
      <c r="W105" s="721"/>
      <c r="X105" s="721"/>
      <c r="Y105" s="721"/>
      <c r="Z105" s="721"/>
      <c r="AA105" s="721"/>
      <c r="AB105" s="721"/>
    </row>
    <row r="106" spans="1:28" s="722" customFormat="1" ht="31.5">
      <c r="A106" s="767">
        <v>89</v>
      </c>
      <c r="B106" s="529">
        <v>7000016907</v>
      </c>
      <c r="C106" s="529">
        <v>890</v>
      </c>
      <c r="D106" s="529" t="s">
        <v>530</v>
      </c>
      <c r="E106" s="529">
        <v>1000025941</v>
      </c>
      <c r="F106" s="715" t="s">
        <v>548</v>
      </c>
      <c r="G106" s="529" t="s">
        <v>300</v>
      </c>
      <c r="H106" s="529">
        <v>1</v>
      </c>
      <c r="I106" s="717"/>
      <c r="J106" s="530" t="str">
        <f t="shared" si="9"/>
        <v>INCLUDED</v>
      </c>
      <c r="K106" s="853">
        <f t="shared" si="10"/>
        <v>0</v>
      </c>
      <c r="L106" s="854">
        <f t="shared" si="11"/>
        <v>0</v>
      </c>
      <c r="M106" s="721"/>
      <c r="N106" s="721"/>
      <c r="O106" s="721"/>
      <c r="P106" s="721"/>
      <c r="Q106" s="721"/>
      <c r="R106" s="721"/>
      <c r="S106" s="721"/>
      <c r="T106" s="721"/>
      <c r="U106" s="721"/>
      <c r="V106" s="721"/>
      <c r="W106" s="721"/>
      <c r="X106" s="721"/>
      <c r="Y106" s="721"/>
      <c r="Z106" s="721"/>
      <c r="AA106" s="721"/>
      <c r="AB106" s="721"/>
    </row>
    <row r="107" spans="1:28" s="722" customFormat="1" ht="31.5">
      <c r="A107" s="767">
        <v>90</v>
      </c>
      <c r="B107" s="529">
        <v>7000016907</v>
      </c>
      <c r="C107" s="529">
        <v>900</v>
      </c>
      <c r="D107" s="529" t="s">
        <v>530</v>
      </c>
      <c r="E107" s="529">
        <v>1000025940</v>
      </c>
      <c r="F107" s="715" t="s">
        <v>605</v>
      </c>
      <c r="G107" s="529" t="s">
        <v>300</v>
      </c>
      <c r="H107" s="529">
        <v>1</v>
      </c>
      <c r="I107" s="717"/>
      <c r="J107" s="530" t="str">
        <f t="shared" ref="J107:J119" si="12">IF(I107=0, "INCLUDED", IF(ISERROR(I107*H107), I107, I107*H107))</f>
        <v>INCLUDED</v>
      </c>
      <c r="K107" s="853">
        <f t="shared" ref="K107:K119" si="13">ROUND(I107,2)</f>
        <v>0</v>
      </c>
      <c r="L107" s="854">
        <f t="shared" ref="L107:L119" si="14">H107*K107</f>
        <v>0</v>
      </c>
      <c r="M107" s="721"/>
      <c r="N107" s="721"/>
      <c r="O107" s="721"/>
      <c r="P107" s="721"/>
      <c r="Q107" s="721"/>
      <c r="R107" s="721"/>
      <c r="S107" s="721"/>
      <c r="T107" s="721"/>
      <c r="U107" s="721"/>
      <c r="V107" s="721"/>
      <c r="W107" s="721"/>
      <c r="X107" s="721"/>
      <c r="Y107" s="721"/>
      <c r="Z107" s="721"/>
      <c r="AA107" s="721"/>
      <c r="AB107" s="721"/>
    </row>
    <row r="108" spans="1:28" s="722" customFormat="1" ht="31.5">
      <c r="A108" s="767">
        <v>91</v>
      </c>
      <c r="B108" s="529">
        <v>7000016907</v>
      </c>
      <c r="C108" s="529">
        <v>910</v>
      </c>
      <c r="D108" s="529" t="s">
        <v>530</v>
      </c>
      <c r="E108" s="529">
        <v>1000025943</v>
      </c>
      <c r="F108" s="715" t="s">
        <v>623</v>
      </c>
      <c r="G108" s="529" t="s">
        <v>300</v>
      </c>
      <c r="H108" s="529">
        <v>1</v>
      </c>
      <c r="I108" s="717"/>
      <c r="J108" s="530" t="str">
        <f t="shared" si="12"/>
        <v>INCLUDED</v>
      </c>
      <c r="K108" s="853">
        <f t="shared" si="13"/>
        <v>0</v>
      </c>
      <c r="L108" s="854">
        <f t="shared" si="14"/>
        <v>0</v>
      </c>
      <c r="M108" s="721"/>
      <c r="N108" s="721"/>
      <c r="O108" s="721"/>
      <c r="P108" s="721"/>
      <c r="Q108" s="721"/>
      <c r="R108" s="721"/>
      <c r="S108" s="721"/>
      <c r="T108" s="721"/>
      <c r="U108" s="721"/>
      <c r="V108" s="721"/>
      <c r="W108" s="721"/>
      <c r="X108" s="721"/>
      <c r="Y108" s="721"/>
      <c r="Z108" s="721"/>
      <c r="AA108" s="721"/>
      <c r="AB108" s="721"/>
    </row>
    <row r="109" spans="1:28" s="722" customFormat="1" ht="31.5">
      <c r="A109" s="767">
        <v>92</v>
      </c>
      <c r="B109" s="529">
        <v>7000016907</v>
      </c>
      <c r="C109" s="529">
        <v>920</v>
      </c>
      <c r="D109" s="529" t="s">
        <v>530</v>
      </c>
      <c r="E109" s="529">
        <v>1000024186</v>
      </c>
      <c r="F109" s="715" t="s">
        <v>549</v>
      </c>
      <c r="G109" s="529" t="s">
        <v>552</v>
      </c>
      <c r="H109" s="529">
        <v>1</v>
      </c>
      <c r="I109" s="717"/>
      <c r="J109" s="530" t="str">
        <f t="shared" si="12"/>
        <v>INCLUDED</v>
      </c>
      <c r="K109" s="853">
        <f t="shared" si="13"/>
        <v>0</v>
      </c>
      <c r="L109" s="854">
        <f t="shared" si="14"/>
        <v>0</v>
      </c>
      <c r="M109" s="721"/>
      <c r="N109" s="721"/>
      <c r="O109" s="721"/>
      <c r="P109" s="721"/>
      <c r="Q109" s="721"/>
      <c r="R109" s="721"/>
      <c r="S109" s="721"/>
      <c r="T109" s="721"/>
      <c r="U109" s="721"/>
      <c r="V109" s="721"/>
      <c r="W109" s="721"/>
      <c r="X109" s="721"/>
      <c r="Y109" s="721"/>
      <c r="Z109" s="721"/>
      <c r="AA109" s="721"/>
      <c r="AB109" s="721"/>
    </row>
    <row r="110" spans="1:28" s="722" customFormat="1" ht="31.5">
      <c r="A110" s="767">
        <v>93</v>
      </c>
      <c r="B110" s="529">
        <v>7000016907</v>
      </c>
      <c r="C110" s="529">
        <v>930</v>
      </c>
      <c r="D110" s="529" t="s">
        <v>530</v>
      </c>
      <c r="E110" s="529">
        <v>1000019919</v>
      </c>
      <c r="F110" s="715" t="s">
        <v>550</v>
      </c>
      <c r="G110" s="529" t="s">
        <v>552</v>
      </c>
      <c r="H110" s="529">
        <v>1</v>
      </c>
      <c r="I110" s="717"/>
      <c r="J110" s="530" t="str">
        <f t="shared" si="12"/>
        <v>INCLUDED</v>
      </c>
      <c r="K110" s="853">
        <f t="shared" si="13"/>
        <v>0</v>
      </c>
      <c r="L110" s="854">
        <f t="shared" si="14"/>
        <v>0</v>
      </c>
      <c r="M110" s="721"/>
      <c r="N110" s="721"/>
      <c r="O110" s="721"/>
      <c r="P110" s="721"/>
      <c r="Q110" s="721"/>
      <c r="R110" s="721"/>
      <c r="S110" s="721"/>
      <c r="T110" s="721"/>
      <c r="U110" s="721"/>
      <c r="V110" s="721"/>
      <c r="W110" s="721"/>
      <c r="X110" s="721"/>
      <c r="Y110" s="721"/>
      <c r="Z110" s="721"/>
      <c r="AA110" s="721"/>
      <c r="AB110" s="721"/>
    </row>
    <row r="111" spans="1:28" s="722" customFormat="1" ht="31.5">
      <c r="A111" s="767">
        <v>94</v>
      </c>
      <c r="B111" s="529">
        <v>7000016907</v>
      </c>
      <c r="C111" s="529">
        <v>940</v>
      </c>
      <c r="D111" s="529" t="s">
        <v>530</v>
      </c>
      <c r="E111" s="529">
        <v>1000019918</v>
      </c>
      <c r="F111" s="715" t="s">
        <v>551</v>
      </c>
      <c r="G111" s="529" t="s">
        <v>552</v>
      </c>
      <c r="H111" s="529">
        <v>1</v>
      </c>
      <c r="I111" s="717"/>
      <c r="J111" s="530" t="str">
        <f t="shared" si="12"/>
        <v>INCLUDED</v>
      </c>
      <c r="K111" s="853">
        <f t="shared" si="13"/>
        <v>0</v>
      </c>
      <c r="L111" s="854">
        <f t="shared" si="14"/>
        <v>0</v>
      </c>
      <c r="M111" s="721"/>
      <c r="N111" s="721"/>
      <c r="O111" s="721"/>
      <c r="P111" s="721"/>
      <c r="Q111" s="721"/>
      <c r="R111" s="721"/>
      <c r="S111" s="721"/>
      <c r="T111" s="721"/>
      <c r="U111" s="721"/>
      <c r="V111" s="721"/>
      <c r="W111" s="721"/>
      <c r="X111" s="721"/>
      <c r="Y111" s="721"/>
      <c r="Z111" s="721"/>
      <c r="AA111" s="721"/>
      <c r="AB111" s="721"/>
    </row>
    <row r="112" spans="1:28" s="722" customFormat="1" ht="31.5">
      <c r="A112" s="767">
        <v>95</v>
      </c>
      <c r="B112" s="529">
        <v>7000016907</v>
      </c>
      <c r="C112" s="529">
        <v>950</v>
      </c>
      <c r="D112" s="529" t="s">
        <v>530</v>
      </c>
      <c r="E112" s="529">
        <v>1000028372</v>
      </c>
      <c r="F112" s="715" t="s">
        <v>726</v>
      </c>
      <c r="G112" s="529" t="s">
        <v>552</v>
      </c>
      <c r="H112" s="529">
        <v>1</v>
      </c>
      <c r="I112" s="717"/>
      <c r="J112" s="530" t="str">
        <f t="shared" si="12"/>
        <v>INCLUDED</v>
      </c>
      <c r="K112" s="853">
        <f t="shared" si="13"/>
        <v>0</v>
      </c>
      <c r="L112" s="854">
        <f t="shared" si="14"/>
        <v>0</v>
      </c>
      <c r="M112" s="721"/>
      <c r="N112" s="721"/>
      <c r="O112" s="721"/>
      <c r="P112" s="721"/>
      <c r="Q112" s="721"/>
      <c r="R112" s="721"/>
      <c r="S112" s="721"/>
      <c r="T112" s="721"/>
      <c r="U112" s="721"/>
      <c r="V112" s="721"/>
      <c r="W112" s="721"/>
      <c r="X112" s="721"/>
      <c r="Y112" s="721"/>
      <c r="Z112" s="721"/>
      <c r="AA112" s="721"/>
      <c r="AB112" s="721"/>
    </row>
    <row r="113" spans="1:28" s="722" customFormat="1" ht="31.5">
      <c r="A113" s="767">
        <v>96</v>
      </c>
      <c r="B113" s="529">
        <v>7000016907</v>
      </c>
      <c r="C113" s="529">
        <v>960</v>
      </c>
      <c r="D113" s="529" t="s">
        <v>530</v>
      </c>
      <c r="E113" s="529">
        <v>1000054977</v>
      </c>
      <c r="F113" s="715" t="s">
        <v>727</v>
      </c>
      <c r="G113" s="529" t="s">
        <v>607</v>
      </c>
      <c r="H113" s="529">
        <v>1</v>
      </c>
      <c r="I113" s="717"/>
      <c r="J113" s="530" t="str">
        <f t="shared" si="12"/>
        <v>INCLUDED</v>
      </c>
      <c r="K113" s="853">
        <f t="shared" si="13"/>
        <v>0</v>
      </c>
      <c r="L113" s="854">
        <f t="shared" si="14"/>
        <v>0</v>
      </c>
      <c r="M113" s="721"/>
      <c r="N113" s="721"/>
      <c r="O113" s="721"/>
      <c r="P113" s="721"/>
      <c r="Q113" s="721"/>
      <c r="R113" s="721"/>
      <c r="S113" s="721"/>
      <c r="T113" s="721"/>
      <c r="U113" s="721"/>
      <c r="V113" s="721"/>
      <c r="W113" s="721"/>
      <c r="X113" s="721"/>
      <c r="Y113" s="721"/>
      <c r="Z113" s="721"/>
      <c r="AA113" s="721"/>
      <c r="AB113" s="721"/>
    </row>
    <row r="114" spans="1:28" s="722" customFormat="1" ht="31.5">
      <c r="A114" s="767">
        <v>97</v>
      </c>
      <c r="B114" s="529">
        <v>7000016907</v>
      </c>
      <c r="C114" s="529">
        <v>970</v>
      </c>
      <c r="D114" s="529" t="s">
        <v>530</v>
      </c>
      <c r="E114" s="529">
        <v>1000054976</v>
      </c>
      <c r="F114" s="715" t="s">
        <v>728</v>
      </c>
      <c r="G114" s="529" t="s">
        <v>607</v>
      </c>
      <c r="H114" s="529">
        <v>1</v>
      </c>
      <c r="I114" s="717"/>
      <c r="J114" s="530" t="str">
        <f t="shared" si="12"/>
        <v>INCLUDED</v>
      </c>
      <c r="K114" s="853">
        <f t="shared" si="13"/>
        <v>0</v>
      </c>
      <c r="L114" s="854">
        <f t="shared" si="14"/>
        <v>0</v>
      </c>
      <c r="M114" s="721"/>
      <c r="N114" s="721"/>
      <c r="O114" s="721"/>
      <c r="P114" s="721"/>
      <c r="Q114" s="721"/>
      <c r="R114" s="721"/>
      <c r="S114" s="721"/>
      <c r="T114" s="721"/>
      <c r="U114" s="721"/>
      <c r="V114" s="721"/>
      <c r="W114" s="721"/>
      <c r="X114" s="721"/>
      <c r="Y114" s="721"/>
      <c r="Z114" s="721"/>
      <c r="AA114" s="721"/>
      <c r="AB114" s="721"/>
    </row>
    <row r="115" spans="1:28" s="722" customFormat="1" ht="31.5">
      <c r="A115" s="767">
        <v>98</v>
      </c>
      <c r="B115" s="529">
        <v>7000016907</v>
      </c>
      <c r="C115" s="529">
        <v>980</v>
      </c>
      <c r="D115" s="529" t="s">
        <v>530</v>
      </c>
      <c r="E115" s="529">
        <v>1000028091</v>
      </c>
      <c r="F115" s="715" t="s">
        <v>729</v>
      </c>
      <c r="G115" s="529" t="s">
        <v>607</v>
      </c>
      <c r="H115" s="529">
        <v>1</v>
      </c>
      <c r="I115" s="717"/>
      <c r="J115" s="530" t="str">
        <f t="shared" si="12"/>
        <v>INCLUDED</v>
      </c>
      <c r="K115" s="853">
        <f t="shared" si="13"/>
        <v>0</v>
      </c>
      <c r="L115" s="854">
        <f t="shared" si="14"/>
        <v>0</v>
      </c>
      <c r="M115" s="721"/>
      <c r="N115" s="721"/>
      <c r="O115" s="721"/>
      <c r="P115" s="721"/>
      <c r="Q115" s="721"/>
      <c r="R115" s="721"/>
      <c r="S115" s="721"/>
      <c r="T115" s="721"/>
      <c r="U115" s="721"/>
      <c r="V115" s="721"/>
      <c r="W115" s="721"/>
      <c r="X115" s="721"/>
      <c r="Y115" s="721"/>
      <c r="Z115" s="721"/>
      <c r="AA115" s="721"/>
      <c r="AB115" s="721"/>
    </row>
    <row r="116" spans="1:28" s="722" customFormat="1" ht="31.5">
      <c r="A116" s="767">
        <v>99</v>
      </c>
      <c r="B116" s="529">
        <v>7000016907</v>
      </c>
      <c r="C116" s="529">
        <v>990</v>
      </c>
      <c r="D116" s="529" t="s">
        <v>530</v>
      </c>
      <c r="E116" s="529">
        <v>1000027625</v>
      </c>
      <c r="F116" s="715" t="s">
        <v>730</v>
      </c>
      <c r="G116" s="529" t="s">
        <v>607</v>
      </c>
      <c r="H116" s="529">
        <v>1</v>
      </c>
      <c r="I116" s="717"/>
      <c r="J116" s="530" t="str">
        <f t="shared" si="12"/>
        <v>INCLUDED</v>
      </c>
      <c r="K116" s="853">
        <f t="shared" si="13"/>
        <v>0</v>
      </c>
      <c r="L116" s="854">
        <f t="shared" si="14"/>
        <v>0</v>
      </c>
      <c r="M116" s="721"/>
      <c r="N116" s="721"/>
      <c r="O116" s="721"/>
      <c r="P116" s="721"/>
      <c r="Q116" s="721"/>
      <c r="R116" s="721"/>
      <c r="S116" s="721"/>
      <c r="T116" s="721"/>
      <c r="U116" s="721"/>
      <c r="V116" s="721"/>
      <c r="W116" s="721"/>
      <c r="X116" s="721"/>
      <c r="Y116" s="721"/>
      <c r="Z116" s="721"/>
      <c r="AA116" s="721"/>
      <c r="AB116" s="721"/>
    </row>
    <row r="117" spans="1:28" s="722" customFormat="1" ht="31.5">
      <c r="A117" s="767">
        <v>100</v>
      </c>
      <c r="B117" s="529">
        <v>7000016907</v>
      </c>
      <c r="C117" s="529">
        <v>1210</v>
      </c>
      <c r="D117" s="529" t="s">
        <v>670</v>
      </c>
      <c r="E117" s="529">
        <v>1000012366</v>
      </c>
      <c r="F117" s="715" t="s">
        <v>731</v>
      </c>
      <c r="G117" s="529" t="s">
        <v>299</v>
      </c>
      <c r="H117" s="529">
        <v>1052</v>
      </c>
      <c r="I117" s="717"/>
      <c r="J117" s="530" t="str">
        <f t="shared" si="12"/>
        <v>INCLUDED</v>
      </c>
      <c r="K117" s="853">
        <f t="shared" si="13"/>
        <v>0</v>
      </c>
      <c r="L117" s="854">
        <f t="shared" si="14"/>
        <v>0</v>
      </c>
      <c r="M117" s="721"/>
      <c r="N117" s="721"/>
      <c r="O117" s="721"/>
      <c r="P117" s="721"/>
      <c r="Q117" s="721"/>
      <c r="R117" s="721"/>
      <c r="S117" s="721"/>
      <c r="T117" s="721"/>
      <c r="U117" s="721"/>
      <c r="V117" s="721"/>
      <c r="W117" s="721"/>
      <c r="X117" s="721"/>
      <c r="Y117" s="721"/>
      <c r="Z117" s="721"/>
      <c r="AA117" s="721"/>
      <c r="AB117" s="721"/>
    </row>
    <row r="118" spans="1:28" s="722" customFormat="1" ht="31.5">
      <c r="A118" s="767">
        <v>101</v>
      </c>
      <c r="B118" s="529">
        <v>7000016907</v>
      </c>
      <c r="C118" s="529">
        <v>1220</v>
      </c>
      <c r="D118" s="529" t="s">
        <v>670</v>
      </c>
      <c r="E118" s="529">
        <v>1000012367</v>
      </c>
      <c r="F118" s="715" t="s">
        <v>732</v>
      </c>
      <c r="G118" s="529" t="s">
        <v>299</v>
      </c>
      <c r="H118" s="529">
        <v>1056</v>
      </c>
      <c r="I118" s="717"/>
      <c r="J118" s="530" t="str">
        <f t="shared" si="12"/>
        <v>INCLUDED</v>
      </c>
      <c r="K118" s="853">
        <f t="shared" si="13"/>
        <v>0</v>
      </c>
      <c r="L118" s="854">
        <f t="shared" si="14"/>
        <v>0</v>
      </c>
      <c r="M118" s="721"/>
      <c r="N118" s="721"/>
      <c r="O118" s="721"/>
      <c r="P118" s="721"/>
      <c r="Q118" s="721"/>
      <c r="R118" s="721"/>
      <c r="S118" s="721"/>
      <c r="T118" s="721"/>
      <c r="U118" s="721"/>
      <c r="V118" s="721"/>
      <c r="W118" s="721"/>
      <c r="X118" s="721"/>
      <c r="Y118" s="721"/>
      <c r="Z118" s="721"/>
      <c r="AA118" s="721"/>
      <c r="AB118" s="721"/>
    </row>
    <row r="119" spans="1:28" s="722" customFormat="1" ht="31.5">
      <c r="A119" s="767">
        <v>102</v>
      </c>
      <c r="B119" s="529">
        <v>7000016907</v>
      </c>
      <c r="C119" s="529">
        <v>1230</v>
      </c>
      <c r="D119" s="529" t="s">
        <v>670</v>
      </c>
      <c r="E119" s="529">
        <v>1000012369</v>
      </c>
      <c r="F119" s="715" t="s">
        <v>733</v>
      </c>
      <c r="G119" s="529" t="s">
        <v>299</v>
      </c>
      <c r="H119" s="529">
        <v>80</v>
      </c>
      <c r="I119" s="717"/>
      <c r="J119" s="530" t="str">
        <f t="shared" si="12"/>
        <v>INCLUDED</v>
      </c>
      <c r="K119" s="853">
        <f t="shared" si="13"/>
        <v>0</v>
      </c>
      <c r="L119" s="854">
        <f t="shared" si="14"/>
        <v>0</v>
      </c>
      <c r="M119" s="721"/>
      <c r="N119" s="721"/>
      <c r="O119" s="721"/>
      <c r="P119" s="721"/>
      <c r="Q119" s="721"/>
      <c r="R119" s="721"/>
      <c r="S119" s="721"/>
      <c r="T119" s="721"/>
      <c r="U119" s="721"/>
      <c r="V119" s="721"/>
      <c r="W119" s="721"/>
      <c r="X119" s="721"/>
      <c r="Y119" s="721"/>
      <c r="Z119" s="721"/>
      <c r="AA119" s="721"/>
      <c r="AB119" s="721"/>
    </row>
    <row r="120" spans="1:28" s="722" customFormat="1" ht="31.5">
      <c r="A120" s="767">
        <v>103</v>
      </c>
      <c r="B120" s="529">
        <v>7000016907</v>
      </c>
      <c r="C120" s="529">
        <v>1240</v>
      </c>
      <c r="D120" s="529" t="s">
        <v>670</v>
      </c>
      <c r="E120" s="529">
        <v>1000012370</v>
      </c>
      <c r="F120" s="715" t="s">
        <v>734</v>
      </c>
      <c r="G120" s="529" t="s">
        <v>299</v>
      </c>
      <c r="H120" s="529">
        <v>64</v>
      </c>
      <c r="I120" s="717"/>
      <c r="J120" s="530" t="str">
        <f t="shared" si="9"/>
        <v>INCLUDED</v>
      </c>
      <c r="K120" s="853">
        <f t="shared" si="10"/>
        <v>0</v>
      </c>
      <c r="L120" s="854">
        <f t="shared" si="11"/>
        <v>0</v>
      </c>
      <c r="M120" s="721"/>
      <c r="N120" s="721"/>
      <c r="O120" s="721"/>
      <c r="P120" s="721"/>
      <c r="Q120" s="721"/>
      <c r="R120" s="721"/>
      <c r="S120" s="721"/>
      <c r="T120" s="721"/>
      <c r="U120" s="721"/>
      <c r="V120" s="721"/>
      <c r="W120" s="721"/>
      <c r="X120" s="721"/>
      <c r="Y120" s="721"/>
      <c r="Z120" s="721"/>
      <c r="AA120" s="721"/>
      <c r="AB120" s="721"/>
    </row>
    <row r="121" spans="1:28" s="722" customFormat="1" ht="31.5">
      <c r="A121" s="767">
        <v>104</v>
      </c>
      <c r="B121" s="529">
        <v>7000016907</v>
      </c>
      <c r="C121" s="529">
        <v>1250</v>
      </c>
      <c r="D121" s="529" t="s">
        <v>670</v>
      </c>
      <c r="E121" s="529">
        <v>1000012371</v>
      </c>
      <c r="F121" s="715" t="s">
        <v>735</v>
      </c>
      <c r="G121" s="529" t="s">
        <v>299</v>
      </c>
      <c r="H121" s="529">
        <v>32</v>
      </c>
      <c r="I121" s="717"/>
      <c r="J121" s="530" t="str">
        <f t="shared" si="9"/>
        <v>INCLUDED</v>
      </c>
      <c r="K121" s="853">
        <f t="shared" si="10"/>
        <v>0</v>
      </c>
      <c r="L121" s="854">
        <f t="shared" si="11"/>
        <v>0</v>
      </c>
      <c r="M121" s="721"/>
      <c r="N121" s="721"/>
      <c r="O121" s="721"/>
      <c r="P121" s="721"/>
      <c r="Q121" s="721"/>
      <c r="R121" s="721"/>
      <c r="S121" s="721"/>
      <c r="T121" s="721"/>
      <c r="U121" s="721"/>
      <c r="V121" s="721"/>
      <c r="W121" s="721"/>
      <c r="X121" s="721"/>
      <c r="Y121" s="721"/>
      <c r="Z121" s="721"/>
      <c r="AA121" s="721"/>
      <c r="AB121" s="721"/>
    </row>
    <row r="122" spans="1:28" s="722" customFormat="1" ht="47.25">
      <c r="A122" s="767">
        <v>105</v>
      </c>
      <c r="B122" s="529">
        <v>7000016907</v>
      </c>
      <c r="C122" s="529">
        <v>1260</v>
      </c>
      <c r="D122" s="529" t="s">
        <v>671</v>
      </c>
      <c r="E122" s="529">
        <v>1000020181</v>
      </c>
      <c r="F122" s="715" t="s">
        <v>736</v>
      </c>
      <c r="G122" s="529" t="s">
        <v>299</v>
      </c>
      <c r="H122" s="529">
        <v>1</v>
      </c>
      <c r="I122" s="717"/>
      <c r="J122" s="530" t="str">
        <f t="shared" si="9"/>
        <v>INCLUDED</v>
      </c>
      <c r="K122" s="853">
        <f t="shared" si="10"/>
        <v>0</v>
      </c>
      <c r="L122" s="854">
        <f t="shared" si="11"/>
        <v>0</v>
      </c>
      <c r="M122" s="721"/>
      <c r="N122" s="721"/>
      <c r="O122" s="721"/>
      <c r="P122" s="721"/>
      <c r="Q122" s="721"/>
      <c r="R122" s="721"/>
      <c r="S122" s="721"/>
      <c r="T122" s="721"/>
      <c r="U122" s="721"/>
      <c r="V122" s="721"/>
      <c r="W122" s="721"/>
      <c r="X122" s="721"/>
      <c r="Y122" s="721"/>
      <c r="Z122" s="721"/>
      <c r="AA122" s="721"/>
      <c r="AB122" s="721"/>
    </row>
    <row r="123" spans="1:28" s="722" customFormat="1" ht="47.25">
      <c r="A123" s="767">
        <v>106</v>
      </c>
      <c r="B123" s="529">
        <v>7000016907</v>
      </c>
      <c r="C123" s="529">
        <v>1270</v>
      </c>
      <c r="D123" s="529" t="s">
        <v>672</v>
      </c>
      <c r="E123" s="529">
        <v>1000020175</v>
      </c>
      <c r="F123" s="715" t="s">
        <v>737</v>
      </c>
      <c r="G123" s="529" t="s">
        <v>299</v>
      </c>
      <c r="H123" s="529">
        <v>3</v>
      </c>
      <c r="I123" s="717"/>
      <c r="J123" s="530" t="str">
        <f t="shared" si="9"/>
        <v>INCLUDED</v>
      </c>
      <c r="K123" s="853">
        <f t="shared" si="10"/>
        <v>0</v>
      </c>
      <c r="L123" s="854">
        <f t="shared" si="11"/>
        <v>0</v>
      </c>
      <c r="M123" s="721"/>
      <c r="N123" s="721"/>
      <c r="O123" s="721"/>
      <c r="P123" s="721"/>
      <c r="Q123" s="721"/>
      <c r="R123" s="721"/>
      <c r="S123" s="721"/>
      <c r="T123" s="721"/>
      <c r="U123" s="721"/>
      <c r="V123" s="721"/>
      <c r="W123" s="721"/>
      <c r="X123" s="721"/>
      <c r="Y123" s="721"/>
      <c r="Z123" s="721"/>
      <c r="AA123" s="721"/>
      <c r="AB123" s="721"/>
    </row>
    <row r="124" spans="1:28" s="722" customFormat="1" ht="47.25">
      <c r="A124" s="767">
        <v>107</v>
      </c>
      <c r="B124" s="529">
        <v>7000016907</v>
      </c>
      <c r="C124" s="529">
        <v>1280</v>
      </c>
      <c r="D124" s="529" t="s">
        <v>672</v>
      </c>
      <c r="E124" s="529">
        <v>1000020174</v>
      </c>
      <c r="F124" s="715" t="s">
        <v>738</v>
      </c>
      <c r="G124" s="529" t="s">
        <v>299</v>
      </c>
      <c r="H124" s="529">
        <v>3</v>
      </c>
      <c r="I124" s="717"/>
      <c r="J124" s="530" t="str">
        <f t="shared" si="9"/>
        <v>INCLUDED</v>
      </c>
      <c r="K124" s="853">
        <f t="shared" si="10"/>
        <v>0</v>
      </c>
      <c r="L124" s="854">
        <f t="shared" si="11"/>
        <v>0</v>
      </c>
      <c r="M124" s="721"/>
      <c r="N124" s="721"/>
      <c r="O124" s="721"/>
      <c r="P124" s="721"/>
      <c r="Q124" s="721"/>
      <c r="R124" s="721"/>
      <c r="S124" s="721"/>
      <c r="T124" s="721"/>
      <c r="U124" s="721"/>
      <c r="V124" s="721"/>
      <c r="W124" s="721"/>
      <c r="X124" s="721"/>
      <c r="Y124" s="721"/>
      <c r="Z124" s="721"/>
      <c r="AA124" s="721"/>
      <c r="AB124" s="721"/>
    </row>
    <row r="125" spans="1:28" s="722" customFormat="1" ht="47.25">
      <c r="A125" s="767">
        <v>108</v>
      </c>
      <c r="B125" s="529">
        <v>7000016907</v>
      </c>
      <c r="C125" s="529">
        <v>1290</v>
      </c>
      <c r="D125" s="529" t="s">
        <v>672</v>
      </c>
      <c r="E125" s="529">
        <v>1000020177</v>
      </c>
      <c r="F125" s="715" t="s">
        <v>739</v>
      </c>
      <c r="G125" s="529" t="s">
        <v>299</v>
      </c>
      <c r="H125" s="529">
        <v>1</v>
      </c>
      <c r="I125" s="717"/>
      <c r="J125" s="530" t="str">
        <f t="shared" si="9"/>
        <v>INCLUDED</v>
      </c>
      <c r="K125" s="853">
        <f t="shared" si="10"/>
        <v>0</v>
      </c>
      <c r="L125" s="854">
        <f t="shared" si="11"/>
        <v>0</v>
      </c>
      <c r="M125" s="721"/>
      <c r="N125" s="721"/>
      <c r="O125" s="721"/>
      <c r="P125" s="721"/>
      <c r="Q125" s="721"/>
      <c r="R125" s="721"/>
      <c r="S125" s="721"/>
      <c r="T125" s="721"/>
      <c r="U125" s="721"/>
      <c r="V125" s="721"/>
      <c r="W125" s="721"/>
      <c r="X125" s="721"/>
      <c r="Y125" s="721"/>
      <c r="Z125" s="721"/>
      <c r="AA125" s="721"/>
      <c r="AB125" s="721"/>
    </row>
    <row r="126" spans="1:28" s="722" customFormat="1" ht="63">
      <c r="A126" s="767">
        <v>109</v>
      </c>
      <c r="B126" s="529">
        <v>7000016907</v>
      </c>
      <c r="C126" s="529">
        <v>1300</v>
      </c>
      <c r="D126" s="529" t="s">
        <v>672</v>
      </c>
      <c r="E126" s="529">
        <v>1000030445</v>
      </c>
      <c r="F126" s="715" t="s">
        <v>740</v>
      </c>
      <c r="G126" s="529" t="s">
        <v>299</v>
      </c>
      <c r="H126" s="529">
        <v>9</v>
      </c>
      <c r="I126" s="717"/>
      <c r="J126" s="530" t="str">
        <f t="shared" si="9"/>
        <v>INCLUDED</v>
      </c>
      <c r="K126" s="853">
        <f t="shared" si="10"/>
        <v>0</v>
      </c>
      <c r="L126" s="854">
        <f t="shared" si="11"/>
        <v>0</v>
      </c>
      <c r="M126" s="721"/>
      <c r="N126" s="721"/>
      <c r="O126" s="721"/>
      <c r="P126" s="721"/>
      <c r="Q126" s="721"/>
      <c r="R126" s="721"/>
      <c r="S126" s="721"/>
      <c r="T126" s="721"/>
      <c r="U126" s="721"/>
      <c r="V126" s="721"/>
      <c r="W126" s="721"/>
      <c r="X126" s="721"/>
      <c r="Y126" s="721"/>
      <c r="Z126" s="721"/>
      <c r="AA126" s="721"/>
      <c r="AB126" s="721"/>
    </row>
    <row r="127" spans="1:28" s="722" customFormat="1" ht="47.25">
      <c r="A127" s="767">
        <v>110</v>
      </c>
      <c r="B127" s="529">
        <v>7000016907</v>
      </c>
      <c r="C127" s="529">
        <v>1310</v>
      </c>
      <c r="D127" s="529" t="s">
        <v>672</v>
      </c>
      <c r="E127" s="529">
        <v>1000020178</v>
      </c>
      <c r="F127" s="715" t="s">
        <v>741</v>
      </c>
      <c r="G127" s="529" t="s">
        <v>299</v>
      </c>
      <c r="H127" s="529">
        <v>3</v>
      </c>
      <c r="I127" s="717"/>
      <c r="J127" s="530" t="str">
        <f t="shared" ref="J127:J152" si="15">IF(I127=0, "INCLUDED", IF(ISERROR(I127*H127), I127, I127*H127))</f>
        <v>INCLUDED</v>
      </c>
      <c r="K127" s="853">
        <f t="shared" ref="K127:K152" si="16">ROUND(I127,2)</f>
        <v>0</v>
      </c>
      <c r="L127" s="854">
        <f t="shared" ref="L127:L152" si="17">H127*K127</f>
        <v>0</v>
      </c>
      <c r="M127" s="721"/>
      <c r="N127" s="721"/>
      <c r="O127" s="721"/>
      <c r="P127" s="721"/>
      <c r="Q127" s="721"/>
      <c r="R127" s="721"/>
      <c r="S127" s="721"/>
      <c r="T127" s="721"/>
      <c r="U127" s="721"/>
      <c r="V127" s="721"/>
      <c r="W127" s="721"/>
      <c r="X127" s="721"/>
      <c r="Y127" s="721"/>
      <c r="Z127" s="721"/>
      <c r="AA127" s="721"/>
      <c r="AB127" s="721"/>
    </row>
    <row r="128" spans="1:28" s="722" customFormat="1" ht="31.5">
      <c r="A128" s="767">
        <v>111</v>
      </c>
      <c r="B128" s="529">
        <v>7000016907</v>
      </c>
      <c r="C128" s="529">
        <v>1340</v>
      </c>
      <c r="D128" s="529" t="s">
        <v>673</v>
      </c>
      <c r="E128" s="529">
        <v>1000010014</v>
      </c>
      <c r="F128" s="715" t="s">
        <v>700</v>
      </c>
      <c r="G128" s="529" t="s">
        <v>300</v>
      </c>
      <c r="H128" s="529">
        <v>2</v>
      </c>
      <c r="I128" s="717"/>
      <c r="J128" s="530" t="str">
        <f t="shared" si="15"/>
        <v>INCLUDED</v>
      </c>
      <c r="K128" s="853">
        <f t="shared" si="16"/>
        <v>0</v>
      </c>
      <c r="L128" s="854">
        <f t="shared" si="17"/>
        <v>0</v>
      </c>
      <c r="M128" s="721"/>
      <c r="N128" s="721"/>
      <c r="O128" s="721"/>
      <c r="P128" s="721"/>
      <c r="Q128" s="721"/>
      <c r="R128" s="721"/>
      <c r="S128" s="721"/>
      <c r="T128" s="721"/>
      <c r="U128" s="721"/>
      <c r="V128" s="721"/>
      <c r="W128" s="721"/>
      <c r="X128" s="721"/>
      <c r="Y128" s="721"/>
      <c r="Z128" s="721"/>
      <c r="AA128" s="721"/>
      <c r="AB128" s="721"/>
    </row>
    <row r="129" spans="1:28" s="722" customFormat="1" ht="31.5">
      <c r="A129" s="767">
        <v>112</v>
      </c>
      <c r="B129" s="529">
        <v>7000016907</v>
      </c>
      <c r="C129" s="529">
        <v>1350</v>
      </c>
      <c r="D129" s="529" t="s">
        <v>673</v>
      </c>
      <c r="E129" s="529">
        <v>1000000046</v>
      </c>
      <c r="F129" s="715" t="s">
        <v>701</v>
      </c>
      <c r="G129" s="529" t="s">
        <v>299</v>
      </c>
      <c r="H129" s="529">
        <v>2</v>
      </c>
      <c r="I129" s="717"/>
      <c r="J129" s="530" t="str">
        <f t="shared" si="15"/>
        <v>INCLUDED</v>
      </c>
      <c r="K129" s="853">
        <f t="shared" si="16"/>
        <v>0</v>
      </c>
      <c r="L129" s="854">
        <f t="shared" si="17"/>
        <v>0</v>
      </c>
      <c r="M129" s="721"/>
      <c r="N129" s="721"/>
      <c r="O129" s="721"/>
      <c r="P129" s="721"/>
      <c r="Q129" s="721"/>
      <c r="R129" s="721"/>
      <c r="S129" s="721"/>
      <c r="T129" s="721"/>
      <c r="U129" s="721"/>
      <c r="V129" s="721"/>
      <c r="W129" s="721"/>
      <c r="X129" s="721"/>
      <c r="Y129" s="721"/>
      <c r="Z129" s="721"/>
      <c r="AA129" s="721"/>
      <c r="AB129" s="721"/>
    </row>
    <row r="130" spans="1:28" s="722" customFormat="1" ht="31.5">
      <c r="A130" s="767">
        <v>113</v>
      </c>
      <c r="B130" s="529">
        <v>7000016907</v>
      </c>
      <c r="C130" s="529">
        <v>1360</v>
      </c>
      <c r="D130" s="529" t="s">
        <v>673</v>
      </c>
      <c r="E130" s="529">
        <v>1000010638</v>
      </c>
      <c r="F130" s="715" t="s">
        <v>703</v>
      </c>
      <c r="G130" s="529" t="s">
        <v>299</v>
      </c>
      <c r="H130" s="529">
        <v>2</v>
      </c>
      <c r="I130" s="717"/>
      <c r="J130" s="530" t="str">
        <f t="shared" si="15"/>
        <v>INCLUDED</v>
      </c>
      <c r="K130" s="853">
        <f t="shared" si="16"/>
        <v>0</v>
      </c>
      <c r="L130" s="854">
        <f t="shared" si="17"/>
        <v>0</v>
      </c>
      <c r="M130" s="721"/>
      <c r="N130" s="721"/>
      <c r="O130" s="721"/>
      <c r="P130" s="721"/>
      <c r="Q130" s="721"/>
      <c r="R130" s="721"/>
      <c r="S130" s="721"/>
      <c r="T130" s="721"/>
      <c r="U130" s="721"/>
      <c r="V130" s="721"/>
      <c r="W130" s="721"/>
      <c r="X130" s="721"/>
      <c r="Y130" s="721"/>
      <c r="Z130" s="721"/>
      <c r="AA130" s="721"/>
      <c r="AB130" s="721"/>
    </row>
    <row r="131" spans="1:28" s="722" customFormat="1" ht="31.5">
      <c r="A131" s="767">
        <v>114</v>
      </c>
      <c r="B131" s="529">
        <v>7000016907</v>
      </c>
      <c r="C131" s="529">
        <v>1370</v>
      </c>
      <c r="D131" s="529" t="s">
        <v>673</v>
      </c>
      <c r="E131" s="529">
        <v>1000036908</v>
      </c>
      <c r="F131" s="715" t="s">
        <v>704</v>
      </c>
      <c r="G131" s="529" t="s">
        <v>478</v>
      </c>
      <c r="H131" s="529">
        <v>1.5</v>
      </c>
      <c r="I131" s="717"/>
      <c r="J131" s="530" t="str">
        <f t="shared" si="15"/>
        <v>INCLUDED</v>
      </c>
      <c r="K131" s="853">
        <f t="shared" si="16"/>
        <v>0</v>
      </c>
      <c r="L131" s="854">
        <f t="shared" si="17"/>
        <v>0</v>
      </c>
      <c r="M131" s="721"/>
      <c r="N131" s="721"/>
      <c r="O131" s="721"/>
      <c r="P131" s="721"/>
      <c r="Q131" s="721"/>
      <c r="R131" s="721"/>
      <c r="S131" s="721"/>
      <c r="T131" s="721"/>
      <c r="U131" s="721"/>
      <c r="V131" s="721"/>
      <c r="W131" s="721"/>
      <c r="X131" s="721"/>
      <c r="Y131" s="721"/>
      <c r="Z131" s="721"/>
      <c r="AA131" s="721"/>
      <c r="AB131" s="721"/>
    </row>
    <row r="132" spans="1:28" s="722" customFormat="1" ht="31.5">
      <c r="A132" s="767">
        <v>115</v>
      </c>
      <c r="B132" s="529">
        <v>7000016907</v>
      </c>
      <c r="C132" s="529">
        <v>1380</v>
      </c>
      <c r="D132" s="529" t="s">
        <v>673</v>
      </c>
      <c r="E132" s="529">
        <v>1000017887</v>
      </c>
      <c r="F132" s="715" t="s">
        <v>702</v>
      </c>
      <c r="G132" s="529" t="s">
        <v>299</v>
      </c>
      <c r="H132" s="529">
        <v>2</v>
      </c>
      <c r="I132" s="717"/>
      <c r="J132" s="530" t="str">
        <f t="shared" si="15"/>
        <v>INCLUDED</v>
      </c>
      <c r="K132" s="853">
        <f t="shared" si="16"/>
        <v>0</v>
      </c>
      <c r="L132" s="854">
        <f t="shared" si="17"/>
        <v>0</v>
      </c>
      <c r="M132" s="721"/>
      <c r="N132" s="721"/>
      <c r="O132" s="721"/>
      <c r="P132" s="721"/>
      <c r="Q132" s="721"/>
      <c r="R132" s="721"/>
      <c r="S132" s="721"/>
      <c r="T132" s="721"/>
      <c r="U132" s="721"/>
      <c r="V132" s="721"/>
      <c r="W132" s="721"/>
      <c r="X132" s="721"/>
      <c r="Y132" s="721"/>
      <c r="Z132" s="721"/>
      <c r="AA132" s="721"/>
      <c r="AB132" s="721"/>
    </row>
    <row r="133" spans="1:28" s="722" customFormat="1" ht="94.5">
      <c r="A133" s="767">
        <v>116</v>
      </c>
      <c r="B133" s="529">
        <v>7000016907</v>
      </c>
      <c r="C133" s="529">
        <v>1950</v>
      </c>
      <c r="D133" s="529" t="s">
        <v>674</v>
      </c>
      <c r="E133" s="529">
        <v>1000031367</v>
      </c>
      <c r="F133" s="715" t="s">
        <v>608</v>
      </c>
      <c r="G133" s="529" t="s">
        <v>299</v>
      </c>
      <c r="H133" s="529">
        <v>1</v>
      </c>
      <c r="I133" s="717"/>
      <c r="J133" s="530" t="str">
        <f t="shared" si="15"/>
        <v>INCLUDED</v>
      </c>
      <c r="K133" s="853">
        <f t="shared" si="16"/>
        <v>0</v>
      </c>
      <c r="L133" s="854">
        <f t="shared" si="17"/>
        <v>0</v>
      </c>
      <c r="M133" s="721"/>
      <c r="N133" s="721"/>
      <c r="O133" s="721"/>
      <c r="P133" s="721"/>
      <c r="Q133" s="721"/>
      <c r="R133" s="721"/>
      <c r="S133" s="721"/>
      <c r="T133" s="721"/>
      <c r="U133" s="721"/>
      <c r="V133" s="721"/>
      <c r="W133" s="721"/>
      <c r="X133" s="721"/>
      <c r="Y133" s="721"/>
      <c r="Z133" s="721"/>
      <c r="AA133" s="721"/>
      <c r="AB133" s="721"/>
    </row>
    <row r="134" spans="1:28" s="722" customFormat="1" ht="47.25">
      <c r="A134" s="767">
        <v>117</v>
      </c>
      <c r="B134" s="529">
        <v>7000016907</v>
      </c>
      <c r="C134" s="529">
        <v>1960</v>
      </c>
      <c r="D134" s="529" t="s">
        <v>674</v>
      </c>
      <c r="E134" s="529">
        <v>1000018706</v>
      </c>
      <c r="F134" s="715" t="s">
        <v>609</v>
      </c>
      <c r="G134" s="529" t="s">
        <v>299</v>
      </c>
      <c r="H134" s="529">
        <v>4</v>
      </c>
      <c r="I134" s="717"/>
      <c r="J134" s="530" t="str">
        <f t="shared" si="15"/>
        <v>INCLUDED</v>
      </c>
      <c r="K134" s="853">
        <f t="shared" si="16"/>
        <v>0</v>
      </c>
      <c r="L134" s="854">
        <f t="shared" si="17"/>
        <v>0</v>
      </c>
      <c r="M134" s="721"/>
      <c r="N134" s="721"/>
      <c r="O134" s="721"/>
      <c r="P134" s="721"/>
      <c r="Q134" s="721"/>
      <c r="R134" s="721"/>
      <c r="S134" s="721"/>
      <c r="T134" s="721"/>
      <c r="U134" s="721"/>
      <c r="V134" s="721"/>
      <c r="W134" s="721"/>
      <c r="X134" s="721"/>
      <c r="Y134" s="721"/>
      <c r="Z134" s="721"/>
      <c r="AA134" s="721"/>
      <c r="AB134" s="721"/>
    </row>
    <row r="135" spans="1:28" s="722" customFormat="1" ht="47.25">
      <c r="A135" s="767">
        <v>118</v>
      </c>
      <c r="B135" s="529">
        <v>7000016907</v>
      </c>
      <c r="C135" s="529">
        <v>1970</v>
      </c>
      <c r="D135" s="529" t="s">
        <v>674</v>
      </c>
      <c r="E135" s="529">
        <v>1000014272</v>
      </c>
      <c r="F135" s="715" t="s">
        <v>624</v>
      </c>
      <c r="G135" s="529" t="s">
        <v>299</v>
      </c>
      <c r="H135" s="529">
        <v>2</v>
      </c>
      <c r="I135" s="717"/>
      <c r="J135" s="530" t="str">
        <f t="shared" si="15"/>
        <v>INCLUDED</v>
      </c>
      <c r="K135" s="853">
        <f t="shared" si="16"/>
        <v>0</v>
      </c>
      <c r="L135" s="854">
        <f t="shared" si="17"/>
        <v>0</v>
      </c>
      <c r="M135" s="721"/>
      <c r="N135" s="721"/>
      <c r="O135" s="721"/>
      <c r="P135" s="721"/>
      <c r="Q135" s="721"/>
      <c r="R135" s="721"/>
      <c r="S135" s="721"/>
      <c r="T135" s="721"/>
      <c r="U135" s="721"/>
      <c r="V135" s="721"/>
      <c r="W135" s="721"/>
      <c r="X135" s="721"/>
      <c r="Y135" s="721"/>
      <c r="Z135" s="721"/>
      <c r="AA135" s="721"/>
      <c r="AB135" s="721"/>
    </row>
    <row r="136" spans="1:28" s="722" customFormat="1" ht="47.25">
      <c r="A136" s="767">
        <v>119</v>
      </c>
      <c r="B136" s="529">
        <v>7000016907</v>
      </c>
      <c r="C136" s="529">
        <v>1980</v>
      </c>
      <c r="D136" s="529" t="s">
        <v>674</v>
      </c>
      <c r="E136" s="529">
        <v>1000031374</v>
      </c>
      <c r="F136" s="715" t="s">
        <v>610</v>
      </c>
      <c r="G136" s="529" t="s">
        <v>300</v>
      </c>
      <c r="H136" s="529">
        <v>2</v>
      </c>
      <c r="I136" s="717"/>
      <c r="J136" s="530" t="str">
        <f t="shared" si="15"/>
        <v>INCLUDED</v>
      </c>
      <c r="K136" s="853">
        <f t="shared" si="16"/>
        <v>0</v>
      </c>
      <c r="L136" s="854">
        <f t="shared" si="17"/>
        <v>0</v>
      </c>
      <c r="M136" s="721"/>
      <c r="N136" s="721"/>
      <c r="O136" s="721"/>
      <c r="P136" s="721"/>
      <c r="Q136" s="721"/>
      <c r="R136" s="721"/>
      <c r="S136" s="721"/>
      <c r="T136" s="721"/>
      <c r="U136" s="721"/>
      <c r="V136" s="721"/>
      <c r="W136" s="721"/>
      <c r="X136" s="721"/>
      <c r="Y136" s="721"/>
      <c r="Z136" s="721"/>
      <c r="AA136" s="721"/>
      <c r="AB136" s="721"/>
    </row>
    <row r="137" spans="1:28" s="722" customFormat="1" ht="47.25">
      <c r="A137" s="767">
        <v>120</v>
      </c>
      <c r="B137" s="529">
        <v>7000016907</v>
      </c>
      <c r="C137" s="529">
        <v>1990</v>
      </c>
      <c r="D137" s="529" t="s">
        <v>674</v>
      </c>
      <c r="E137" s="529">
        <v>1000034950</v>
      </c>
      <c r="F137" s="715" t="s">
        <v>611</v>
      </c>
      <c r="G137" s="529" t="s">
        <v>299</v>
      </c>
      <c r="H137" s="529">
        <v>2</v>
      </c>
      <c r="I137" s="717"/>
      <c r="J137" s="530" t="str">
        <f t="shared" si="15"/>
        <v>INCLUDED</v>
      </c>
      <c r="K137" s="853">
        <f t="shared" si="16"/>
        <v>0</v>
      </c>
      <c r="L137" s="854">
        <f t="shared" si="17"/>
        <v>0</v>
      </c>
      <c r="M137" s="721"/>
      <c r="N137" s="721"/>
      <c r="O137" s="721"/>
      <c r="P137" s="721"/>
      <c r="Q137" s="721"/>
      <c r="R137" s="721"/>
      <c r="S137" s="721"/>
      <c r="T137" s="721"/>
      <c r="U137" s="721"/>
      <c r="V137" s="721"/>
      <c r="W137" s="721"/>
      <c r="X137" s="721"/>
      <c r="Y137" s="721"/>
      <c r="Z137" s="721"/>
      <c r="AA137" s="721"/>
      <c r="AB137" s="721"/>
    </row>
    <row r="138" spans="1:28" s="722" customFormat="1" ht="47.25">
      <c r="A138" s="767">
        <v>121</v>
      </c>
      <c r="B138" s="529">
        <v>7000016907</v>
      </c>
      <c r="C138" s="529">
        <v>2000</v>
      </c>
      <c r="D138" s="529" t="s">
        <v>674</v>
      </c>
      <c r="E138" s="529">
        <v>1000031381</v>
      </c>
      <c r="F138" s="715" t="s">
        <v>612</v>
      </c>
      <c r="G138" s="529" t="s">
        <v>300</v>
      </c>
      <c r="H138" s="529">
        <v>1</v>
      </c>
      <c r="I138" s="717"/>
      <c r="J138" s="530" t="str">
        <f t="shared" si="15"/>
        <v>INCLUDED</v>
      </c>
      <c r="K138" s="853">
        <f t="shared" si="16"/>
        <v>0</v>
      </c>
      <c r="L138" s="854">
        <f t="shared" si="17"/>
        <v>0</v>
      </c>
      <c r="M138" s="721"/>
      <c r="N138" s="721"/>
      <c r="O138" s="721"/>
      <c r="P138" s="721"/>
      <c r="Q138" s="721"/>
      <c r="R138" s="721"/>
      <c r="S138" s="721"/>
      <c r="T138" s="721"/>
      <c r="U138" s="721"/>
      <c r="V138" s="721"/>
      <c r="W138" s="721"/>
      <c r="X138" s="721"/>
      <c r="Y138" s="721"/>
      <c r="Z138" s="721"/>
      <c r="AA138" s="721"/>
      <c r="AB138" s="721"/>
    </row>
    <row r="139" spans="1:28" s="722" customFormat="1" ht="47.25">
      <c r="A139" s="767">
        <v>122</v>
      </c>
      <c r="B139" s="529">
        <v>7000016907</v>
      </c>
      <c r="C139" s="529">
        <v>2010</v>
      </c>
      <c r="D139" s="529" t="s">
        <v>674</v>
      </c>
      <c r="E139" s="529">
        <v>1000026228</v>
      </c>
      <c r="F139" s="715" t="s">
        <v>613</v>
      </c>
      <c r="G139" s="529" t="s">
        <v>299</v>
      </c>
      <c r="H139" s="529">
        <v>1</v>
      </c>
      <c r="I139" s="717"/>
      <c r="J139" s="530" t="str">
        <f t="shared" si="15"/>
        <v>INCLUDED</v>
      </c>
      <c r="K139" s="853">
        <f t="shared" si="16"/>
        <v>0</v>
      </c>
      <c r="L139" s="854">
        <f t="shared" si="17"/>
        <v>0</v>
      </c>
      <c r="M139" s="721"/>
      <c r="N139" s="721"/>
      <c r="O139" s="721"/>
      <c r="P139" s="721"/>
      <c r="Q139" s="721"/>
      <c r="R139" s="721"/>
      <c r="S139" s="721"/>
      <c r="T139" s="721"/>
      <c r="U139" s="721"/>
      <c r="V139" s="721"/>
      <c r="W139" s="721"/>
      <c r="X139" s="721"/>
      <c r="Y139" s="721"/>
      <c r="Z139" s="721"/>
      <c r="AA139" s="721"/>
      <c r="AB139" s="721"/>
    </row>
    <row r="140" spans="1:28" s="722" customFormat="1" ht="47.25">
      <c r="A140" s="767">
        <v>123</v>
      </c>
      <c r="B140" s="529">
        <v>7000016907</v>
      </c>
      <c r="C140" s="529">
        <v>2020</v>
      </c>
      <c r="D140" s="529" t="s">
        <v>674</v>
      </c>
      <c r="E140" s="529">
        <v>1000028495</v>
      </c>
      <c r="F140" s="715" t="s">
        <v>625</v>
      </c>
      <c r="G140" s="529" t="s">
        <v>299</v>
      </c>
      <c r="H140" s="529">
        <v>1</v>
      </c>
      <c r="I140" s="717"/>
      <c r="J140" s="530" t="str">
        <f t="shared" si="15"/>
        <v>INCLUDED</v>
      </c>
      <c r="K140" s="853">
        <f t="shared" si="16"/>
        <v>0</v>
      </c>
      <c r="L140" s="854">
        <f t="shared" si="17"/>
        <v>0</v>
      </c>
      <c r="M140" s="721"/>
      <c r="N140" s="721"/>
      <c r="O140" s="721"/>
      <c r="P140" s="721"/>
      <c r="Q140" s="721"/>
      <c r="R140" s="721"/>
      <c r="S140" s="721"/>
      <c r="T140" s="721"/>
      <c r="U140" s="721"/>
      <c r="V140" s="721"/>
      <c r="W140" s="721"/>
      <c r="X140" s="721"/>
      <c r="Y140" s="721"/>
      <c r="Z140" s="721"/>
      <c r="AA140" s="721"/>
      <c r="AB140" s="721"/>
    </row>
    <row r="141" spans="1:28" s="722" customFormat="1" ht="47.25">
      <c r="A141" s="767">
        <v>124</v>
      </c>
      <c r="B141" s="529">
        <v>7000016907</v>
      </c>
      <c r="C141" s="529">
        <v>2030</v>
      </c>
      <c r="D141" s="529" t="s">
        <v>674</v>
      </c>
      <c r="E141" s="529">
        <v>1000028265</v>
      </c>
      <c r="F141" s="715" t="s">
        <v>626</v>
      </c>
      <c r="G141" s="529" t="s">
        <v>299</v>
      </c>
      <c r="H141" s="529">
        <v>1</v>
      </c>
      <c r="I141" s="717"/>
      <c r="J141" s="530" t="str">
        <f t="shared" si="15"/>
        <v>INCLUDED</v>
      </c>
      <c r="K141" s="853">
        <f t="shared" si="16"/>
        <v>0</v>
      </c>
      <c r="L141" s="854">
        <f t="shared" si="17"/>
        <v>0</v>
      </c>
      <c r="M141" s="721"/>
      <c r="N141" s="721"/>
      <c r="O141" s="721"/>
      <c r="P141" s="721"/>
      <c r="Q141" s="721"/>
      <c r="R141" s="721"/>
      <c r="S141" s="721"/>
      <c r="T141" s="721"/>
      <c r="U141" s="721"/>
      <c r="V141" s="721"/>
      <c r="W141" s="721"/>
      <c r="X141" s="721"/>
      <c r="Y141" s="721"/>
      <c r="Z141" s="721"/>
      <c r="AA141" s="721"/>
      <c r="AB141" s="721"/>
    </row>
    <row r="142" spans="1:28" s="722" customFormat="1" ht="47.25">
      <c r="A142" s="767">
        <v>125</v>
      </c>
      <c r="B142" s="529">
        <v>7000016907</v>
      </c>
      <c r="C142" s="529">
        <v>2040</v>
      </c>
      <c r="D142" s="529" t="s">
        <v>674</v>
      </c>
      <c r="E142" s="529">
        <v>1000034998</v>
      </c>
      <c r="F142" s="715" t="s">
        <v>614</v>
      </c>
      <c r="G142" s="529" t="s">
        <v>299</v>
      </c>
      <c r="H142" s="529">
        <v>2</v>
      </c>
      <c r="I142" s="717"/>
      <c r="J142" s="530" t="str">
        <f t="shared" si="15"/>
        <v>INCLUDED</v>
      </c>
      <c r="K142" s="853">
        <f t="shared" si="16"/>
        <v>0</v>
      </c>
      <c r="L142" s="854">
        <f t="shared" si="17"/>
        <v>0</v>
      </c>
      <c r="M142" s="721"/>
      <c r="N142" s="721"/>
      <c r="O142" s="721"/>
      <c r="P142" s="721"/>
      <c r="Q142" s="721"/>
      <c r="R142" s="721"/>
      <c r="S142" s="721"/>
      <c r="T142" s="721"/>
      <c r="U142" s="721"/>
      <c r="V142" s="721"/>
      <c r="W142" s="721"/>
      <c r="X142" s="721"/>
      <c r="Y142" s="721"/>
      <c r="Z142" s="721"/>
      <c r="AA142" s="721"/>
      <c r="AB142" s="721"/>
    </row>
    <row r="143" spans="1:28" s="722" customFormat="1" ht="63">
      <c r="A143" s="767">
        <v>126</v>
      </c>
      <c r="B143" s="529">
        <v>7000016907</v>
      </c>
      <c r="C143" s="529">
        <v>2060</v>
      </c>
      <c r="D143" s="529" t="s">
        <v>675</v>
      </c>
      <c r="E143" s="529">
        <v>1000031369</v>
      </c>
      <c r="F143" s="715" t="s">
        <v>617</v>
      </c>
      <c r="G143" s="529" t="s">
        <v>300</v>
      </c>
      <c r="H143" s="529">
        <v>1</v>
      </c>
      <c r="I143" s="717"/>
      <c r="J143" s="530" t="str">
        <f t="shared" si="15"/>
        <v>INCLUDED</v>
      </c>
      <c r="K143" s="853">
        <f t="shared" si="16"/>
        <v>0</v>
      </c>
      <c r="L143" s="854">
        <f t="shared" si="17"/>
        <v>0</v>
      </c>
      <c r="M143" s="721"/>
      <c r="N143" s="721"/>
      <c r="O143" s="721"/>
      <c r="P143" s="721"/>
      <c r="Q143" s="721"/>
      <c r="R143" s="721"/>
      <c r="S143" s="721"/>
      <c r="T143" s="721"/>
      <c r="U143" s="721"/>
      <c r="V143" s="721"/>
      <c r="W143" s="721"/>
      <c r="X143" s="721"/>
      <c r="Y143" s="721"/>
      <c r="Z143" s="721"/>
      <c r="AA143" s="721"/>
      <c r="AB143" s="721"/>
    </row>
    <row r="144" spans="1:28" s="722" customFormat="1" ht="47.25">
      <c r="A144" s="767">
        <v>127</v>
      </c>
      <c r="B144" s="529">
        <v>7000016907</v>
      </c>
      <c r="C144" s="529">
        <v>2070</v>
      </c>
      <c r="D144" s="529" t="s">
        <v>675</v>
      </c>
      <c r="E144" s="529">
        <v>1000018706</v>
      </c>
      <c r="F144" s="715" t="s">
        <v>609</v>
      </c>
      <c r="G144" s="529" t="s">
        <v>299</v>
      </c>
      <c r="H144" s="529">
        <v>1</v>
      </c>
      <c r="I144" s="717"/>
      <c r="J144" s="530" t="str">
        <f t="shared" si="15"/>
        <v>INCLUDED</v>
      </c>
      <c r="K144" s="853">
        <f t="shared" si="16"/>
        <v>0</v>
      </c>
      <c r="L144" s="854">
        <f t="shared" si="17"/>
        <v>0</v>
      </c>
      <c r="M144" s="721"/>
      <c r="N144" s="721"/>
      <c r="O144" s="721"/>
      <c r="P144" s="721"/>
      <c r="Q144" s="721"/>
      <c r="R144" s="721"/>
      <c r="S144" s="721"/>
      <c r="T144" s="721"/>
      <c r="U144" s="721"/>
      <c r="V144" s="721"/>
      <c r="W144" s="721"/>
      <c r="X144" s="721"/>
      <c r="Y144" s="721"/>
      <c r="Z144" s="721"/>
      <c r="AA144" s="721"/>
      <c r="AB144" s="721"/>
    </row>
    <row r="145" spans="1:28" s="722" customFormat="1" ht="47.25">
      <c r="A145" s="767">
        <v>128</v>
      </c>
      <c r="B145" s="529">
        <v>7000016907</v>
      </c>
      <c r="C145" s="529">
        <v>2080</v>
      </c>
      <c r="D145" s="529" t="s">
        <v>675</v>
      </c>
      <c r="E145" s="529">
        <v>1000023721</v>
      </c>
      <c r="F145" s="715" t="s">
        <v>742</v>
      </c>
      <c r="G145" s="529" t="s">
        <v>299</v>
      </c>
      <c r="H145" s="529">
        <v>1</v>
      </c>
      <c r="I145" s="717"/>
      <c r="J145" s="530" t="str">
        <f t="shared" si="15"/>
        <v>INCLUDED</v>
      </c>
      <c r="K145" s="853">
        <f t="shared" si="16"/>
        <v>0</v>
      </c>
      <c r="L145" s="854">
        <f t="shared" si="17"/>
        <v>0</v>
      </c>
      <c r="M145" s="721"/>
      <c r="N145" s="721"/>
      <c r="O145" s="721"/>
      <c r="P145" s="721"/>
      <c r="Q145" s="721"/>
      <c r="R145" s="721"/>
      <c r="S145" s="721"/>
      <c r="T145" s="721"/>
      <c r="U145" s="721"/>
      <c r="V145" s="721"/>
      <c r="W145" s="721"/>
      <c r="X145" s="721"/>
      <c r="Y145" s="721"/>
      <c r="Z145" s="721"/>
      <c r="AA145" s="721"/>
      <c r="AB145" s="721"/>
    </row>
    <row r="146" spans="1:28" s="722" customFormat="1" ht="47.25">
      <c r="A146" s="767">
        <v>129</v>
      </c>
      <c r="B146" s="529">
        <v>7000016907</v>
      </c>
      <c r="C146" s="529">
        <v>2090</v>
      </c>
      <c r="D146" s="529" t="s">
        <v>675</v>
      </c>
      <c r="E146" s="529">
        <v>1000014272</v>
      </c>
      <c r="F146" s="715" t="s">
        <v>624</v>
      </c>
      <c r="G146" s="529" t="s">
        <v>299</v>
      </c>
      <c r="H146" s="529">
        <v>1</v>
      </c>
      <c r="I146" s="717"/>
      <c r="J146" s="530" t="str">
        <f t="shared" si="15"/>
        <v>INCLUDED</v>
      </c>
      <c r="K146" s="853">
        <f t="shared" si="16"/>
        <v>0</v>
      </c>
      <c r="L146" s="854">
        <f t="shared" si="17"/>
        <v>0</v>
      </c>
      <c r="M146" s="721"/>
      <c r="N146" s="721"/>
      <c r="O146" s="721"/>
      <c r="P146" s="721"/>
      <c r="Q146" s="721"/>
      <c r="R146" s="721"/>
      <c r="S146" s="721"/>
      <c r="T146" s="721"/>
      <c r="U146" s="721"/>
      <c r="V146" s="721"/>
      <c r="W146" s="721"/>
      <c r="X146" s="721"/>
      <c r="Y146" s="721"/>
      <c r="Z146" s="721"/>
      <c r="AA146" s="721"/>
      <c r="AB146" s="721"/>
    </row>
    <row r="147" spans="1:28" s="722" customFormat="1" ht="47.25">
      <c r="A147" s="767">
        <v>130</v>
      </c>
      <c r="B147" s="529">
        <v>7000016907</v>
      </c>
      <c r="C147" s="529">
        <v>2100</v>
      </c>
      <c r="D147" s="529" t="s">
        <v>675</v>
      </c>
      <c r="E147" s="529">
        <v>1000031374</v>
      </c>
      <c r="F147" s="715" t="s">
        <v>610</v>
      </c>
      <c r="G147" s="529" t="s">
        <v>300</v>
      </c>
      <c r="H147" s="529">
        <v>1</v>
      </c>
      <c r="I147" s="717"/>
      <c r="J147" s="530" t="str">
        <f t="shared" si="15"/>
        <v>INCLUDED</v>
      </c>
      <c r="K147" s="853">
        <f t="shared" si="16"/>
        <v>0</v>
      </c>
      <c r="L147" s="854">
        <f t="shared" si="17"/>
        <v>0</v>
      </c>
      <c r="M147" s="721"/>
      <c r="N147" s="721"/>
      <c r="O147" s="721"/>
      <c r="P147" s="721"/>
      <c r="Q147" s="721"/>
      <c r="R147" s="721"/>
      <c r="S147" s="721"/>
      <c r="T147" s="721"/>
      <c r="U147" s="721"/>
      <c r="V147" s="721"/>
      <c r="W147" s="721"/>
      <c r="X147" s="721"/>
      <c r="Y147" s="721"/>
      <c r="Z147" s="721"/>
      <c r="AA147" s="721"/>
      <c r="AB147" s="721"/>
    </row>
    <row r="148" spans="1:28" s="722" customFormat="1" ht="47.25">
      <c r="A148" s="767">
        <v>131</v>
      </c>
      <c r="B148" s="529">
        <v>7000016907</v>
      </c>
      <c r="C148" s="529">
        <v>2110</v>
      </c>
      <c r="D148" s="529" t="s">
        <v>675</v>
      </c>
      <c r="E148" s="529">
        <v>1000034950</v>
      </c>
      <c r="F148" s="715" t="s">
        <v>611</v>
      </c>
      <c r="G148" s="529" t="s">
        <v>299</v>
      </c>
      <c r="H148" s="529">
        <v>1</v>
      </c>
      <c r="I148" s="717"/>
      <c r="J148" s="530" t="str">
        <f t="shared" si="15"/>
        <v>INCLUDED</v>
      </c>
      <c r="K148" s="853">
        <f t="shared" si="16"/>
        <v>0</v>
      </c>
      <c r="L148" s="854">
        <f t="shared" si="17"/>
        <v>0</v>
      </c>
      <c r="M148" s="721"/>
      <c r="N148" s="721"/>
      <c r="O148" s="721"/>
      <c r="P148" s="721"/>
      <c r="Q148" s="721"/>
      <c r="R148" s="721"/>
      <c r="S148" s="721"/>
      <c r="T148" s="721"/>
      <c r="U148" s="721"/>
      <c r="V148" s="721"/>
      <c r="W148" s="721"/>
      <c r="X148" s="721"/>
      <c r="Y148" s="721"/>
      <c r="Z148" s="721"/>
      <c r="AA148" s="721"/>
      <c r="AB148" s="721"/>
    </row>
    <row r="149" spans="1:28" s="722" customFormat="1" ht="47.25">
      <c r="A149" s="767">
        <v>132</v>
      </c>
      <c r="B149" s="529">
        <v>7000016907</v>
      </c>
      <c r="C149" s="529">
        <v>2120</v>
      </c>
      <c r="D149" s="529" t="s">
        <v>675</v>
      </c>
      <c r="E149" s="529">
        <v>1000031381</v>
      </c>
      <c r="F149" s="715" t="s">
        <v>612</v>
      </c>
      <c r="G149" s="529" t="s">
        <v>300</v>
      </c>
      <c r="H149" s="529">
        <v>1</v>
      </c>
      <c r="I149" s="717"/>
      <c r="J149" s="530" t="str">
        <f t="shared" si="15"/>
        <v>INCLUDED</v>
      </c>
      <c r="K149" s="853">
        <f t="shared" si="16"/>
        <v>0</v>
      </c>
      <c r="L149" s="854">
        <f t="shared" si="17"/>
        <v>0</v>
      </c>
      <c r="M149" s="721"/>
      <c r="N149" s="721"/>
      <c r="O149" s="721"/>
      <c r="P149" s="721"/>
      <c r="Q149" s="721"/>
      <c r="R149" s="721"/>
      <c r="S149" s="721"/>
      <c r="T149" s="721"/>
      <c r="U149" s="721"/>
      <c r="V149" s="721"/>
      <c r="W149" s="721"/>
      <c r="X149" s="721"/>
      <c r="Y149" s="721"/>
      <c r="Z149" s="721"/>
      <c r="AA149" s="721"/>
      <c r="AB149" s="721"/>
    </row>
    <row r="150" spans="1:28" s="722" customFormat="1" ht="47.25">
      <c r="A150" s="767">
        <v>133</v>
      </c>
      <c r="B150" s="529">
        <v>7000016907</v>
      </c>
      <c r="C150" s="529">
        <v>2130</v>
      </c>
      <c r="D150" s="529" t="s">
        <v>675</v>
      </c>
      <c r="E150" s="529">
        <v>1000034998</v>
      </c>
      <c r="F150" s="715" t="s">
        <v>614</v>
      </c>
      <c r="G150" s="529" t="s">
        <v>299</v>
      </c>
      <c r="H150" s="529">
        <v>1</v>
      </c>
      <c r="I150" s="717"/>
      <c r="J150" s="530" t="str">
        <f t="shared" si="15"/>
        <v>INCLUDED</v>
      </c>
      <c r="K150" s="853">
        <f t="shared" si="16"/>
        <v>0</v>
      </c>
      <c r="L150" s="854">
        <f t="shared" si="17"/>
        <v>0</v>
      </c>
      <c r="M150" s="721"/>
      <c r="N150" s="721"/>
      <c r="O150" s="721"/>
      <c r="P150" s="721"/>
      <c r="Q150" s="721"/>
      <c r="R150" s="721"/>
      <c r="S150" s="721"/>
      <c r="T150" s="721"/>
      <c r="U150" s="721"/>
      <c r="V150" s="721"/>
      <c r="W150" s="721"/>
      <c r="X150" s="721"/>
      <c r="Y150" s="721"/>
      <c r="Z150" s="721"/>
      <c r="AA150" s="721"/>
      <c r="AB150" s="721"/>
    </row>
    <row r="151" spans="1:28" s="722" customFormat="1" ht="47.25">
      <c r="A151" s="767">
        <v>134</v>
      </c>
      <c r="B151" s="529">
        <v>7000016907</v>
      </c>
      <c r="C151" s="529">
        <v>2140</v>
      </c>
      <c r="D151" s="529" t="s">
        <v>675</v>
      </c>
      <c r="E151" s="529">
        <v>1000031398</v>
      </c>
      <c r="F151" s="715" t="s">
        <v>618</v>
      </c>
      <c r="G151" s="529" t="s">
        <v>300</v>
      </c>
      <c r="H151" s="529">
        <v>1</v>
      </c>
      <c r="I151" s="717"/>
      <c r="J151" s="530" t="str">
        <f t="shared" si="15"/>
        <v>INCLUDED</v>
      </c>
      <c r="K151" s="853">
        <f t="shared" si="16"/>
        <v>0</v>
      </c>
      <c r="L151" s="854">
        <f t="shared" si="17"/>
        <v>0</v>
      </c>
      <c r="M151" s="721"/>
      <c r="N151" s="721"/>
      <c r="O151" s="721"/>
      <c r="P151" s="721"/>
      <c r="Q151" s="721"/>
      <c r="R151" s="721"/>
      <c r="S151" s="721"/>
      <c r="T151" s="721"/>
      <c r="U151" s="721"/>
      <c r="V151" s="721"/>
      <c r="W151" s="721"/>
      <c r="X151" s="721"/>
      <c r="Y151" s="721"/>
      <c r="Z151" s="721"/>
      <c r="AA151" s="721"/>
      <c r="AB151" s="721"/>
    </row>
    <row r="152" spans="1:28" s="722" customFormat="1" ht="47.25">
      <c r="A152" s="767">
        <v>135</v>
      </c>
      <c r="B152" s="529">
        <v>7000016907</v>
      </c>
      <c r="C152" s="529">
        <v>2150</v>
      </c>
      <c r="D152" s="529" t="s">
        <v>675</v>
      </c>
      <c r="E152" s="529">
        <v>1000030942</v>
      </c>
      <c r="F152" s="715" t="s">
        <v>615</v>
      </c>
      <c r="G152" s="529" t="s">
        <v>478</v>
      </c>
      <c r="H152" s="529">
        <v>1</v>
      </c>
      <c r="I152" s="717"/>
      <c r="J152" s="530" t="str">
        <f t="shared" si="15"/>
        <v>INCLUDED</v>
      </c>
      <c r="K152" s="853">
        <f t="shared" si="16"/>
        <v>0</v>
      </c>
      <c r="L152" s="854">
        <f t="shared" si="17"/>
        <v>0</v>
      </c>
      <c r="M152" s="721"/>
      <c r="N152" s="721"/>
      <c r="O152" s="721"/>
      <c r="P152" s="721"/>
      <c r="Q152" s="721"/>
      <c r="R152" s="721"/>
      <c r="S152" s="721"/>
      <c r="T152" s="721"/>
      <c r="U152" s="721"/>
      <c r="V152" s="721"/>
      <c r="W152" s="721"/>
      <c r="X152" s="721"/>
      <c r="Y152" s="721"/>
      <c r="Z152" s="721"/>
      <c r="AA152" s="721"/>
      <c r="AB152" s="721"/>
    </row>
    <row r="153" spans="1:28" s="722" customFormat="1">
      <c r="A153" s="767">
        <v>136</v>
      </c>
      <c r="B153" s="529">
        <v>7000016907</v>
      </c>
      <c r="C153" s="529">
        <v>2160</v>
      </c>
      <c r="D153" s="529" t="s">
        <v>676</v>
      </c>
      <c r="E153" s="529">
        <v>1000017518</v>
      </c>
      <c r="F153" s="715" t="s">
        <v>619</v>
      </c>
      <c r="G153" s="529" t="s">
        <v>299</v>
      </c>
      <c r="H153" s="529">
        <v>2</v>
      </c>
      <c r="I153" s="717"/>
      <c r="J153" s="530" t="str">
        <f t="shared" si="9"/>
        <v>INCLUDED</v>
      </c>
      <c r="K153" s="853">
        <f t="shared" si="10"/>
        <v>0</v>
      </c>
      <c r="L153" s="854">
        <f t="shared" si="11"/>
        <v>0</v>
      </c>
      <c r="M153" s="721"/>
      <c r="N153" s="721"/>
      <c r="O153" s="721"/>
      <c r="P153" s="721"/>
      <c r="Q153" s="721"/>
      <c r="R153" s="721"/>
      <c r="S153" s="721"/>
      <c r="T153" s="721"/>
      <c r="U153" s="721"/>
      <c r="V153" s="721"/>
      <c r="W153" s="721"/>
      <c r="X153" s="721"/>
      <c r="Y153" s="721"/>
      <c r="Z153" s="721"/>
      <c r="AA153" s="721"/>
      <c r="AB153" s="721"/>
    </row>
    <row r="154" spans="1:28" s="722" customFormat="1">
      <c r="A154" s="767">
        <v>137</v>
      </c>
      <c r="B154" s="529">
        <v>7000016907</v>
      </c>
      <c r="C154" s="529">
        <v>2170</v>
      </c>
      <c r="D154" s="529" t="s">
        <v>676</v>
      </c>
      <c r="E154" s="529">
        <v>1000022512</v>
      </c>
      <c r="F154" s="715" t="s">
        <v>620</v>
      </c>
      <c r="G154" s="529" t="s">
        <v>299</v>
      </c>
      <c r="H154" s="529">
        <v>2</v>
      </c>
      <c r="I154" s="717"/>
      <c r="J154" s="530" t="str">
        <f t="shared" si="9"/>
        <v>INCLUDED</v>
      </c>
      <c r="K154" s="853">
        <f t="shared" si="10"/>
        <v>0</v>
      </c>
      <c r="L154" s="854">
        <f t="shared" si="11"/>
        <v>0</v>
      </c>
      <c r="M154" s="721"/>
      <c r="N154" s="721"/>
      <c r="O154" s="721"/>
      <c r="P154" s="721"/>
      <c r="Q154" s="721"/>
      <c r="R154" s="721"/>
      <c r="S154" s="721"/>
      <c r="T154" s="721"/>
      <c r="U154" s="721"/>
      <c r="V154" s="721"/>
      <c r="W154" s="721"/>
      <c r="X154" s="721"/>
      <c r="Y154" s="721"/>
      <c r="Z154" s="721"/>
      <c r="AA154" s="721"/>
      <c r="AB154" s="721"/>
    </row>
    <row r="155" spans="1:28" s="722" customFormat="1" ht="31.5">
      <c r="A155" s="767">
        <v>138</v>
      </c>
      <c r="B155" s="529">
        <v>7000016907</v>
      </c>
      <c r="C155" s="529">
        <v>2180</v>
      </c>
      <c r="D155" s="529" t="s">
        <v>676</v>
      </c>
      <c r="E155" s="529">
        <v>1000022510</v>
      </c>
      <c r="F155" s="715" t="s">
        <v>621</v>
      </c>
      <c r="G155" s="529" t="s">
        <v>299</v>
      </c>
      <c r="H155" s="529">
        <v>3</v>
      </c>
      <c r="I155" s="717"/>
      <c r="J155" s="530" t="str">
        <f t="shared" si="9"/>
        <v>INCLUDED</v>
      </c>
      <c r="K155" s="853">
        <f t="shared" si="10"/>
        <v>0</v>
      </c>
      <c r="L155" s="854">
        <f t="shared" si="11"/>
        <v>0</v>
      </c>
      <c r="M155" s="721"/>
      <c r="N155" s="721"/>
      <c r="O155" s="721"/>
      <c r="P155" s="721"/>
      <c r="Q155" s="721"/>
      <c r="R155" s="721"/>
      <c r="S155" s="721"/>
      <c r="T155" s="721"/>
      <c r="U155" s="721"/>
      <c r="V155" s="721"/>
      <c r="W155" s="721"/>
      <c r="X155" s="721"/>
      <c r="Y155" s="721"/>
      <c r="Z155" s="721"/>
      <c r="AA155" s="721"/>
      <c r="AB155" s="721"/>
    </row>
    <row r="156" spans="1:28" s="722" customFormat="1" ht="47.25">
      <c r="A156" s="767">
        <v>139</v>
      </c>
      <c r="B156" s="529">
        <v>7000016907</v>
      </c>
      <c r="C156" s="529">
        <v>2190</v>
      </c>
      <c r="D156" s="529" t="s">
        <v>676</v>
      </c>
      <c r="E156" s="529">
        <v>1000022487</v>
      </c>
      <c r="F156" s="715" t="s">
        <v>622</v>
      </c>
      <c r="G156" s="529" t="s">
        <v>299</v>
      </c>
      <c r="H156" s="529">
        <v>1</v>
      </c>
      <c r="I156" s="717"/>
      <c r="J156" s="530" t="str">
        <f t="shared" si="9"/>
        <v>INCLUDED</v>
      </c>
      <c r="K156" s="853">
        <f t="shared" si="10"/>
        <v>0</v>
      </c>
      <c r="L156" s="854">
        <f t="shared" si="11"/>
        <v>0</v>
      </c>
      <c r="M156" s="721"/>
      <c r="N156" s="721"/>
      <c r="O156" s="721"/>
      <c r="P156" s="721"/>
      <c r="Q156" s="721"/>
      <c r="R156" s="721"/>
      <c r="S156" s="721"/>
      <c r="T156" s="721"/>
      <c r="U156" s="721"/>
      <c r="V156" s="721"/>
      <c r="W156" s="721"/>
      <c r="X156" s="721"/>
      <c r="Y156" s="721"/>
      <c r="Z156" s="721"/>
      <c r="AA156" s="721"/>
      <c r="AB156" s="721"/>
    </row>
    <row r="157" spans="1:28" s="766" customFormat="1" ht="16.5">
      <c r="A157" s="760"/>
      <c r="B157" s="944" t="str">
        <f>'Sch-1'!B157</f>
        <v>Extn. works at 400kV Sankhari(GETCO) S/S</v>
      </c>
      <c r="C157" s="945"/>
      <c r="D157" s="945"/>
      <c r="E157" s="946"/>
      <c r="F157" s="761"/>
      <c r="G157" s="762"/>
      <c r="H157" s="762"/>
      <c r="I157" s="763"/>
      <c r="J157" s="764" t="str">
        <f t="shared" ref="J157:J159" si="18">IF(I157=0, "INCLUDED", IF(ISERROR(I157*H157), I157, I157*H157))</f>
        <v>INCLUDED</v>
      </c>
      <c r="K157" s="851">
        <f t="shared" ref="K157:K159" si="19">ROUND(I157,2)</f>
        <v>0</v>
      </c>
      <c r="L157" s="852">
        <f t="shared" ref="L157:L159" si="20">H157*K157</f>
        <v>0</v>
      </c>
      <c r="M157" s="765"/>
      <c r="N157" s="765"/>
      <c r="O157" s="765"/>
      <c r="P157" s="765"/>
      <c r="Q157" s="765"/>
      <c r="R157" s="765"/>
      <c r="S157" s="765"/>
      <c r="T157" s="765"/>
      <c r="U157" s="765"/>
      <c r="V157" s="765"/>
      <c r="W157" s="765"/>
      <c r="X157" s="765"/>
      <c r="Y157" s="765"/>
      <c r="Z157" s="765"/>
      <c r="AA157" s="765"/>
      <c r="AB157" s="765"/>
    </row>
    <row r="158" spans="1:28" s="722" customFormat="1" ht="31.5">
      <c r="A158" s="767">
        <v>140</v>
      </c>
      <c r="B158" s="529">
        <v>7000016906</v>
      </c>
      <c r="C158" s="529">
        <v>10</v>
      </c>
      <c r="D158" s="529" t="s">
        <v>581</v>
      </c>
      <c r="E158" s="529">
        <v>1000004501</v>
      </c>
      <c r="F158" s="715" t="s">
        <v>584</v>
      </c>
      <c r="G158" s="529" t="s">
        <v>299</v>
      </c>
      <c r="H158" s="529">
        <v>2</v>
      </c>
      <c r="I158" s="717"/>
      <c r="J158" s="530" t="str">
        <f t="shared" si="18"/>
        <v>INCLUDED</v>
      </c>
      <c r="K158" s="853">
        <f t="shared" si="19"/>
        <v>0</v>
      </c>
      <c r="L158" s="854">
        <f t="shared" si="20"/>
        <v>0</v>
      </c>
      <c r="M158" s="721"/>
      <c r="N158" s="721"/>
      <c r="O158" s="721"/>
      <c r="P158" s="721"/>
      <c r="Q158" s="721"/>
      <c r="R158" s="721"/>
      <c r="S158" s="721"/>
      <c r="T158" s="721"/>
      <c r="U158" s="721"/>
      <c r="V158" s="721"/>
      <c r="W158" s="721"/>
      <c r="X158" s="721"/>
      <c r="Y158" s="721"/>
      <c r="Z158" s="721"/>
      <c r="AA158" s="721"/>
      <c r="AB158" s="721"/>
    </row>
    <row r="159" spans="1:28" s="722" customFormat="1" ht="31.5">
      <c r="A159" s="767">
        <v>141</v>
      </c>
      <c r="B159" s="529">
        <v>7000016906</v>
      </c>
      <c r="C159" s="529">
        <v>20</v>
      </c>
      <c r="D159" s="529" t="s">
        <v>581</v>
      </c>
      <c r="E159" s="529">
        <v>1000004463</v>
      </c>
      <c r="F159" s="715" t="s">
        <v>585</v>
      </c>
      <c r="G159" s="529" t="s">
        <v>299</v>
      </c>
      <c r="H159" s="529">
        <v>6</v>
      </c>
      <c r="I159" s="717"/>
      <c r="J159" s="530" t="str">
        <f t="shared" si="18"/>
        <v>INCLUDED</v>
      </c>
      <c r="K159" s="853">
        <f t="shared" si="19"/>
        <v>0</v>
      </c>
      <c r="L159" s="854">
        <f t="shared" si="20"/>
        <v>0</v>
      </c>
      <c r="M159" s="721"/>
      <c r="N159" s="721"/>
      <c r="O159" s="721"/>
      <c r="P159" s="721"/>
      <c r="Q159" s="721"/>
      <c r="R159" s="721"/>
      <c r="S159" s="721"/>
      <c r="T159" s="721"/>
      <c r="U159" s="721"/>
      <c r="V159" s="721"/>
      <c r="W159" s="721"/>
      <c r="X159" s="721"/>
      <c r="Y159" s="721"/>
      <c r="Z159" s="721"/>
      <c r="AA159" s="721"/>
      <c r="AB159" s="721"/>
    </row>
    <row r="160" spans="1:28" s="722" customFormat="1" ht="31.5">
      <c r="A160" s="767">
        <v>142</v>
      </c>
      <c r="B160" s="529">
        <v>7000016906</v>
      </c>
      <c r="C160" s="529">
        <v>30</v>
      </c>
      <c r="D160" s="529" t="s">
        <v>581</v>
      </c>
      <c r="E160" s="529">
        <v>1000004535</v>
      </c>
      <c r="F160" s="715" t="s">
        <v>586</v>
      </c>
      <c r="G160" s="529" t="s">
        <v>299</v>
      </c>
      <c r="H160" s="529">
        <v>6</v>
      </c>
      <c r="I160" s="717"/>
      <c r="J160" s="530" t="str">
        <f t="shared" si="9"/>
        <v>INCLUDED</v>
      </c>
      <c r="K160" s="853">
        <f t="shared" si="10"/>
        <v>0</v>
      </c>
      <c r="L160" s="854">
        <f t="shared" si="11"/>
        <v>0</v>
      </c>
      <c r="M160" s="721"/>
      <c r="N160" s="721"/>
      <c r="O160" s="721"/>
      <c r="P160" s="721"/>
      <c r="Q160" s="721"/>
      <c r="R160" s="721"/>
      <c r="S160" s="721"/>
      <c r="T160" s="721"/>
      <c r="U160" s="721"/>
      <c r="V160" s="721"/>
      <c r="W160" s="721"/>
      <c r="X160" s="721"/>
      <c r="Y160" s="721"/>
      <c r="Z160" s="721"/>
      <c r="AA160" s="721"/>
      <c r="AB160" s="721"/>
    </row>
    <row r="161" spans="1:28" s="722" customFormat="1" ht="31.5">
      <c r="A161" s="767">
        <v>143</v>
      </c>
      <c r="B161" s="529">
        <v>7000016906</v>
      </c>
      <c r="C161" s="529">
        <v>40</v>
      </c>
      <c r="D161" s="529" t="s">
        <v>581</v>
      </c>
      <c r="E161" s="529">
        <v>1000004498</v>
      </c>
      <c r="F161" s="715" t="s">
        <v>587</v>
      </c>
      <c r="G161" s="529" t="s">
        <v>299</v>
      </c>
      <c r="H161" s="529">
        <v>2</v>
      </c>
      <c r="I161" s="717"/>
      <c r="J161" s="530" t="str">
        <f t="shared" si="9"/>
        <v>INCLUDED</v>
      </c>
      <c r="K161" s="853">
        <f t="shared" si="10"/>
        <v>0</v>
      </c>
      <c r="L161" s="854">
        <f t="shared" si="11"/>
        <v>0</v>
      </c>
      <c r="M161" s="721"/>
      <c r="N161" s="721"/>
      <c r="O161" s="721"/>
      <c r="P161" s="721"/>
      <c r="Q161" s="721"/>
      <c r="R161" s="721"/>
      <c r="S161" s="721"/>
      <c r="T161" s="721"/>
      <c r="U161" s="721"/>
      <c r="V161" s="721"/>
      <c r="W161" s="721"/>
      <c r="X161" s="721"/>
      <c r="Y161" s="721"/>
      <c r="Z161" s="721"/>
      <c r="AA161" s="721"/>
      <c r="AB161" s="721"/>
    </row>
    <row r="162" spans="1:28" s="722" customFormat="1" ht="31.5">
      <c r="A162" s="767">
        <v>144</v>
      </c>
      <c r="B162" s="529">
        <v>7000016906</v>
      </c>
      <c r="C162" s="529">
        <v>50</v>
      </c>
      <c r="D162" s="529" t="s">
        <v>581</v>
      </c>
      <c r="E162" s="529">
        <v>1000004401</v>
      </c>
      <c r="F162" s="715" t="s">
        <v>532</v>
      </c>
      <c r="G162" s="529" t="s">
        <v>299</v>
      </c>
      <c r="H162" s="529">
        <v>48</v>
      </c>
      <c r="I162" s="717"/>
      <c r="J162" s="530" t="str">
        <f t="shared" si="9"/>
        <v>INCLUDED</v>
      </c>
      <c r="K162" s="853">
        <f t="shared" si="10"/>
        <v>0</v>
      </c>
      <c r="L162" s="854">
        <f t="shared" si="11"/>
        <v>0</v>
      </c>
      <c r="M162" s="721"/>
      <c r="N162" s="721"/>
      <c r="O162" s="721"/>
      <c r="P162" s="721"/>
      <c r="Q162" s="721"/>
      <c r="R162" s="721"/>
      <c r="S162" s="721"/>
      <c r="T162" s="721"/>
      <c r="U162" s="721"/>
      <c r="V162" s="721"/>
      <c r="W162" s="721"/>
      <c r="X162" s="721"/>
      <c r="Y162" s="721"/>
      <c r="Z162" s="721"/>
      <c r="AA162" s="721"/>
      <c r="AB162" s="721"/>
    </row>
    <row r="163" spans="1:28" s="722" customFormat="1" ht="31.5">
      <c r="A163" s="767">
        <v>145</v>
      </c>
      <c r="B163" s="529">
        <v>7000016906</v>
      </c>
      <c r="C163" s="529">
        <v>60</v>
      </c>
      <c r="D163" s="529" t="s">
        <v>581</v>
      </c>
      <c r="E163" s="529">
        <v>1000004503</v>
      </c>
      <c r="F163" s="715" t="s">
        <v>748</v>
      </c>
      <c r="G163" s="529" t="s">
        <v>299</v>
      </c>
      <c r="H163" s="529">
        <v>4</v>
      </c>
      <c r="I163" s="717"/>
      <c r="J163" s="530" t="str">
        <f t="shared" si="9"/>
        <v>INCLUDED</v>
      </c>
      <c r="K163" s="853">
        <f t="shared" si="10"/>
        <v>0</v>
      </c>
      <c r="L163" s="854">
        <f t="shared" si="11"/>
        <v>0</v>
      </c>
      <c r="M163" s="721"/>
      <c r="N163" s="721"/>
      <c r="O163" s="721"/>
      <c r="P163" s="721"/>
      <c r="Q163" s="721"/>
      <c r="R163" s="721"/>
      <c r="S163" s="721"/>
      <c r="T163" s="721"/>
      <c r="U163" s="721"/>
      <c r="V163" s="721"/>
      <c r="W163" s="721"/>
      <c r="X163" s="721"/>
      <c r="Y163" s="721"/>
      <c r="Z163" s="721"/>
      <c r="AA163" s="721"/>
      <c r="AB163" s="721"/>
    </row>
    <row r="164" spans="1:28" s="722" customFormat="1" ht="31.5">
      <c r="A164" s="767">
        <v>146</v>
      </c>
      <c r="B164" s="529">
        <v>7000016906</v>
      </c>
      <c r="C164" s="529">
        <v>70</v>
      </c>
      <c r="D164" s="529" t="s">
        <v>581</v>
      </c>
      <c r="E164" s="529">
        <v>1000004504</v>
      </c>
      <c r="F164" s="715" t="s">
        <v>749</v>
      </c>
      <c r="G164" s="529" t="s">
        <v>299</v>
      </c>
      <c r="H164" s="529">
        <v>2</v>
      </c>
      <c r="I164" s="717"/>
      <c r="J164" s="530" t="str">
        <f t="shared" si="9"/>
        <v>INCLUDED</v>
      </c>
      <c r="K164" s="853">
        <f t="shared" si="10"/>
        <v>0</v>
      </c>
      <c r="L164" s="854">
        <f t="shared" si="11"/>
        <v>0</v>
      </c>
      <c r="M164" s="721"/>
      <c r="N164" s="721"/>
      <c r="O164" s="721"/>
      <c r="P164" s="721"/>
      <c r="Q164" s="721"/>
      <c r="R164" s="721"/>
      <c r="S164" s="721"/>
      <c r="T164" s="721"/>
      <c r="U164" s="721"/>
      <c r="V164" s="721"/>
      <c r="W164" s="721"/>
      <c r="X164" s="721"/>
      <c r="Y164" s="721"/>
      <c r="Z164" s="721"/>
      <c r="AA164" s="721"/>
      <c r="AB164" s="721"/>
    </row>
    <row r="165" spans="1:28" s="722" customFormat="1" ht="31.5">
      <c r="A165" s="767">
        <v>147</v>
      </c>
      <c r="B165" s="529">
        <v>7000016906</v>
      </c>
      <c r="C165" s="529">
        <v>80</v>
      </c>
      <c r="D165" s="529" t="s">
        <v>522</v>
      </c>
      <c r="E165" s="529">
        <v>1000055984</v>
      </c>
      <c r="F165" s="715" t="s">
        <v>593</v>
      </c>
      <c r="G165" s="529" t="s">
        <v>299</v>
      </c>
      <c r="H165" s="529">
        <v>6</v>
      </c>
      <c r="I165" s="717"/>
      <c r="J165" s="530" t="str">
        <f t="shared" ref="J165:J171" si="21">IF(I165=0, "INCLUDED", IF(ISERROR(I165*H165), I165, I165*H165))</f>
        <v>INCLUDED</v>
      </c>
      <c r="K165" s="853">
        <f t="shared" ref="K165:K171" si="22">ROUND(I165,2)</f>
        <v>0</v>
      </c>
      <c r="L165" s="854">
        <f t="shared" ref="L165:L171" si="23">H165*K165</f>
        <v>0</v>
      </c>
      <c r="M165" s="721"/>
      <c r="N165" s="721"/>
      <c r="O165" s="721"/>
      <c r="P165" s="721"/>
      <c r="Q165" s="721"/>
      <c r="R165" s="721"/>
      <c r="S165" s="721"/>
      <c r="T165" s="721"/>
      <c r="U165" s="721"/>
      <c r="V165" s="721"/>
      <c r="W165" s="721"/>
      <c r="X165" s="721"/>
      <c r="Y165" s="721"/>
      <c r="Z165" s="721"/>
      <c r="AA165" s="721"/>
      <c r="AB165" s="721"/>
    </row>
    <row r="166" spans="1:28" s="722" customFormat="1" ht="31.5">
      <c r="A166" s="767">
        <v>148</v>
      </c>
      <c r="B166" s="529">
        <v>7000016906</v>
      </c>
      <c r="C166" s="529">
        <v>90</v>
      </c>
      <c r="D166" s="529" t="s">
        <v>522</v>
      </c>
      <c r="E166" s="529">
        <v>1000055991</v>
      </c>
      <c r="F166" s="715" t="s">
        <v>592</v>
      </c>
      <c r="G166" s="529" t="s">
        <v>299</v>
      </c>
      <c r="H166" s="529">
        <v>6</v>
      </c>
      <c r="I166" s="717"/>
      <c r="J166" s="530" t="str">
        <f t="shared" si="21"/>
        <v>INCLUDED</v>
      </c>
      <c r="K166" s="853">
        <f t="shared" si="22"/>
        <v>0</v>
      </c>
      <c r="L166" s="854">
        <f t="shared" si="23"/>
        <v>0</v>
      </c>
      <c r="M166" s="721"/>
      <c r="N166" s="721"/>
      <c r="O166" s="721"/>
      <c r="P166" s="721"/>
      <c r="Q166" s="721"/>
      <c r="R166" s="721"/>
      <c r="S166" s="721"/>
      <c r="T166" s="721"/>
      <c r="U166" s="721"/>
      <c r="V166" s="721"/>
      <c r="W166" s="721"/>
      <c r="X166" s="721"/>
      <c r="Y166" s="721"/>
      <c r="Z166" s="721"/>
      <c r="AA166" s="721"/>
      <c r="AB166" s="721"/>
    </row>
    <row r="167" spans="1:28" s="722" customFormat="1" ht="31.5">
      <c r="A167" s="767">
        <v>149</v>
      </c>
      <c r="B167" s="529">
        <v>7000016906</v>
      </c>
      <c r="C167" s="529">
        <v>100</v>
      </c>
      <c r="D167" s="529" t="s">
        <v>522</v>
      </c>
      <c r="E167" s="529">
        <v>1000055985</v>
      </c>
      <c r="F167" s="715" t="s">
        <v>750</v>
      </c>
      <c r="G167" s="529" t="s">
        <v>299</v>
      </c>
      <c r="H167" s="529">
        <v>3</v>
      </c>
      <c r="I167" s="717"/>
      <c r="J167" s="530" t="str">
        <f t="shared" si="21"/>
        <v>INCLUDED</v>
      </c>
      <c r="K167" s="853">
        <f t="shared" si="22"/>
        <v>0</v>
      </c>
      <c r="L167" s="854">
        <f t="shared" si="23"/>
        <v>0</v>
      </c>
      <c r="M167" s="721"/>
      <c r="N167" s="721"/>
      <c r="O167" s="721"/>
      <c r="P167" s="721"/>
      <c r="Q167" s="721"/>
      <c r="R167" s="721"/>
      <c r="S167" s="721"/>
      <c r="T167" s="721"/>
      <c r="U167" s="721"/>
      <c r="V167" s="721"/>
      <c r="W167" s="721"/>
      <c r="X167" s="721"/>
      <c r="Y167" s="721"/>
      <c r="Z167" s="721"/>
      <c r="AA167" s="721"/>
      <c r="AB167" s="721"/>
    </row>
    <row r="168" spans="1:28" s="722" customFormat="1" ht="31.5">
      <c r="A168" s="767">
        <v>150</v>
      </c>
      <c r="B168" s="529">
        <v>7000016906</v>
      </c>
      <c r="C168" s="529">
        <v>110</v>
      </c>
      <c r="D168" s="529" t="s">
        <v>522</v>
      </c>
      <c r="E168" s="529">
        <v>1000055990</v>
      </c>
      <c r="F168" s="715" t="s">
        <v>751</v>
      </c>
      <c r="G168" s="529" t="s">
        <v>299</v>
      </c>
      <c r="H168" s="529">
        <v>3</v>
      </c>
      <c r="I168" s="717"/>
      <c r="J168" s="530" t="str">
        <f t="shared" si="21"/>
        <v>INCLUDED</v>
      </c>
      <c r="K168" s="853">
        <f t="shared" si="22"/>
        <v>0</v>
      </c>
      <c r="L168" s="854">
        <f t="shared" si="23"/>
        <v>0</v>
      </c>
      <c r="M168" s="721"/>
      <c r="N168" s="721"/>
      <c r="O168" s="721"/>
      <c r="P168" s="721"/>
      <c r="Q168" s="721"/>
      <c r="R168" s="721"/>
      <c r="S168" s="721"/>
      <c r="T168" s="721"/>
      <c r="U168" s="721"/>
      <c r="V168" s="721"/>
      <c r="W168" s="721"/>
      <c r="X168" s="721"/>
      <c r="Y168" s="721"/>
      <c r="Z168" s="721"/>
      <c r="AA168" s="721"/>
      <c r="AB168" s="721"/>
    </row>
    <row r="169" spans="1:28" s="722" customFormat="1" ht="31.5">
      <c r="A169" s="767">
        <v>151</v>
      </c>
      <c r="B169" s="529">
        <v>7000016906</v>
      </c>
      <c r="C169" s="529">
        <v>120</v>
      </c>
      <c r="D169" s="529" t="s">
        <v>523</v>
      </c>
      <c r="E169" s="529">
        <v>1000002165</v>
      </c>
      <c r="F169" s="715" t="s">
        <v>595</v>
      </c>
      <c r="G169" s="529" t="s">
        <v>299</v>
      </c>
      <c r="H169" s="529">
        <v>2</v>
      </c>
      <c r="I169" s="717"/>
      <c r="J169" s="530" t="str">
        <f t="shared" si="21"/>
        <v>INCLUDED</v>
      </c>
      <c r="K169" s="853">
        <f t="shared" si="22"/>
        <v>0</v>
      </c>
      <c r="L169" s="854">
        <f t="shared" si="23"/>
        <v>0</v>
      </c>
      <c r="M169" s="721"/>
      <c r="N169" s="721"/>
      <c r="O169" s="721"/>
      <c r="P169" s="721"/>
      <c r="Q169" s="721"/>
      <c r="R169" s="721"/>
      <c r="S169" s="721"/>
      <c r="T169" s="721"/>
      <c r="U169" s="721"/>
      <c r="V169" s="721"/>
      <c r="W169" s="721"/>
      <c r="X169" s="721"/>
      <c r="Y169" s="721"/>
      <c r="Z169" s="721"/>
      <c r="AA169" s="721"/>
      <c r="AB169" s="721"/>
    </row>
    <row r="170" spans="1:28" s="722" customFormat="1" ht="31.5">
      <c r="A170" s="767">
        <v>152</v>
      </c>
      <c r="B170" s="529">
        <v>7000016906</v>
      </c>
      <c r="C170" s="529">
        <v>130</v>
      </c>
      <c r="D170" s="529" t="s">
        <v>523</v>
      </c>
      <c r="E170" s="529">
        <v>1000003398</v>
      </c>
      <c r="F170" s="715" t="s">
        <v>698</v>
      </c>
      <c r="G170" s="529" t="s">
        <v>299</v>
      </c>
      <c r="H170" s="529">
        <v>2</v>
      </c>
      <c r="I170" s="717"/>
      <c r="J170" s="530" t="str">
        <f t="shared" si="21"/>
        <v>INCLUDED</v>
      </c>
      <c r="K170" s="853">
        <f t="shared" si="22"/>
        <v>0</v>
      </c>
      <c r="L170" s="854">
        <f t="shared" si="23"/>
        <v>0</v>
      </c>
      <c r="M170" s="721"/>
      <c r="N170" s="721"/>
      <c r="O170" s="721"/>
      <c r="P170" s="721"/>
      <c r="Q170" s="721"/>
      <c r="R170" s="721"/>
      <c r="S170" s="721"/>
      <c r="T170" s="721"/>
      <c r="U170" s="721"/>
      <c r="V170" s="721"/>
      <c r="W170" s="721"/>
      <c r="X170" s="721"/>
      <c r="Y170" s="721"/>
      <c r="Z170" s="721"/>
      <c r="AA170" s="721"/>
      <c r="AB170" s="721"/>
    </row>
    <row r="171" spans="1:28" s="722" customFormat="1" ht="31.5">
      <c r="A171" s="767">
        <v>153</v>
      </c>
      <c r="B171" s="529">
        <v>7000016906</v>
      </c>
      <c r="C171" s="529">
        <v>140</v>
      </c>
      <c r="D171" s="529" t="s">
        <v>523</v>
      </c>
      <c r="E171" s="529">
        <v>1000002146</v>
      </c>
      <c r="F171" s="715" t="s">
        <v>596</v>
      </c>
      <c r="G171" s="529" t="s">
        <v>300</v>
      </c>
      <c r="H171" s="529">
        <v>1</v>
      </c>
      <c r="I171" s="717"/>
      <c r="J171" s="530" t="str">
        <f t="shared" si="21"/>
        <v>INCLUDED</v>
      </c>
      <c r="K171" s="853">
        <f t="shared" si="22"/>
        <v>0</v>
      </c>
      <c r="L171" s="854">
        <f t="shared" si="23"/>
        <v>0</v>
      </c>
      <c r="M171" s="721"/>
      <c r="N171" s="721"/>
      <c r="O171" s="721"/>
      <c r="P171" s="721"/>
      <c r="Q171" s="721"/>
      <c r="R171" s="721"/>
      <c r="S171" s="721"/>
      <c r="T171" s="721"/>
      <c r="U171" s="721"/>
      <c r="V171" s="721"/>
      <c r="W171" s="721"/>
      <c r="X171" s="721"/>
      <c r="Y171" s="721"/>
      <c r="Z171" s="721"/>
      <c r="AA171" s="721"/>
      <c r="AB171" s="721"/>
    </row>
    <row r="172" spans="1:28" s="722" customFormat="1" ht="31.5">
      <c r="A172" s="767">
        <v>154</v>
      </c>
      <c r="B172" s="529">
        <v>7000016906</v>
      </c>
      <c r="C172" s="529">
        <v>150</v>
      </c>
      <c r="D172" s="529" t="s">
        <v>524</v>
      </c>
      <c r="E172" s="529">
        <v>1000003409</v>
      </c>
      <c r="F172" s="715" t="s">
        <v>597</v>
      </c>
      <c r="G172" s="529" t="s">
        <v>299</v>
      </c>
      <c r="H172" s="529">
        <v>2</v>
      </c>
      <c r="I172" s="717"/>
      <c r="J172" s="530" t="str">
        <f t="shared" ref="J172:J225" si="24">IF(I172=0, "INCLUDED", IF(ISERROR(I172*H172), I172, I172*H172))</f>
        <v>INCLUDED</v>
      </c>
      <c r="K172" s="853">
        <f t="shared" ref="K172:K225" si="25">ROUND(I172,2)</f>
        <v>0</v>
      </c>
      <c r="L172" s="854">
        <f t="shared" ref="L172:L225" si="26">H172*K172</f>
        <v>0</v>
      </c>
      <c r="M172" s="721"/>
      <c r="N172" s="721"/>
      <c r="O172" s="721"/>
      <c r="P172" s="721"/>
      <c r="Q172" s="721"/>
      <c r="R172" s="721"/>
      <c r="S172" s="721"/>
      <c r="T172" s="721"/>
      <c r="U172" s="721"/>
      <c r="V172" s="721"/>
      <c r="W172" s="721"/>
      <c r="X172" s="721"/>
      <c r="Y172" s="721"/>
      <c r="Z172" s="721"/>
      <c r="AA172" s="721"/>
      <c r="AB172" s="721"/>
    </row>
    <row r="173" spans="1:28" s="722" customFormat="1" ht="94.5">
      <c r="A173" s="767">
        <v>155</v>
      </c>
      <c r="B173" s="529">
        <v>7000016906</v>
      </c>
      <c r="C173" s="529">
        <v>160</v>
      </c>
      <c r="D173" s="529" t="s">
        <v>525</v>
      </c>
      <c r="E173" s="529">
        <v>1000030433</v>
      </c>
      <c r="F173" s="715" t="s">
        <v>533</v>
      </c>
      <c r="G173" s="529" t="s">
        <v>300</v>
      </c>
      <c r="H173" s="529">
        <v>1</v>
      </c>
      <c r="I173" s="717"/>
      <c r="J173" s="530" t="str">
        <f t="shared" si="24"/>
        <v>INCLUDED</v>
      </c>
      <c r="K173" s="853">
        <f t="shared" si="25"/>
        <v>0</v>
      </c>
      <c r="L173" s="854">
        <f t="shared" si="26"/>
        <v>0</v>
      </c>
      <c r="M173" s="721"/>
      <c r="N173" s="721"/>
      <c r="O173" s="721"/>
      <c r="P173" s="721"/>
      <c r="Q173" s="721"/>
      <c r="R173" s="721"/>
      <c r="S173" s="721"/>
      <c r="T173" s="721"/>
      <c r="U173" s="721"/>
      <c r="V173" s="721"/>
      <c r="W173" s="721"/>
      <c r="X173" s="721"/>
      <c r="Y173" s="721"/>
      <c r="Z173" s="721"/>
      <c r="AA173" s="721"/>
      <c r="AB173" s="721"/>
    </row>
    <row r="174" spans="1:28" s="722" customFormat="1">
      <c r="A174" s="767">
        <v>156</v>
      </c>
      <c r="B174" s="529">
        <v>7000016906</v>
      </c>
      <c r="C174" s="529">
        <v>170</v>
      </c>
      <c r="D174" s="529" t="s">
        <v>583</v>
      </c>
      <c r="E174" s="529">
        <v>1000004290</v>
      </c>
      <c r="F174" s="715" t="s">
        <v>599</v>
      </c>
      <c r="G174" s="529" t="s">
        <v>299</v>
      </c>
      <c r="H174" s="529">
        <v>4</v>
      </c>
      <c r="I174" s="717"/>
      <c r="J174" s="530" t="str">
        <f t="shared" si="24"/>
        <v>INCLUDED</v>
      </c>
      <c r="K174" s="853">
        <f t="shared" si="25"/>
        <v>0</v>
      </c>
      <c r="L174" s="854">
        <f t="shared" si="26"/>
        <v>0</v>
      </c>
      <c r="M174" s="721"/>
      <c r="N174" s="721"/>
      <c r="O174" s="721"/>
      <c r="P174" s="721"/>
      <c r="Q174" s="721"/>
      <c r="R174" s="721"/>
      <c r="S174" s="721"/>
      <c r="T174" s="721"/>
      <c r="U174" s="721"/>
      <c r="V174" s="721"/>
      <c r="W174" s="721"/>
      <c r="X174" s="721"/>
      <c r="Y174" s="721"/>
      <c r="Z174" s="721"/>
      <c r="AA174" s="721"/>
      <c r="AB174" s="721"/>
    </row>
    <row r="175" spans="1:28" s="722" customFormat="1">
      <c r="A175" s="767">
        <v>157</v>
      </c>
      <c r="B175" s="529">
        <v>7000016906</v>
      </c>
      <c r="C175" s="529">
        <v>180</v>
      </c>
      <c r="D175" s="529" t="s">
        <v>583</v>
      </c>
      <c r="E175" s="529">
        <v>1000004400</v>
      </c>
      <c r="F175" s="715" t="s">
        <v>588</v>
      </c>
      <c r="G175" s="529" t="s">
        <v>299</v>
      </c>
      <c r="H175" s="529">
        <v>12</v>
      </c>
      <c r="I175" s="717"/>
      <c r="J175" s="530" t="str">
        <f t="shared" si="24"/>
        <v>INCLUDED</v>
      </c>
      <c r="K175" s="853">
        <f t="shared" si="25"/>
        <v>0</v>
      </c>
      <c r="L175" s="854">
        <f t="shared" si="26"/>
        <v>0</v>
      </c>
      <c r="M175" s="721"/>
      <c r="N175" s="721"/>
      <c r="O175" s="721"/>
      <c r="P175" s="721"/>
      <c r="Q175" s="721"/>
      <c r="R175" s="721"/>
      <c r="S175" s="721"/>
      <c r="T175" s="721"/>
      <c r="U175" s="721"/>
      <c r="V175" s="721"/>
      <c r="W175" s="721"/>
      <c r="X175" s="721"/>
      <c r="Y175" s="721"/>
      <c r="Z175" s="721"/>
      <c r="AA175" s="721"/>
      <c r="AB175" s="721"/>
    </row>
    <row r="176" spans="1:28" s="722" customFormat="1" ht="31.5">
      <c r="A176" s="767">
        <v>158</v>
      </c>
      <c r="B176" s="529">
        <v>7000016906</v>
      </c>
      <c r="C176" s="529">
        <v>190</v>
      </c>
      <c r="D176" s="529" t="s">
        <v>526</v>
      </c>
      <c r="E176" s="529">
        <v>1000032050</v>
      </c>
      <c r="F176" s="715" t="s">
        <v>534</v>
      </c>
      <c r="G176" s="529" t="s">
        <v>478</v>
      </c>
      <c r="H176" s="529">
        <v>1.4</v>
      </c>
      <c r="I176" s="717"/>
      <c r="J176" s="530" t="str">
        <f t="shared" si="24"/>
        <v>INCLUDED</v>
      </c>
      <c r="K176" s="853">
        <f t="shared" si="25"/>
        <v>0</v>
      </c>
      <c r="L176" s="854">
        <f t="shared" si="26"/>
        <v>0</v>
      </c>
      <c r="M176" s="721"/>
      <c r="N176" s="721"/>
      <c r="O176" s="721"/>
      <c r="P176" s="721"/>
      <c r="Q176" s="721"/>
      <c r="R176" s="721"/>
      <c r="S176" s="721"/>
      <c r="T176" s="721"/>
      <c r="U176" s="721"/>
      <c r="V176" s="721"/>
      <c r="W176" s="721"/>
      <c r="X176" s="721"/>
      <c r="Y176" s="721"/>
      <c r="Z176" s="721"/>
      <c r="AA176" s="721"/>
      <c r="AB176" s="721"/>
    </row>
    <row r="177" spans="1:28" s="722" customFormat="1" ht="31.5">
      <c r="A177" s="767">
        <v>159</v>
      </c>
      <c r="B177" s="529">
        <v>7000016906</v>
      </c>
      <c r="C177" s="529">
        <v>200</v>
      </c>
      <c r="D177" s="529" t="s">
        <v>526</v>
      </c>
      <c r="E177" s="529">
        <v>1000056265</v>
      </c>
      <c r="F177" s="715" t="s">
        <v>535</v>
      </c>
      <c r="G177" s="529" t="s">
        <v>478</v>
      </c>
      <c r="H177" s="529">
        <v>1.4</v>
      </c>
      <c r="I177" s="717"/>
      <c r="J177" s="530" t="str">
        <f t="shared" si="24"/>
        <v>INCLUDED</v>
      </c>
      <c r="K177" s="853">
        <f t="shared" si="25"/>
        <v>0</v>
      </c>
      <c r="L177" s="854">
        <f t="shared" si="26"/>
        <v>0</v>
      </c>
      <c r="M177" s="721"/>
      <c r="N177" s="721"/>
      <c r="O177" s="721"/>
      <c r="P177" s="721"/>
      <c r="Q177" s="721"/>
      <c r="R177" s="721"/>
      <c r="S177" s="721"/>
      <c r="T177" s="721"/>
      <c r="U177" s="721"/>
      <c r="V177" s="721"/>
      <c r="W177" s="721"/>
      <c r="X177" s="721"/>
      <c r="Y177" s="721"/>
      <c r="Z177" s="721"/>
      <c r="AA177" s="721"/>
      <c r="AB177" s="721"/>
    </row>
    <row r="178" spans="1:28" s="722" customFormat="1" ht="31.5">
      <c r="A178" s="767">
        <v>160</v>
      </c>
      <c r="B178" s="529">
        <v>7000016906</v>
      </c>
      <c r="C178" s="529">
        <v>210</v>
      </c>
      <c r="D178" s="529" t="s">
        <v>526</v>
      </c>
      <c r="E178" s="529">
        <v>1000056264</v>
      </c>
      <c r="F178" s="715" t="s">
        <v>536</v>
      </c>
      <c r="G178" s="529" t="s">
        <v>478</v>
      </c>
      <c r="H178" s="529">
        <v>3.6</v>
      </c>
      <c r="I178" s="717"/>
      <c r="J178" s="530" t="str">
        <f t="shared" si="24"/>
        <v>INCLUDED</v>
      </c>
      <c r="K178" s="853">
        <f t="shared" si="25"/>
        <v>0</v>
      </c>
      <c r="L178" s="854">
        <f t="shared" si="26"/>
        <v>0</v>
      </c>
      <c r="M178" s="721"/>
      <c r="N178" s="721"/>
      <c r="O178" s="721"/>
      <c r="P178" s="721"/>
      <c r="Q178" s="721"/>
      <c r="R178" s="721"/>
      <c r="S178" s="721"/>
      <c r="T178" s="721"/>
      <c r="U178" s="721"/>
      <c r="V178" s="721"/>
      <c r="W178" s="721"/>
      <c r="X178" s="721"/>
      <c r="Y178" s="721"/>
      <c r="Z178" s="721"/>
      <c r="AA178" s="721"/>
      <c r="AB178" s="721"/>
    </row>
    <row r="179" spans="1:28" s="722" customFormat="1" ht="31.5">
      <c r="A179" s="767">
        <v>161</v>
      </c>
      <c r="B179" s="529">
        <v>7000016906</v>
      </c>
      <c r="C179" s="529">
        <v>220</v>
      </c>
      <c r="D179" s="529" t="s">
        <v>526</v>
      </c>
      <c r="E179" s="529">
        <v>1000031887</v>
      </c>
      <c r="F179" s="715" t="s">
        <v>537</v>
      </c>
      <c r="G179" s="529" t="s">
        <v>478</v>
      </c>
      <c r="H179" s="529">
        <v>2.9</v>
      </c>
      <c r="I179" s="717"/>
      <c r="J179" s="530" t="str">
        <f t="shared" si="24"/>
        <v>INCLUDED</v>
      </c>
      <c r="K179" s="853">
        <f t="shared" si="25"/>
        <v>0</v>
      </c>
      <c r="L179" s="854">
        <f t="shared" si="26"/>
        <v>0</v>
      </c>
      <c r="M179" s="721"/>
      <c r="N179" s="721"/>
      <c r="O179" s="721"/>
      <c r="P179" s="721"/>
      <c r="Q179" s="721"/>
      <c r="R179" s="721"/>
      <c r="S179" s="721"/>
      <c r="T179" s="721"/>
      <c r="U179" s="721"/>
      <c r="V179" s="721"/>
      <c r="W179" s="721"/>
      <c r="X179" s="721"/>
      <c r="Y179" s="721"/>
      <c r="Z179" s="721"/>
      <c r="AA179" s="721"/>
      <c r="AB179" s="721"/>
    </row>
    <row r="180" spans="1:28" s="722" customFormat="1" ht="31.5">
      <c r="A180" s="767">
        <v>162</v>
      </c>
      <c r="B180" s="529">
        <v>7000016906</v>
      </c>
      <c r="C180" s="529">
        <v>230</v>
      </c>
      <c r="D180" s="529" t="s">
        <v>526</v>
      </c>
      <c r="E180" s="529">
        <v>1000031987</v>
      </c>
      <c r="F180" s="715" t="s">
        <v>538</v>
      </c>
      <c r="G180" s="529" t="s">
        <v>478</v>
      </c>
      <c r="H180" s="529">
        <v>5</v>
      </c>
      <c r="I180" s="717"/>
      <c r="J180" s="530" t="str">
        <f t="shared" si="24"/>
        <v>INCLUDED</v>
      </c>
      <c r="K180" s="853">
        <f t="shared" si="25"/>
        <v>0</v>
      </c>
      <c r="L180" s="854">
        <f t="shared" si="26"/>
        <v>0</v>
      </c>
      <c r="M180" s="721"/>
      <c r="N180" s="721"/>
      <c r="O180" s="721"/>
      <c r="P180" s="721"/>
      <c r="Q180" s="721"/>
      <c r="R180" s="721"/>
      <c r="S180" s="721"/>
      <c r="T180" s="721"/>
      <c r="U180" s="721"/>
      <c r="V180" s="721"/>
      <c r="W180" s="721"/>
      <c r="X180" s="721"/>
      <c r="Y180" s="721"/>
      <c r="Z180" s="721"/>
      <c r="AA180" s="721"/>
      <c r="AB180" s="721"/>
    </row>
    <row r="181" spans="1:28" s="722" customFormat="1" ht="31.5">
      <c r="A181" s="767">
        <v>163</v>
      </c>
      <c r="B181" s="529">
        <v>7000016906</v>
      </c>
      <c r="C181" s="529">
        <v>240</v>
      </c>
      <c r="D181" s="529" t="s">
        <v>526</v>
      </c>
      <c r="E181" s="529">
        <v>1000031964</v>
      </c>
      <c r="F181" s="715" t="s">
        <v>539</v>
      </c>
      <c r="G181" s="529" t="s">
        <v>478</v>
      </c>
      <c r="H181" s="529">
        <v>5.5</v>
      </c>
      <c r="I181" s="717"/>
      <c r="J181" s="530" t="str">
        <f t="shared" si="24"/>
        <v>INCLUDED</v>
      </c>
      <c r="K181" s="853">
        <f t="shared" si="25"/>
        <v>0</v>
      </c>
      <c r="L181" s="854">
        <f t="shared" si="26"/>
        <v>0</v>
      </c>
      <c r="M181" s="721"/>
      <c r="N181" s="721"/>
      <c r="O181" s="721"/>
      <c r="P181" s="721"/>
      <c r="Q181" s="721"/>
      <c r="R181" s="721"/>
      <c r="S181" s="721"/>
      <c r="T181" s="721"/>
      <c r="U181" s="721"/>
      <c r="V181" s="721"/>
      <c r="W181" s="721"/>
      <c r="X181" s="721"/>
      <c r="Y181" s="721"/>
      <c r="Z181" s="721"/>
      <c r="AA181" s="721"/>
      <c r="AB181" s="721"/>
    </row>
    <row r="182" spans="1:28" s="722" customFormat="1" ht="31.5">
      <c r="A182" s="767">
        <v>164</v>
      </c>
      <c r="B182" s="529">
        <v>7000016906</v>
      </c>
      <c r="C182" s="529">
        <v>250</v>
      </c>
      <c r="D182" s="529" t="s">
        <v>526</v>
      </c>
      <c r="E182" s="529">
        <v>1000031943</v>
      </c>
      <c r="F182" s="715" t="s">
        <v>540</v>
      </c>
      <c r="G182" s="529" t="s">
        <v>478</v>
      </c>
      <c r="H182" s="529">
        <v>0.82</v>
      </c>
      <c r="I182" s="717"/>
      <c r="J182" s="530" t="str">
        <f t="shared" si="24"/>
        <v>INCLUDED</v>
      </c>
      <c r="K182" s="853">
        <f t="shared" si="25"/>
        <v>0</v>
      </c>
      <c r="L182" s="854">
        <f t="shared" si="26"/>
        <v>0</v>
      </c>
      <c r="M182" s="721"/>
      <c r="N182" s="721"/>
      <c r="O182" s="721"/>
      <c r="P182" s="721"/>
      <c r="Q182" s="721"/>
      <c r="R182" s="721"/>
      <c r="S182" s="721"/>
      <c r="T182" s="721"/>
      <c r="U182" s="721"/>
      <c r="V182" s="721"/>
      <c r="W182" s="721"/>
      <c r="X182" s="721"/>
      <c r="Y182" s="721"/>
      <c r="Z182" s="721"/>
      <c r="AA182" s="721"/>
      <c r="AB182" s="721"/>
    </row>
    <row r="183" spans="1:28" s="722" customFormat="1" ht="31.5">
      <c r="A183" s="767">
        <v>165</v>
      </c>
      <c r="B183" s="529">
        <v>7000016906</v>
      </c>
      <c r="C183" s="529">
        <v>260</v>
      </c>
      <c r="D183" s="529" t="s">
        <v>526</v>
      </c>
      <c r="E183" s="529">
        <v>1000031985</v>
      </c>
      <c r="F183" s="715" t="s">
        <v>541</v>
      </c>
      <c r="G183" s="529" t="s">
        <v>478</v>
      </c>
      <c r="H183" s="529">
        <v>1.6</v>
      </c>
      <c r="I183" s="717"/>
      <c r="J183" s="530" t="str">
        <f t="shared" si="24"/>
        <v>INCLUDED</v>
      </c>
      <c r="K183" s="853">
        <f t="shared" si="25"/>
        <v>0</v>
      </c>
      <c r="L183" s="854">
        <f t="shared" si="26"/>
        <v>0</v>
      </c>
      <c r="M183" s="721"/>
      <c r="N183" s="721"/>
      <c r="O183" s="721"/>
      <c r="P183" s="721"/>
      <c r="Q183" s="721"/>
      <c r="R183" s="721"/>
      <c r="S183" s="721"/>
      <c r="T183" s="721"/>
      <c r="U183" s="721"/>
      <c r="V183" s="721"/>
      <c r="W183" s="721"/>
      <c r="X183" s="721"/>
      <c r="Y183" s="721"/>
      <c r="Z183" s="721"/>
      <c r="AA183" s="721"/>
      <c r="AB183" s="721"/>
    </row>
    <row r="184" spans="1:28" s="722" customFormat="1" ht="31.5">
      <c r="A184" s="767">
        <v>166</v>
      </c>
      <c r="B184" s="529">
        <v>7000016906</v>
      </c>
      <c r="C184" s="529">
        <v>270</v>
      </c>
      <c r="D184" s="529" t="s">
        <v>526</v>
      </c>
      <c r="E184" s="529">
        <v>1000031976</v>
      </c>
      <c r="F184" s="715" t="s">
        <v>542</v>
      </c>
      <c r="G184" s="529" t="s">
        <v>478</v>
      </c>
      <c r="H184" s="529">
        <v>0.65</v>
      </c>
      <c r="I184" s="717"/>
      <c r="J184" s="530" t="str">
        <f t="shared" si="24"/>
        <v>INCLUDED</v>
      </c>
      <c r="K184" s="853">
        <f t="shared" si="25"/>
        <v>0</v>
      </c>
      <c r="L184" s="854">
        <f t="shared" si="26"/>
        <v>0</v>
      </c>
      <c r="M184" s="721"/>
      <c r="N184" s="721"/>
      <c r="O184" s="721"/>
      <c r="P184" s="721"/>
      <c r="Q184" s="721"/>
      <c r="R184" s="721"/>
      <c r="S184" s="721"/>
      <c r="T184" s="721"/>
      <c r="U184" s="721"/>
      <c r="V184" s="721"/>
      <c r="W184" s="721"/>
      <c r="X184" s="721"/>
      <c r="Y184" s="721"/>
      <c r="Z184" s="721"/>
      <c r="AA184" s="721"/>
      <c r="AB184" s="721"/>
    </row>
    <row r="185" spans="1:28" s="722" customFormat="1" ht="31.5">
      <c r="A185" s="767">
        <v>167</v>
      </c>
      <c r="B185" s="529">
        <v>7000016906</v>
      </c>
      <c r="C185" s="529">
        <v>280</v>
      </c>
      <c r="D185" s="529" t="s">
        <v>526</v>
      </c>
      <c r="E185" s="529">
        <v>1000031953</v>
      </c>
      <c r="F185" s="715" t="s">
        <v>600</v>
      </c>
      <c r="G185" s="529" t="s">
        <v>478</v>
      </c>
      <c r="H185" s="529">
        <v>0.45</v>
      </c>
      <c r="I185" s="717"/>
      <c r="J185" s="530" t="str">
        <f t="shared" si="24"/>
        <v>INCLUDED</v>
      </c>
      <c r="K185" s="853">
        <f t="shared" si="25"/>
        <v>0</v>
      </c>
      <c r="L185" s="854">
        <f t="shared" si="26"/>
        <v>0</v>
      </c>
      <c r="M185" s="721"/>
      <c r="N185" s="721"/>
      <c r="O185" s="721"/>
      <c r="P185" s="721"/>
      <c r="Q185" s="721"/>
      <c r="R185" s="721"/>
      <c r="S185" s="721"/>
      <c r="T185" s="721"/>
      <c r="U185" s="721"/>
      <c r="V185" s="721"/>
      <c r="W185" s="721"/>
      <c r="X185" s="721"/>
      <c r="Y185" s="721"/>
      <c r="Z185" s="721"/>
      <c r="AA185" s="721"/>
      <c r="AB185" s="721"/>
    </row>
    <row r="186" spans="1:28" s="722" customFormat="1" ht="31.5">
      <c r="A186" s="767">
        <v>168</v>
      </c>
      <c r="B186" s="529">
        <v>7000016906</v>
      </c>
      <c r="C186" s="529">
        <v>290</v>
      </c>
      <c r="D186" s="529" t="s">
        <v>526</v>
      </c>
      <c r="E186" s="529">
        <v>1000031957</v>
      </c>
      <c r="F186" s="715" t="s">
        <v>543</v>
      </c>
      <c r="G186" s="529" t="s">
        <v>478</v>
      </c>
      <c r="H186" s="529">
        <v>0.6</v>
      </c>
      <c r="I186" s="717"/>
      <c r="J186" s="530" t="str">
        <f t="shared" si="24"/>
        <v>INCLUDED</v>
      </c>
      <c r="K186" s="853">
        <f t="shared" si="25"/>
        <v>0</v>
      </c>
      <c r="L186" s="854">
        <f t="shared" si="26"/>
        <v>0</v>
      </c>
      <c r="M186" s="721"/>
      <c r="N186" s="721"/>
      <c r="O186" s="721"/>
      <c r="P186" s="721"/>
      <c r="Q186" s="721"/>
      <c r="R186" s="721"/>
      <c r="S186" s="721"/>
      <c r="T186" s="721"/>
      <c r="U186" s="721"/>
      <c r="V186" s="721"/>
      <c r="W186" s="721"/>
      <c r="X186" s="721"/>
      <c r="Y186" s="721"/>
      <c r="Z186" s="721"/>
      <c r="AA186" s="721"/>
      <c r="AB186" s="721"/>
    </row>
    <row r="187" spans="1:28" s="722" customFormat="1" ht="47.25">
      <c r="A187" s="767">
        <v>169</v>
      </c>
      <c r="B187" s="529">
        <v>7000016906</v>
      </c>
      <c r="C187" s="529">
        <v>300</v>
      </c>
      <c r="D187" s="529" t="s">
        <v>627</v>
      </c>
      <c r="E187" s="529">
        <v>1000006284</v>
      </c>
      <c r="F187" s="715" t="s">
        <v>628</v>
      </c>
      <c r="G187" s="529" t="s">
        <v>300</v>
      </c>
      <c r="H187" s="529">
        <v>1</v>
      </c>
      <c r="I187" s="717"/>
      <c r="J187" s="530" t="str">
        <f t="shared" si="24"/>
        <v>INCLUDED</v>
      </c>
      <c r="K187" s="853">
        <f t="shared" si="25"/>
        <v>0</v>
      </c>
      <c r="L187" s="854">
        <f t="shared" si="26"/>
        <v>0</v>
      </c>
      <c r="M187" s="721"/>
      <c r="N187" s="721"/>
      <c r="O187" s="721"/>
      <c r="P187" s="721"/>
      <c r="Q187" s="721"/>
      <c r="R187" s="721"/>
      <c r="S187" s="721"/>
      <c r="T187" s="721"/>
      <c r="U187" s="721"/>
      <c r="V187" s="721"/>
      <c r="W187" s="721"/>
      <c r="X187" s="721"/>
      <c r="Y187" s="721"/>
      <c r="Z187" s="721"/>
      <c r="AA187" s="721"/>
      <c r="AB187" s="721"/>
    </row>
    <row r="188" spans="1:28" s="722" customFormat="1" ht="31.5">
      <c r="A188" s="767">
        <v>170</v>
      </c>
      <c r="B188" s="529">
        <v>7000016906</v>
      </c>
      <c r="C188" s="529">
        <v>310</v>
      </c>
      <c r="D188" s="529" t="s">
        <v>527</v>
      </c>
      <c r="E188" s="529">
        <v>1000012022</v>
      </c>
      <c r="F188" s="715" t="s">
        <v>602</v>
      </c>
      <c r="G188" s="529" t="s">
        <v>299</v>
      </c>
      <c r="H188" s="529">
        <v>1</v>
      </c>
      <c r="I188" s="717"/>
      <c r="J188" s="530" t="str">
        <f t="shared" si="24"/>
        <v>INCLUDED</v>
      </c>
      <c r="K188" s="853">
        <f t="shared" si="25"/>
        <v>0</v>
      </c>
      <c r="L188" s="854">
        <f t="shared" si="26"/>
        <v>0</v>
      </c>
      <c r="M188" s="721"/>
      <c r="N188" s="721"/>
      <c r="O188" s="721"/>
      <c r="P188" s="721"/>
      <c r="Q188" s="721"/>
      <c r="R188" s="721"/>
      <c r="S188" s="721"/>
      <c r="T188" s="721"/>
      <c r="U188" s="721"/>
      <c r="V188" s="721"/>
      <c r="W188" s="721"/>
      <c r="X188" s="721"/>
      <c r="Y188" s="721"/>
      <c r="Z188" s="721"/>
      <c r="AA188" s="721"/>
      <c r="AB188" s="721"/>
    </row>
    <row r="189" spans="1:28" s="722" customFormat="1" ht="31.5">
      <c r="A189" s="767">
        <v>171</v>
      </c>
      <c r="B189" s="529">
        <v>7000016906</v>
      </c>
      <c r="C189" s="529">
        <v>320</v>
      </c>
      <c r="D189" s="529" t="s">
        <v>527</v>
      </c>
      <c r="E189" s="529">
        <v>1000012018</v>
      </c>
      <c r="F189" s="715" t="s">
        <v>601</v>
      </c>
      <c r="G189" s="529" t="s">
        <v>300</v>
      </c>
      <c r="H189" s="529">
        <v>1</v>
      </c>
      <c r="I189" s="717"/>
      <c r="J189" s="530" t="str">
        <f t="shared" si="24"/>
        <v>INCLUDED</v>
      </c>
      <c r="K189" s="853">
        <f t="shared" si="25"/>
        <v>0</v>
      </c>
      <c r="L189" s="854">
        <f t="shared" si="26"/>
        <v>0</v>
      </c>
      <c r="M189" s="721"/>
      <c r="N189" s="721"/>
      <c r="O189" s="721"/>
      <c r="P189" s="721"/>
      <c r="Q189" s="721"/>
      <c r="R189" s="721"/>
      <c r="S189" s="721"/>
      <c r="T189" s="721"/>
      <c r="U189" s="721"/>
      <c r="V189" s="721"/>
      <c r="W189" s="721"/>
      <c r="X189" s="721"/>
      <c r="Y189" s="721"/>
      <c r="Z189" s="721"/>
      <c r="AA189" s="721"/>
      <c r="AB189" s="721"/>
    </row>
    <row r="190" spans="1:28" s="722" customFormat="1" ht="31.5">
      <c r="A190" s="767">
        <v>172</v>
      </c>
      <c r="B190" s="529">
        <v>7000016906</v>
      </c>
      <c r="C190" s="529">
        <v>330</v>
      </c>
      <c r="D190" s="529" t="s">
        <v>528</v>
      </c>
      <c r="E190" s="529">
        <v>1000014547</v>
      </c>
      <c r="F190" s="715" t="s">
        <v>603</v>
      </c>
      <c r="G190" s="529" t="s">
        <v>299</v>
      </c>
      <c r="H190" s="529">
        <v>1</v>
      </c>
      <c r="I190" s="717"/>
      <c r="J190" s="530" t="str">
        <f t="shared" si="24"/>
        <v>INCLUDED</v>
      </c>
      <c r="K190" s="853">
        <f t="shared" si="25"/>
        <v>0</v>
      </c>
      <c r="L190" s="854">
        <f t="shared" si="26"/>
        <v>0</v>
      </c>
      <c r="M190" s="721"/>
      <c r="N190" s="721"/>
      <c r="O190" s="721"/>
      <c r="P190" s="721"/>
      <c r="Q190" s="721"/>
      <c r="R190" s="721"/>
      <c r="S190" s="721"/>
      <c r="T190" s="721"/>
      <c r="U190" s="721"/>
      <c r="V190" s="721"/>
      <c r="W190" s="721"/>
      <c r="X190" s="721"/>
      <c r="Y190" s="721"/>
      <c r="Z190" s="721"/>
      <c r="AA190" s="721"/>
      <c r="AB190" s="721"/>
    </row>
    <row r="191" spans="1:28" s="722" customFormat="1" ht="31.5">
      <c r="A191" s="767">
        <v>173</v>
      </c>
      <c r="B191" s="529">
        <v>7000016906</v>
      </c>
      <c r="C191" s="529">
        <v>340</v>
      </c>
      <c r="D191" s="529" t="s">
        <v>528</v>
      </c>
      <c r="E191" s="529">
        <v>1000017485</v>
      </c>
      <c r="F191" s="715" t="s">
        <v>706</v>
      </c>
      <c r="G191" s="529" t="s">
        <v>299</v>
      </c>
      <c r="H191" s="529">
        <v>3</v>
      </c>
      <c r="I191" s="717"/>
      <c r="J191" s="530" t="str">
        <f t="shared" si="24"/>
        <v>INCLUDED</v>
      </c>
      <c r="K191" s="853">
        <f t="shared" si="25"/>
        <v>0</v>
      </c>
      <c r="L191" s="854">
        <f t="shared" si="26"/>
        <v>0</v>
      </c>
      <c r="M191" s="721"/>
      <c r="N191" s="721"/>
      <c r="O191" s="721"/>
      <c r="P191" s="721"/>
      <c r="Q191" s="721"/>
      <c r="R191" s="721"/>
      <c r="S191" s="721"/>
      <c r="T191" s="721"/>
      <c r="U191" s="721"/>
      <c r="V191" s="721"/>
      <c r="W191" s="721"/>
      <c r="X191" s="721"/>
      <c r="Y191" s="721"/>
      <c r="Z191" s="721"/>
      <c r="AA191" s="721"/>
      <c r="AB191" s="721"/>
    </row>
    <row r="192" spans="1:28" s="722" customFormat="1" ht="31.5">
      <c r="A192" s="767">
        <v>174</v>
      </c>
      <c r="B192" s="529">
        <v>7000016906</v>
      </c>
      <c r="C192" s="529">
        <v>350</v>
      </c>
      <c r="D192" s="529" t="s">
        <v>528</v>
      </c>
      <c r="E192" s="529">
        <v>1000004952</v>
      </c>
      <c r="F192" s="715" t="s">
        <v>707</v>
      </c>
      <c r="G192" s="529" t="s">
        <v>299</v>
      </c>
      <c r="H192" s="529">
        <v>1</v>
      </c>
      <c r="I192" s="717"/>
      <c r="J192" s="530" t="str">
        <f t="shared" si="24"/>
        <v>INCLUDED</v>
      </c>
      <c r="K192" s="853">
        <f t="shared" si="25"/>
        <v>0</v>
      </c>
      <c r="L192" s="854">
        <f t="shared" si="26"/>
        <v>0</v>
      </c>
      <c r="M192" s="721"/>
      <c r="N192" s="721"/>
      <c r="O192" s="721"/>
      <c r="P192" s="721"/>
      <c r="Q192" s="721"/>
      <c r="R192" s="721"/>
      <c r="S192" s="721"/>
      <c r="T192" s="721"/>
      <c r="U192" s="721"/>
      <c r="V192" s="721"/>
      <c r="W192" s="721"/>
      <c r="X192" s="721"/>
      <c r="Y192" s="721"/>
      <c r="Z192" s="721"/>
      <c r="AA192" s="721"/>
      <c r="AB192" s="721"/>
    </row>
    <row r="193" spans="1:28" s="722" customFormat="1" ht="31.5">
      <c r="A193" s="767">
        <v>175</v>
      </c>
      <c r="B193" s="529">
        <v>7000016906</v>
      </c>
      <c r="C193" s="529">
        <v>360</v>
      </c>
      <c r="D193" s="529" t="s">
        <v>528</v>
      </c>
      <c r="E193" s="529">
        <v>1000013795</v>
      </c>
      <c r="F193" s="715" t="s">
        <v>604</v>
      </c>
      <c r="G193" s="529" t="s">
        <v>552</v>
      </c>
      <c r="H193" s="529">
        <v>1</v>
      </c>
      <c r="I193" s="717"/>
      <c r="J193" s="530" t="str">
        <f t="shared" si="24"/>
        <v>INCLUDED</v>
      </c>
      <c r="K193" s="853">
        <f t="shared" si="25"/>
        <v>0</v>
      </c>
      <c r="L193" s="854">
        <f t="shared" si="26"/>
        <v>0</v>
      </c>
      <c r="M193" s="721"/>
      <c r="N193" s="721"/>
      <c r="O193" s="721"/>
      <c r="P193" s="721"/>
      <c r="Q193" s="721"/>
      <c r="R193" s="721"/>
      <c r="S193" s="721"/>
      <c r="T193" s="721"/>
      <c r="U193" s="721"/>
      <c r="V193" s="721"/>
      <c r="W193" s="721"/>
      <c r="X193" s="721"/>
      <c r="Y193" s="721"/>
      <c r="Z193" s="721"/>
      <c r="AA193" s="721"/>
      <c r="AB193" s="721"/>
    </row>
    <row r="194" spans="1:28" s="722" customFormat="1" ht="63">
      <c r="A194" s="767">
        <v>176</v>
      </c>
      <c r="B194" s="529">
        <v>7000016906</v>
      </c>
      <c r="C194" s="529">
        <v>370</v>
      </c>
      <c r="D194" s="529" t="s">
        <v>744</v>
      </c>
      <c r="E194" s="529">
        <v>1000015954</v>
      </c>
      <c r="F194" s="715" t="s">
        <v>553</v>
      </c>
      <c r="G194" s="529" t="s">
        <v>554</v>
      </c>
      <c r="H194" s="529">
        <v>60</v>
      </c>
      <c r="I194" s="717"/>
      <c r="J194" s="530" t="str">
        <f t="shared" si="24"/>
        <v>INCLUDED</v>
      </c>
      <c r="K194" s="853">
        <f t="shared" si="25"/>
        <v>0</v>
      </c>
      <c r="L194" s="854">
        <f t="shared" si="26"/>
        <v>0</v>
      </c>
      <c r="M194" s="721"/>
      <c r="N194" s="721"/>
      <c r="O194" s="721"/>
      <c r="P194" s="721"/>
      <c r="Q194" s="721"/>
      <c r="R194" s="721"/>
      <c r="S194" s="721"/>
      <c r="T194" s="721"/>
      <c r="U194" s="721"/>
      <c r="V194" s="721"/>
      <c r="W194" s="721"/>
      <c r="X194" s="721"/>
      <c r="Y194" s="721"/>
      <c r="Z194" s="721"/>
      <c r="AA194" s="721"/>
      <c r="AB194" s="721"/>
    </row>
    <row r="195" spans="1:28" s="722" customFormat="1" ht="63">
      <c r="A195" s="767">
        <v>177</v>
      </c>
      <c r="B195" s="529">
        <v>7000016906</v>
      </c>
      <c r="C195" s="529">
        <v>380</v>
      </c>
      <c r="D195" s="529" t="s">
        <v>744</v>
      </c>
      <c r="E195" s="529">
        <v>1000015953</v>
      </c>
      <c r="F195" s="715" t="s">
        <v>752</v>
      </c>
      <c r="G195" s="529" t="s">
        <v>554</v>
      </c>
      <c r="H195" s="529">
        <v>10</v>
      </c>
      <c r="I195" s="717"/>
      <c r="J195" s="530" t="str">
        <f t="shared" si="24"/>
        <v>INCLUDED</v>
      </c>
      <c r="K195" s="853">
        <f t="shared" si="25"/>
        <v>0</v>
      </c>
      <c r="L195" s="854">
        <f t="shared" si="26"/>
        <v>0</v>
      </c>
      <c r="M195" s="721"/>
      <c r="N195" s="721"/>
      <c r="O195" s="721"/>
      <c r="P195" s="721"/>
      <c r="Q195" s="721"/>
      <c r="R195" s="721"/>
      <c r="S195" s="721"/>
      <c r="T195" s="721"/>
      <c r="U195" s="721"/>
      <c r="V195" s="721"/>
      <c r="W195" s="721"/>
      <c r="X195" s="721"/>
      <c r="Y195" s="721"/>
      <c r="Z195" s="721"/>
      <c r="AA195" s="721"/>
      <c r="AB195" s="721"/>
    </row>
    <row r="196" spans="1:28" s="722" customFormat="1" ht="31.5">
      <c r="A196" s="767">
        <v>178</v>
      </c>
      <c r="B196" s="529">
        <v>7000016906</v>
      </c>
      <c r="C196" s="529">
        <v>390</v>
      </c>
      <c r="D196" s="529" t="s">
        <v>744</v>
      </c>
      <c r="E196" s="529">
        <v>1000015952</v>
      </c>
      <c r="F196" s="715" t="s">
        <v>753</v>
      </c>
      <c r="G196" s="529" t="s">
        <v>554</v>
      </c>
      <c r="H196" s="529">
        <v>26</v>
      </c>
      <c r="I196" s="717"/>
      <c r="J196" s="530" t="str">
        <f t="shared" si="24"/>
        <v>INCLUDED</v>
      </c>
      <c r="K196" s="853">
        <f t="shared" si="25"/>
        <v>0</v>
      </c>
      <c r="L196" s="854">
        <f t="shared" si="26"/>
        <v>0</v>
      </c>
      <c r="M196" s="721"/>
      <c r="N196" s="721"/>
      <c r="O196" s="721"/>
      <c r="P196" s="721"/>
      <c r="Q196" s="721"/>
      <c r="R196" s="721"/>
      <c r="S196" s="721"/>
      <c r="T196" s="721"/>
      <c r="U196" s="721"/>
      <c r="V196" s="721"/>
      <c r="W196" s="721"/>
      <c r="X196" s="721"/>
      <c r="Y196" s="721"/>
      <c r="Z196" s="721"/>
      <c r="AA196" s="721"/>
      <c r="AB196" s="721"/>
    </row>
    <row r="197" spans="1:28" s="722" customFormat="1" ht="47.25">
      <c r="A197" s="767">
        <v>179</v>
      </c>
      <c r="B197" s="529">
        <v>7000016906</v>
      </c>
      <c r="C197" s="529">
        <v>400</v>
      </c>
      <c r="D197" s="529" t="s">
        <v>744</v>
      </c>
      <c r="E197" s="529">
        <v>1000011713</v>
      </c>
      <c r="F197" s="715" t="s">
        <v>555</v>
      </c>
      <c r="G197" s="529" t="s">
        <v>554</v>
      </c>
      <c r="H197" s="529">
        <v>5</v>
      </c>
      <c r="I197" s="717"/>
      <c r="J197" s="530" t="str">
        <f t="shared" si="24"/>
        <v>INCLUDED</v>
      </c>
      <c r="K197" s="853">
        <f t="shared" si="25"/>
        <v>0</v>
      </c>
      <c r="L197" s="854">
        <f t="shared" si="26"/>
        <v>0</v>
      </c>
      <c r="M197" s="721"/>
      <c r="N197" s="721"/>
      <c r="O197" s="721"/>
      <c r="P197" s="721"/>
      <c r="Q197" s="721"/>
      <c r="R197" s="721"/>
      <c r="S197" s="721"/>
      <c r="T197" s="721"/>
      <c r="U197" s="721"/>
      <c r="V197" s="721"/>
      <c r="W197" s="721"/>
      <c r="X197" s="721"/>
      <c r="Y197" s="721"/>
      <c r="Z197" s="721"/>
      <c r="AA197" s="721"/>
      <c r="AB197" s="721"/>
    </row>
    <row r="198" spans="1:28" s="722" customFormat="1" ht="47.25">
      <c r="A198" s="767">
        <v>180</v>
      </c>
      <c r="B198" s="529">
        <v>7000016906</v>
      </c>
      <c r="C198" s="529">
        <v>410</v>
      </c>
      <c r="D198" s="529" t="s">
        <v>744</v>
      </c>
      <c r="E198" s="529">
        <v>1000012373</v>
      </c>
      <c r="F198" s="715" t="s">
        <v>556</v>
      </c>
      <c r="G198" s="529" t="s">
        <v>554</v>
      </c>
      <c r="H198" s="529">
        <v>5</v>
      </c>
      <c r="I198" s="717"/>
      <c r="J198" s="530" t="str">
        <f t="shared" ref="J198:J217" si="27">IF(I198=0, "INCLUDED", IF(ISERROR(I198*H198), I198, I198*H198))</f>
        <v>INCLUDED</v>
      </c>
      <c r="K198" s="853">
        <f t="shared" ref="K198:K217" si="28">ROUND(I198,2)</f>
        <v>0</v>
      </c>
      <c r="L198" s="854">
        <f t="shared" ref="L198:L217" si="29">H198*K198</f>
        <v>0</v>
      </c>
      <c r="M198" s="721"/>
      <c r="N198" s="721"/>
      <c r="O198" s="721"/>
      <c r="P198" s="721"/>
      <c r="Q198" s="721"/>
      <c r="R198" s="721"/>
      <c r="S198" s="721"/>
      <c r="T198" s="721"/>
      <c r="U198" s="721"/>
      <c r="V198" s="721"/>
      <c r="W198" s="721"/>
      <c r="X198" s="721"/>
      <c r="Y198" s="721"/>
      <c r="Z198" s="721"/>
      <c r="AA198" s="721"/>
      <c r="AB198" s="721"/>
    </row>
    <row r="199" spans="1:28" s="722" customFormat="1" ht="31.5">
      <c r="A199" s="767">
        <v>181</v>
      </c>
      <c r="B199" s="529">
        <v>7000016906</v>
      </c>
      <c r="C199" s="529">
        <v>420</v>
      </c>
      <c r="D199" s="529" t="s">
        <v>530</v>
      </c>
      <c r="E199" s="529">
        <v>1000019918</v>
      </c>
      <c r="F199" s="715" t="s">
        <v>551</v>
      </c>
      <c r="G199" s="529" t="s">
        <v>552</v>
      </c>
      <c r="H199" s="529">
        <v>1</v>
      </c>
      <c r="I199" s="717"/>
      <c r="J199" s="530" t="str">
        <f t="shared" si="27"/>
        <v>INCLUDED</v>
      </c>
      <c r="K199" s="853">
        <f t="shared" si="28"/>
        <v>0</v>
      </c>
      <c r="L199" s="854">
        <f t="shared" si="29"/>
        <v>0</v>
      </c>
      <c r="M199" s="721"/>
      <c r="N199" s="721"/>
      <c r="O199" s="721"/>
      <c r="P199" s="721"/>
      <c r="Q199" s="721"/>
      <c r="R199" s="721"/>
      <c r="S199" s="721"/>
      <c r="T199" s="721"/>
      <c r="U199" s="721"/>
      <c r="V199" s="721"/>
      <c r="W199" s="721"/>
      <c r="X199" s="721"/>
      <c r="Y199" s="721"/>
      <c r="Z199" s="721"/>
      <c r="AA199" s="721"/>
      <c r="AB199" s="721"/>
    </row>
    <row r="200" spans="1:28" s="722" customFormat="1" ht="31.5">
      <c r="A200" s="767">
        <v>182</v>
      </c>
      <c r="B200" s="529">
        <v>7000016906</v>
      </c>
      <c r="C200" s="529">
        <v>430</v>
      </c>
      <c r="D200" s="529" t="s">
        <v>530</v>
      </c>
      <c r="E200" s="529">
        <v>1000019919</v>
      </c>
      <c r="F200" s="715" t="s">
        <v>550</v>
      </c>
      <c r="G200" s="529" t="s">
        <v>552</v>
      </c>
      <c r="H200" s="529">
        <v>1</v>
      </c>
      <c r="I200" s="717"/>
      <c r="J200" s="530" t="str">
        <f t="shared" si="27"/>
        <v>INCLUDED</v>
      </c>
      <c r="K200" s="853">
        <f t="shared" si="28"/>
        <v>0</v>
      </c>
      <c r="L200" s="854">
        <f t="shared" si="29"/>
        <v>0</v>
      </c>
      <c r="M200" s="721"/>
      <c r="N200" s="721"/>
      <c r="O200" s="721"/>
      <c r="P200" s="721"/>
      <c r="Q200" s="721"/>
      <c r="R200" s="721"/>
      <c r="S200" s="721"/>
      <c r="T200" s="721"/>
      <c r="U200" s="721"/>
      <c r="V200" s="721"/>
      <c r="W200" s="721"/>
      <c r="X200" s="721"/>
      <c r="Y200" s="721"/>
      <c r="Z200" s="721"/>
      <c r="AA200" s="721"/>
      <c r="AB200" s="721"/>
    </row>
    <row r="201" spans="1:28" s="722" customFormat="1" ht="31.5">
      <c r="A201" s="767">
        <v>183</v>
      </c>
      <c r="B201" s="529">
        <v>7000016906</v>
      </c>
      <c r="C201" s="529">
        <v>440</v>
      </c>
      <c r="D201" s="529" t="s">
        <v>530</v>
      </c>
      <c r="E201" s="529">
        <v>1000024186</v>
      </c>
      <c r="F201" s="715" t="s">
        <v>549</v>
      </c>
      <c r="G201" s="529" t="s">
        <v>552</v>
      </c>
      <c r="H201" s="529">
        <v>1</v>
      </c>
      <c r="I201" s="717"/>
      <c r="J201" s="530" t="str">
        <f t="shared" si="27"/>
        <v>INCLUDED</v>
      </c>
      <c r="K201" s="853">
        <f t="shared" si="28"/>
        <v>0</v>
      </c>
      <c r="L201" s="854">
        <f t="shared" si="29"/>
        <v>0</v>
      </c>
      <c r="M201" s="721"/>
      <c r="N201" s="721"/>
      <c r="O201" s="721"/>
      <c r="P201" s="721"/>
      <c r="Q201" s="721"/>
      <c r="R201" s="721"/>
      <c r="S201" s="721"/>
      <c r="T201" s="721"/>
      <c r="U201" s="721"/>
      <c r="V201" s="721"/>
      <c r="W201" s="721"/>
      <c r="X201" s="721"/>
      <c r="Y201" s="721"/>
      <c r="Z201" s="721"/>
      <c r="AA201" s="721"/>
      <c r="AB201" s="721"/>
    </row>
    <row r="202" spans="1:28" s="722" customFormat="1" ht="31.5">
      <c r="A202" s="767">
        <v>184</v>
      </c>
      <c r="B202" s="529">
        <v>7000016906</v>
      </c>
      <c r="C202" s="529">
        <v>450</v>
      </c>
      <c r="D202" s="529" t="s">
        <v>530</v>
      </c>
      <c r="E202" s="529">
        <v>1000025943</v>
      </c>
      <c r="F202" s="715" t="s">
        <v>623</v>
      </c>
      <c r="G202" s="529" t="s">
        <v>300</v>
      </c>
      <c r="H202" s="529">
        <v>1</v>
      </c>
      <c r="I202" s="717"/>
      <c r="J202" s="530" t="str">
        <f t="shared" si="27"/>
        <v>INCLUDED</v>
      </c>
      <c r="K202" s="853">
        <f t="shared" si="28"/>
        <v>0</v>
      </c>
      <c r="L202" s="854">
        <f t="shared" si="29"/>
        <v>0</v>
      </c>
      <c r="M202" s="721"/>
      <c r="N202" s="721"/>
      <c r="O202" s="721"/>
      <c r="P202" s="721"/>
      <c r="Q202" s="721"/>
      <c r="R202" s="721"/>
      <c r="S202" s="721"/>
      <c r="T202" s="721"/>
      <c r="U202" s="721"/>
      <c r="V202" s="721"/>
      <c r="W202" s="721"/>
      <c r="X202" s="721"/>
      <c r="Y202" s="721"/>
      <c r="Z202" s="721"/>
      <c r="AA202" s="721"/>
      <c r="AB202" s="721"/>
    </row>
    <row r="203" spans="1:28" s="722" customFormat="1" ht="31.5">
      <c r="A203" s="767">
        <v>185</v>
      </c>
      <c r="B203" s="529">
        <v>7000016906</v>
      </c>
      <c r="C203" s="529">
        <v>460</v>
      </c>
      <c r="D203" s="529" t="s">
        <v>530</v>
      </c>
      <c r="E203" s="529">
        <v>1000025940</v>
      </c>
      <c r="F203" s="715" t="s">
        <v>605</v>
      </c>
      <c r="G203" s="529" t="s">
        <v>300</v>
      </c>
      <c r="H203" s="529">
        <v>1</v>
      </c>
      <c r="I203" s="717"/>
      <c r="J203" s="530" t="str">
        <f t="shared" si="27"/>
        <v>INCLUDED</v>
      </c>
      <c r="K203" s="853">
        <f t="shared" si="28"/>
        <v>0</v>
      </c>
      <c r="L203" s="854">
        <f t="shared" si="29"/>
        <v>0</v>
      </c>
      <c r="M203" s="721"/>
      <c r="N203" s="721"/>
      <c r="O203" s="721"/>
      <c r="P203" s="721"/>
      <c r="Q203" s="721"/>
      <c r="R203" s="721"/>
      <c r="S203" s="721"/>
      <c r="T203" s="721"/>
      <c r="U203" s="721"/>
      <c r="V203" s="721"/>
      <c r="W203" s="721"/>
      <c r="X203" s="721"/>
      <c r="Y203" s="721"/>
      <c r="Z203" s="721"/>
      <c r="AA203" s="721"/>
      <c r="AB203" s="721"/>
    </row>
    <row r="204" spans="1:28" s="722" customFormat="1" ht="31.5">
      <c r="A204" s="767">
        <v>186</v>
      </c>
      <c r="B204" s="529">
        <v>7000016906</v>
      </c>
      <c r="C204" s="529">
        <v>470</v>
      </c>
      <c r="D204" s="529" t="s">
        <v>530</v>
      </c>
      <c r="E204" s="529">
        <v>1000025941</v>
      </c>
      <c r="F204" s="715" t="s">
        <v>548</v>
      </c>
      <c r="G204" s="529" t="s">
        <v>300</v>
      </c>
      <c r="H204" s="529">
        <v>1</v>
      </c>
      <c r="I204" s="717"/>
      <c r="J204" s="530" t="str">
        <f t="shared" si="27"/>
        <v>INCLUDED</v>
      </c>
      <c r="K204" s="853">
        <f t="shared" si="28"/>
        <v>0</v>
      </c>
      <c r="L204" s="854">
        <f t="shared" si="29"/>
        <v>0</v>
      </c>
      <c r="M204" s="721"/>
      <c r="N204" s="721"/>
      <c r="O204" s="721"/>
      <c r="P204" s="721"/>
      <c r="Q204" s="721"/>
      <c r="R204" s="721"/>
      <c r="S204" s="721"/>
      <c r="T204" s="721"/>
      <c r="U204" s="721"/>
      <c r="V204" s="721"/>
      <c r="W204" s="721"/>
      <c r="X204" s="721"/>
      <c r="Y204" s="721"/>
      <c r="Z204" s="721"/>
      <c r="AA204" s="721"/>
      <c r="AB204" s="721"/>
    </row>
    <row r="205" spans="1:28" s="722" customFormat="1" ht="31.5">
      <c r="A205" s="767">
        <v>187</v>
      </c>
      <c r="B205" s="529">
        <v>7000016906</v>
      </c>
      <c r="C205" s="529">
        <v>480</v>
      </c>
      <c r="D205" s="529" t="s">
        <v>530</v>
      </c>
      <c r="E205" s="529">
        <v>1000019912</v>
      </c>
      <c r="F205" s="715" t="s">
        <v>547</v>
      </c>
      <c r="G205" s="529" t="s">
        <v>552</v>
      </c>
      <c r="H205" s="529">
        <v>1</v>
      </c>
      <c r="I205" s="717"/>
      <c r="J205" s="530" t="str">
        <f t="shared" si="27"/>
        <v>INCLUDED</v>
      </c>
      <c r="K205" s="853">
        <f t="shared" si="28"/>
        <v>0</v>
      </c>
      <c r="L205" s="854">
        <f t="shared" si="29"/>
        <v>0</v>
      </c>
      <c r="M205" s="721"/>
      <c r="N205" s="721"/>
      <c r="O205" s="721"/>
      <c r="P205" s="721"/>
      <c r="Q205" s="721"/>
      <c r="R205" s="721"/>
      <c r="S205" s="721"/>
      <c r="T205" s="721"/>
      <c r="U205" s="721"/>
      <c r="V205" s="721"/>
      <c r="W205" s="721"/>
      <c r="X205" s="721"/>
      <c r="Y205" s="721"/>
      <c r="Z205" s="721"/>
      <c r="AA205" s="721"/>
      <c r="AB205" s="721"/>
    </row>
    <row r="206" spans="1:28" s="722" customFormat="1" ht="31.5">
      <c r="A206" s="767">
        <v>188</v>
      </c>
      <c r="B206" s="529">
        <v>7000016906</v>
      </c>
      <c r="C206" s="529">
        <v>490</v>
      </c>
      <c r="D206" s="529" t="s">
        <v>530</v>
      </c>
      <c r="E206" s="529">
        <v>1000019927</v>
      </c>
      <c r="F206" s="715" t="s">
        <v>546</v>
      </c>
      <c r="G206" s="529" t="s">
        <v>552</v>
      </c>
      <c r="H206" s="529">
        <v>1</v>
      </c>
      <c r="I206" s="717"/>
      <c r="J206" s="530" t="str">
        <f t="shared" si="27"/>
        <v>INCLUDED</v>
      </c>
      <c r="K206" s="853">
        <f t="shared" si="28"/>
        <v>0</v>
      </c>
      <c r="L206" s="854">
        <f t="shared" si="29"/>
        <v>0</v>
      </c>
      <c r="M206" s="721"/>
      <c r="N206" s="721"/>
      <c r="O206" s="721"/>
      <c r="P206" s="721"/>
      <c r="Q206" s="721"/>
      <c r="R206" s="721"/>
      <c r="S206" s="721"/>
      <c r="T206" s="721"/>
      <c r="U206" s="721"/>
      <c r="V206" s="721"/>
      <c r="W206" s="721"/>
      <c r="X206" s="721"/>
      <c r="Y206" s="721"/>
      <c r="Z206" s="721"/>
      <c r="AA206" s="721"/>
      <c r="AB206" s="721"/>
    </row>
    <row r="207" spans="1:28" s="722" customFormat="1" ht="31.5">
      <c r="A207" s="767">
        <v>189</v>
      </c>
      <c r="B207" s="529">
        <v>7000016906</v>
      </c>
      <c r="C207" s="529">
        <v>500</v>
      </c>
      <c r="D207" s="529" t="s">
        <v>530</v>
      </c>
      <c r="E207" s="529">
        <v>1000025950</v>
      </c>
      <c r="F207" s="715" t="s">
        <v>725</v>
      </c>
      <c r="G207" s="529" t="s">
        <v>300</v>
      </c>
      <c r="H207" s="529">
        <v>1</v>
      </c>
      <c r="I207" s="717"/>
      <c r="J207" s="530" t="str">
        <f t="shared" si="27"/>
        <v>INCLUDED</v>
      </c>
      <c r="K207" s="853">
        <f t="shared" si="28"/>
        <v>0</v>
      </c>
      <c r="L207" s="854">
        <f t="shared" si="29"/>
        <v>0</v>
      </c>
      <c r="M207" s="721"/>
      <c r="N207" s="721"/>
      <c r="O207" s="721"/>
      <c r="P207" s="721"/>
      <c r="Q207" s="721"/>
      <c r="R207" s="721"/>
      <c r="S207" s="721"/>
      <c r="T207" s="721"/>
      <c r="U207" s="721"/>
      <c r="V207" s="721"/>
      <c r="W207" s="721"/>
      <c r="X207" s="721"/>
      <c r="Y207" s="721"/>
      <c r="Z207" s="721"/>
      <c r="AA207" s="721"/>
      <c r="AB207" s="721"/>
    </row>
    <row r="208" spans="1:28" s="722" customFormat="1" ht="31.5">
      <c r="A208" s="767">
        <v>190</v>
      </c>
      <c r="B208" s="529">
        <v>7000016906</v>
      </c>
      <c r="C208" s="529">
        <v>510</v>
      </c>
      <c r="D208" s="529" t="s">
        <v>530</v>
      </c>
      <c r="E208" s="529">
        <v>1000032289</v>
      </c>
      <c r="F208" s="715" t="s">
        <v>724</v>
      </c>
      <c r="G208" s="529" t="s">
        <v>300</v>
      </c>
      <c r="H208" s="529">
        <v>1</v>
      </c>
      <c r="I208" s="717"/>
      <c r="J208" s="530" t="str">
        <f t="shared" si="27"/>
        <v>INCLUDED</v>
      </c>
      <c r="K208" s="853">
        <f t="shared" si="28"/>
        <v>0</v>
      </c>
      <c r="L208" s="854">
        <f t="shared" si="29"/>
        <v>0</v>
      </c>
      <c r="M208" s="721"/>
      <c r="N208" s="721"/>
      <c r="O208" s="721"/>
      <c r="P208" s="721"/>
      <c r="Q208" s="721"/>
      <c r="R208" s="721"/>
      <c r="S208" s="721"/>
      <c r="T208" s="721"/>
      <c r="U208" s="721"/>
      <c r="V208" s="721"/>
      <c r="W208" s="721"/>
      <c r="X208" s="721"/>
      <c r="Y208" s="721"/>
      <c r="Z208" s="721"/>
      <c r="AA208" s="721"/>
      <c r="AB208" s="721"/>
    </row>
    <row r="209" spans="1:28" s="722" customFormat="1" ht="31.5">
      <c r="A209" s="767">
        <v>191</v>
      </c>
      <c r="B209" s="529">
        <v>7000016906</v>
      </c>
      <c r="C209" s="529">
        <v>520</v>
      </c>
      <c r="D209" s="529" t="s">
        <v>530</v>
      </c>
      <c r="E209" s="529">
        <v>1000053851</v>
      </c>
      <c r="F209" s="715" t="s">
        <v>606</v>
      </c>
      <c r="G209" s="529" t="s">
        <v>607</v>
      </c>
      <c r="H209" s="529">
        <v>1</v>
      </c>
      <c r="I209" s="717"/>
      <c r="J209" s="530" t="str">
        <f t="shared" si="27"/>
        <v>INCLUDED</v>
      </c>
      <c r="K209" s="853">
        <f t="shared" si="28"/>
        <v>0</v>
      </c>
      <c r="L209" s="854">
        <f t="shared" si="29"/>
        <v>0</v>
      </c>
      <c r="M209" s="721"/>
      <c r="N209" s="721"/>
      <c r="O209" s="721"/>
      <c r="P209" s="721"/>
      <c r="Q209" s="721"/>
      <c r="R209" s="721"/>
      <c r="S209" s="721"/>
      <c r="T209" s="721"/>
      <c r="U209" s="721"/>
      <c r="V209" s="721"/>
      <c r="W209" s="721"/>
      <c r="X209" s="721"/>
      <c r="Y209" s="721"/>
      <c r="Z209" s="721"/>
      <c r="AA209" s="721"/>
      <c r="AB209" s="721"/>
    </row>
    <row r="210" spans="1:28" s="722" customFormat="1" ht="31.5">
      <c r="A210" s="767">
        <v>192</v>
      </c>
      <c r="B210" s="529">
        <v>7000016906</v>
      </c>
      <c r="C210" s="529">
        <v>650</v>
      </c>
      <c r="D210" s="529" t="s">
        <v>745</v>
      </c>
      <c r="E210" s="529">
        <v>1000011314</v>
      </c>
      <c r="F210" s="715" t="s">
        <v>754</v>
      </c>
      <c r="G210" s="529" t="s">
        <v>300</v>
      </c>
      <c r="H210" s="529">
        <v>2</v>
      </c>
      <c r="I210" s="717"/>
      <c r="J210" s="530" t="str">
        <f t="shared" si="27"/>
        <v>INCLUDED</v>
      </c>
      <c r="K210" s="853">
        <f t="shared" si="28"/>
        <v>0</v>
      </c>
      <c r="L210" s="854">
        <f t="shared" si="29"/>
        <v>0</v>
      </c>
      <c r="M210" s="721"/>
      <c r="N210" s="721"/>
      <c r="O210" s="721"/>
      <c r="P210" s="721"/>
      <c r="Q210" s="721"/>
      <c r="R210" s="721"/>
      <c r="S210" s="721"/>
      <c r="T210" s="721"/>
      <c r="U210" s="721"/>
      <c r="V210" s="721"/>
      <c r="W210" s="721"/>
      <c r="X210" s="721"/>
      <c r="Y210" s="721"/>
      <c r="Z210" s="721"/>
      <c r="AA210" s="721"/>
      <c r="AB210" s="721"/>
    </row>
    <row r="211" spans="1:28" s="722" customFormat="1" ht="31.5">
      <c r="A211" s="767">
        <v>193</v>
      </c>
      <c r="B211" s="529">
        <v>7000016906</v>
      </c>
      <c r="C211" s="529">
        <v>660</v>
      </c>
      <c r="D211" s="529" t="s">
        <v>745</v>
      </c>
      <c r="E211" s="529">
        <v>1000011308</v>
      </c>
      <c r="F211" s="715" t="s">
        <v>755</v>
      </c>
      <c r="G211" s="529" t="s">
        <v>300</v>
      </c>
      <c r="H211" s="529">
        <v>1</v>
      </c>
      <c r="I211" s="717"/>
      <c r="J211" s="530" t="str">
        <f t="shared" si="27"/>
        <v>INCLUDED</v>
      </c>
      <c r="K211" s="853">
        <f t="shared" si="28"/>
        <v>0</v>
      </c>
      <c r="L211" s="854">
        <f t="shared" si="29"/>
        <v>0</v>
      </c>
      <c r="M211" s="721"/>
      <c r="N211" s="721"/>
      <c r="O211" s="721"/>
      <c r="P211" s="721"/>
      <c r="Q211" s="721"/>
      <c r="R211" s="721"/>
      <c r="S211" s="721"/>
      <c r="T211" s="721"/>
      <c r="U211" s="721"/>
      <c r="V211" s="721"/>
      <c r="W211" s="721"/>
      <c r="X211" s="721"/>
      <c r="Y211" s="721"/>
      <c r="Z211" s="721"/>
      <c r="AA211" s="721"/>
      <c r="AB211" s="721"/>
    </row>
    <row r="212" spans="1:28" s="722" customFormat="1" ht="94.5">
      <c r="A212" s="767">
        <v>194</v>
      </c>
      <c r="B212" s="529">
        <v>7000016906</v>
      </c>
      <c r="C212" s="529">
        <v>970</v>
      </c>
      <c r="D212" s="529" t="s">
        <v>746</v>
      </c>
      <c r="E212" s="529">
        <v>1000031367</v>
      </c>
      <c r="F212" s="715" t="s">
        <v>608</v>
      </c>
      <c r="G212" s="529" t="s">
        <v>299</v>
      </c>
      <c r="H212" s="529">
        <v>1</v>
      </c>
      <c r="I212" s="717"/>
      <c r="J212" s="530" t="str">
        <f t="shared" si="27"/>
        <v>INCLUDED</v>
      </c>
      <c r="K212" s="853">
        <f t="shared" si="28"/>
        <v>0</v>
      </c>
      <c r="L212" s="854">
        <f t="shared" si="29"/>
        <v>0</v>
      </c>
      <c r="M212" s="721"/>
      <c r="N212" s="721"/>
      <c r="O212" s="721"/>
      <c r="P212" s="721"/>
      <c r="Q212" s="721"/>
      <c r="R212" s="721"/>
      <c r="S212" s="721"/>
      <c r="T212" s="721"/>
      <c r="U212" s="721"/>
      <c r="V212" s="721"/>
      <c r="W212" s="721"/>
      <c r="X212" s="721"/>
      <c r="Y212" s="721"/>
      <c r="Z212" s="721"/>
      <c r="AA212" s="721"/>
      <c r="AB212" s="721"/>
    </row>
    <row r="213" spans="1:28" s="722" customFormat="1" ht="31.5">
      <c r="A213" s="767">
        <v>195</v>
      </c>
      <c r="B213" s="529">
        <v>7000016906</v>
      </c>
      <c r="C213" s="529">
        <v>980</v>
      </c>
      <c r="D213" s="529" t="s">
        <v>746</v>
      </c>
      <c r="E213" s="529">
        <v>1000023721</v>
      </c>
      <c r="F213" s="715" t="s">
        <v>742</v>
      </c>
      <c r="G213" s="529" t="s">
        <v>299</v>
      </c>
      <c r="H213" s="529">
        <v>4</v>
      </c>
      <c r="I213" s="717"/>
      <c r="J213" s="530" t="str">
        <f t="shared" si="27"/>
        <v>INCLUDED</v>
      </c>
      <c r="K213" s="853">
        <f t="shared" si="28"/>
        <v>0</v>
      </c>
      <c r="L213" s="854">
        <f t="shared" si="29"/>
        <v>0</v>
      </c>
      <c r="M213" s="721"/>
      <c r="N213" s="721"/>
      <c r="O213" s="721"/>
      <c r="P213" s="721"/>
      <c r="Q213" s="721"/>
      <c r="R213" s="721"/>
      <c r="S213" s="721"/>
      <c r="T213" s="721"/>
      <c r="U213" s="721"/>
      <c r="V213" s="721"/>
      <c r="W213" s="721"/>
      <c r="X213" s="721"/>
      <c r="Y213" s="721"/>
      <c r="Z213" s="721"/>
      <c r="AA213" s="721"/>
      <c r="AB213" s="721"/>
    </row>
    <row r="214" spans="1:28" s="722" customFormat="1" ht="31.5">
      <c r="A214" s="767">
        <v>196</v>
      </c>
      <c r="B214" s="529">
        <v>7000016906</v>
      </c>
      <c r="C214" s="529">
        <v>990</v>
      </c>
      <c r="D214" s="529" t="s">
        <v>746</v>
      </c>
      <c r="E214" s="529">
        <v>1000014272</v>
      </c>
      <c r="F214" s="715" t="s">
        <v>624</v>
      </c>
      <c r="G214" s="529" t="s">
        <v>299</v>
      </c>
      <c r="H214" s="529">
        <v>2</v>
      </c>
      <c r="I214" s="717"/>
      <c r="J214" s="530" t="str">
        <f t="shared" si="27"/>
        <v>INCLUDED</v>
      </c>
      <c r="K214" s="853">
        <f t="shared" si="28"/>
        <v>0</v>
      </c>
      <c r="L214" s="854">
        <f t="shared" si="29"/>
        <v>0</v>
      </c>
      <c r="M214" s="721"/>
      <c r="N214" s="721"/>
      <c r="O214" s="721"/>
      <c r="P214" s="721"/>
      <c r="Q214" s="721"/>
      <c r="R214" s="721"/>
      <c r="S214" s="721"/>
      <c r="T214" s="721"/>
      <c r="U214" s="721"/>
      <c r="V214" s="721"/>
      <c r="W214" s="721"/>
      <c r="X214" s="721"/>
      <c r="Y214" s="721"/>
      <c r="Z214" s="721"/>
      <c r="AA214" s="721"/>
      <c r="AB214" s="721"/>
    </row>
    <row r="215" spans="1:28" s="722" customFormat="1" ht="31.5">
      <c r="A215" s="767">
        <v>197</v>
      </c>
      <c r="B215" s="529">
        <v>7000016906</v>
      </c>
      <c r="C215" s="529">
        <v>1000</v>
      </c>
      <c r="D215" s="529" t="s">
        <v>746</v>
      </c>
      <c r="E215" s="529">
        <v>1000031374</v>
      </c>
      <c r="F215" s="715" t="s">
        <v>610</v>
      </c>
      <c r="G215" s="529" t="s">
        <v>300</v>
      </c>
      <c r="H215" s="529">
        <v>2</v>
      </c>
      <c r="I215" s="717"/>
      <c r="J215" s="530" t="str">
        <f t="shared" si="27"/>
        <v>INCLUDED</v>
      </c>
      <c r="K215" s="853">
        <f t="shared" si="28"/>
        <v>0</v>
      </c>
      <c r="L215" s="854">
        <f t="shared" si="29"/>
        <v>0</v>
      </c>
      <c r="M215" s="721"/>
      <c r="N215" s="721"/>
      <c r="O215" s="721"/>
      <c r="P215" s="721"/>
      <c r="Q215" s="721"/>
      <c r="R215" s="721"/>
      <c r="S215" s="721"/>
      <c r="T215" s="721"/>
      <c r="U215" s="721"/>
      <c r="V215" s="721"/>
      <c r="W215" s="721"/>
      <c r="X215" s="721"/>
      <c r="Y215" s="721"/>
      <c r="Z215" s="721"/>
      <c r="AA215" s="721"/>
      <c r="AB215" s="721"/>
    </row>
    <row r="216" spans="1:28" s="722" customFormat="1" ht="31.5">
      <c r="A216" s="767">
        <v>198</v>
      </c>
      <c r="B216" s="529">
        <v>7000016906</v>
      </c>
      <c r="C216" s="529">
        <v>1010</v>
      </c>
      <c r="D216" s="529" t="s">
        <v>746</v>
      </c>
      <c r="E216" s="529">
        <v>1000034950</v>
      </c>
      <c r="F216" s="715" t="s">
        <v>611</v>
      </c>
      <c r="G216" s="529" t="s">
        <v>299</v>
      </c>
      <c r="H216" s="529">
        <v>2</v>
      </c>
      <c r="I216" s="717"/>
      <c r="J216" s="530" t="str">
        <f t="shared" si="27"/>
        <v>INCLUDED</v>
      </c>
      <c r="K216" s="853">
        <f t="shared" si="28"/>
        <v>0</v>
      </c>
      <c r="L216" s="854">
        <f t="shared" si="29"/>
        <v>0</v>
      </c>
      <c r="M216" s="721"/>
      <c r="N216" s="721"/>
      <c r="O216" s="721"/>
      <c r="P216" s="721"/>
      <c r="Q216" s="721"/>
      <c r="R216" s="721"/>
      <c r="S216" s="721"/>
      <c r="T216" s="721"/>
      <c r="U216" s="721"/>
      <c r="V216" s="721"/>
      <c r="W216" s="721"/>
      <c r="X216" s="721"/>
      <c r="Y216" s="721"/>
      <c r="Z216" s="721"/>
      <c r="AA216" s="721"/>
      <c r="AB216" s="721"/>
    </row>
    <row r="217" spans="1:28" s="722" customFormat="1" ht="31.5">
      <c r="A217" s="767">
        <v>199</v>
      </c>
      <c r="B217" s="529">
        <v>7000016906</v>
      </c>
      <c r="C217" s="529">
        <v>1020</v>
      </c>
      <c r="D217" s="529" t="s">
        <v>746</v>
      </c>
      <c r="E217" s="529">
        <v>1000031381</v>
      </c>
      <c r="F217" s="715" t="s">
        <v>612</v>
      </c>
      <c r="G217" s="529" t="s">
        <v>300</v>
      </c>
      <c r="H217" s="529">
        <v>1</v>
      </c>
      <c r="I217" s="717"/>
      <c r="J217" s="530" t="str">
        <f t="shared" si="27"/>
        <v>INCLUDED</v>
      </c>
      <c r="K217" s="853">
        <f t="shared" si="28"/>
        <v>0</v>
      </c>
      <c r="L217" s="854">
        <f t="shared" si="29"/>
        <v>0</v>
      </c>
      <c r="M217" s="721"/>
      <c r="N217" s="721"/>
      <c r="O217" s="721"/>
      <c r="P217" s="721"/>
      <c r="Q217" s="721"/>
      <c r="R217" s="721"/>
      <c r="S217" s="721"/>
      <c r="T217" s="721"/>
      <c r="U217" s="721"/>
      <c r="V217" s="721"/>
      <c r="W217" s="721"/>
      <c r="X217" s="721"/>
      <c r="Y217" s="721"/>
      <c r="Z217" s="721"/>
      <c r="AA217" s="721"/>
      <c r="AB217" s="721"/>
    </row>
    <row r="218" spans="1:28" s="722" customFormat="1" ht="31.5">
      <c r="A218" s="767">
        <v>200</v>
      </c>
      <c r="B218" s="529">
        <v>7000016906</v>
      </c>
      <c r="C218" s="529">
        <v>1030</v>
      </c>
      <c r="D218" s="529" t="s">
        <v>746</v>
      </c>
      <c r="E218" s="529">
        <v>1000026228</v>
      </c>
      <c r="F218" s="715" t="s">
        <v>613</v>
      </c>
      <c r="G218" s="529" t="s">
        <v>299</v>
      </c>
      <c r="H218" s="529">
        <v>1</v>
      </c>
      <c r="I218" s="717"/>
      <c r="J218" s="530" t="str">
        <f t="shared" si="24"/>
        <v>INCLUDED</v>
      </c>
      <c r="K218" s="853">
        <f t="shared" si="25"/>
        <v>0</v>
      </c>
      <c r="L218" s="854">
        <f t="shared" si="26"/>
        <v>0</v>
      </c>
      <c r="M218" s="721"/>
      <c r="N218" s="721"/>
      <c r="O218" s="721"/>
      <c r="P218" s="721"/>
      <c r="Q218" s="721"/>
      <c r="R218" s="721"/>
      <c r="S218" s="721"/>
      <c r="T218" s="721"/>
      <c r="U218" s="721"/>
      <c r="V218" s="721"/>
      <c r="W218" s="721"/>
      <c r="X218" s="721"/>
      <c r="Y218" s="721"/>
      <c r="Z218" s="721"/>
      <c r="AA218" s="721"/>
      <c r="AB218" s="721"/>
    </row>
    <row r="219" spans="1:28" s="722" customFormat="1" ht="31.5">
      <c r="A219" s="767">
        <v>201</v>
      </c>
      <c r="B219" s="529">
        <v>7000016906</v>
      </c>
      <c r="C219" s="529">
        <v>1040</v>
      </c>
      <c r="D219" s="529" t="s">
        <v>746</v>
      </c>
      <c r="E219" s="529">
        <v>1000034998</v>
      </c>
      <c r="F219" s="715" t="s">
        <v>614</v>
      </c>
      <c r="G219" s="529" t="s">
        <v>299</v>
      </c>
      <c r="H219" s="529">
        <v>2</v>
      </c>
      <c r="I219" s="717"/>
      <c r="J219" s="530" t="str">
        <f t="shared" si="24"/>
        <v>INCLUDED</v>
      </c>
      <c r="K219" s="853">
        <f t="shared" si="25"/>
        <v>0</v>
      </c>
      <c r="L219" s="854">
        <f t="shared" si="26"/>
        <v>0</v>
      </c>
      <c r="M219" s="721"/>
      <c r="N219" s="721"/>
      <c r="O219" s="721"/>
      <c r="P219" s="721"/>
      <c r="Q219" s="721"/>
      <c r="R219" s="721"/>
      <c r="S219" s="721"/>
      <c r="T219" s="721"/>
      <c r="U219" s="721"/>
      <c r="V219" s="721"/>
      <c r="W219" s="721"/>
      <c r="X219" s="721"/>
      <c r="Y219" s="721"/>
      <c r="Z219" s="721"/>
      <c r="AA219" s="721"/>
      <c r="AB219" s="721"/>
    </row>
    <row r="220" spans="1:28" s="722" customFormat="1" ht="31.5">
      <c r="A220" s="767">
        <v>202</v>
      </c>
      <c r="B220" s="529">
        <v>7000016906</v>
      </c>
      <c r="C220" s="529">
        <v>1050</v>
      </c>
      <c r="D220" s="529" t="s">
        <v>746</v>
      </c>
      <c r="E220" s="529">
        <v>1000030942</v>
      </c>
      <c r="F220" s="715" t="s">
        <v>615</v>
      </c>
      <c r="G220" s="529" t="s">
        <v>478</v>
      </c>
      <c r="H220" s="529">
        <v>1</v>
      </c>
      <c r="I220" s="717"/>
      <c r="J220" s="530" t="str">
        <f t="shared" si="24"/>
        <v>INCLUDED</v>
      </c>
      <c r="K220" s="853">
        <f t="shared" si="25"/>
        <v>0</v>
      </c>
      <c r="L220" s="854">
        <f t="shared" si="26"/>
        <v>0</v>
      </c>
      <c r="M220" s="721"/>
      <c r="N220" s="721"/>
      <c r="O220" s="721"/>
      <c r="P220" s="721"/>
      <c r="Q220" s="721"/>
      <c r="R220" s="721"/>
      <c r="S220" s="721"/>
      <c r="T220" s="721"/>
      <c r="U220" s="721"/>
      <c r="V220" s="721"/>
      <c r="W220" s="721"/>
      <c r="X220" s="721"/>
      <c r="Y220" s="721"/>
      <c r="Z220" s="721"/>
      <c r="AA220" s="721"/>
      <c r="AB220" s="721"/>
    </row>
    <row r="221" spans="1:28" s="722" customFormat="1" ht="31.5">
      <c r="A221" s="767">
        <v>203</v>
      </c>
      <c r="B221" s="529">
        <v>7000016906</v>
      </c>
      <c r="C221" s="529">
        <v>1060</v>
      </c>
      <c r="D221" s="529" t="s">
        <v>746</v>
      </c>
      <c r="E221" s="529">
        <v>1000023471</v>
      </c>
      <c r="F221" s="715" t="s">
        <v>616</v>
      </c>
      <c r="G221" s="529" t="s">
        <v>299</v>
      </c>
      <c r="H221" s="529">
        <v>1</v>
      </c>
      <c r="I221" s="717"/>
      <c r="J221" s="530" t="str">
        <f t="shared" si="24"/>
        <v>INCLUDED</v>
      </c>
      <c r="K221" s="853">
        <f t="shared" si="25"/>
        <v>0</v>
      </c>
      <c r="L221" s="854">
        <f t="shared" si="26"/>
        <v>0</v>
      </c>
      <c r="M221" s="721"/>
      <c r="N221" s="721"/>
      <c r="O221" s="721"/>
      <c r="P221" s="721"/>
      <c r="Q221" s="721"/>
      <c r="R221" s="721"/>
      <c r="S221" s="721"/>
      <c r="T221" s="721"/>
      <c r="U221" s="721"/>
      <c r="V221" s="721"/>
      <c r="W221" s="721"/>
      <c r="X221" s="721"/>
      <c r="Y221" s="721"/>
      <c r="Z221" s="721"/>
      <c r="AA221" s="721"/>
      <c r="AB221" s="721"/>
    </row>
    <row r="222" spans="1:28" s="722" customFormat="1" ht="31.5">
      <c r="A222" s="767">
        <v>204</v>
      </c>
      <c r="B222" s="529">
        <v>7000016906</v>
      </c>
      <c r="C222" s="529">
        <v>1080</v>
      </c>
      <c r="D222" s="529" t="s">
        <v>747</v>
      </c>
      <c r="E222" s="529">
        <v>1000017518</v>
      </c>
      <c r="F222" s="715" t="s">
        <v>619</v>
      </c>
      <c r="G222" s="529" t="s">
        <v>299</v>
      </c>
      <c r="H222" s="529">
        <v>2</v>
      </c>
      <c r="I222" s="717"/>
      <c r="J222" s="530" t="str">
        <f t="shared" si="24"/>
        <v>INCLUDED</v>
      </c>
      <c r="K222" s="853">
        <f t="shared" si="25"/>
        <v>0</v>
      </c>
      <c r="L222" s="854">
        <f t="shared" si="26"/>
        <v>0</v>
      </c>
      <c r="M222" s="721"/>
      <c r="N222" s="721"/>
      <c r="O222" s="721"/>
      <c r="P222" s="721"/>
      <c r="Q222" s="721"/>
      <c r="R222" s="721"/>
      <c r="S222" s="721"/>
      <c r="T222" s="721"/>
      <c r="U222" s="721"/>
      <c r="V222" s="721"/>
      <c r="W222" s="721"/>
      <c r="X222" s="721"/>
      <c r="Y222" s="721"/>
      <c r="Z222" s="721"/>
      <c r="AA222" s="721"/>
      <c r="AB222" s="721"/>
    </row>
    <row r="223" spans="1:28" s="722" customFormat="1" ht="31.5">
      <c r="A223" s="767">
        <v>205</v>
      </c>
      <c r="B223" s="529">
        <v>7000016906</v>
      </c>
      <c r="C223" s="529">
        <v>1090</v>
      </c>
      <c r="D223" s="529" t="s">
        <v>747</v>
      </c>
      <c r="E223" s="529">
        <v>1000022512</v>
      </c>
      <c r="F223" s="715" t="s">
        <v>620</v>
      </c>
      <c r="G223" s="529" t="s">
        <v>299</v>
      </c>
      <c r="H223" s="529">
        <v>2</v>
      </c>
      <c r="I223" s="717"/>
      <c r="J223" s="530" t="str">
        <f t="shared" si="24"/>
        <v>INCLUDED</v>
      </c>
      <c r="K223" s="853">
        <f t="shared" si="25"/>
        <v>0</v>
      </c>
      <c r="L223" s="854">
        <f t="shared" si="26"/>
        <v>0</v>
      </c>
      <c r="M223" s="721"/>
      <c r="N223" s="721"/>
      <c r="O223" s="721"/>
      <c r="P223" s="721"/>
      <c r="Q223" s="721"/>
      <c r="R223" s="721"/>
      <c r="S223" s="721"/>
      <c r="T223" s="721"/>
      <c r="U223" s="721"/>
      <c r="V223" s="721"/>
      <c r="W223" s="721"/>
      <c r="X223" s="721"/>
      <c r="Y223" s="721"/>
      <c r="Z223" s="721"/>
      <c r="AA223" s="721"/>
      <c r="AB223" s="721"/>
    </row>
    <row r="224" spans="1:28" s="722" customFormat="1" ht="31.5">
      <c r="A224" s="767">
        <v>206</v>
      </c>
      <c r="B224" s="529">
        <v>7000016906</v>
      </c>
      <c r="C224" s="529">
        <v>1100</v>
      </c>
      <c r="D224" s="529" t="s">
        <v>747</v>
      </c>
      <c r="E224" s="529">
        <v>1000022510</v>
      </c>
      <c r="F224" s="715" t="s">
        <v>621</v>
      </c>
      <c r="G224" s="529" t="s">
        <v>299</v>
      </c>
      <c r="H224" s="529">
        <v>3</v>
      </c>
      <c r="I224" s="717"/>
      <c r="J224" s="530" t="str">
        <f t="shared" si="24"/>
        <v>INCLUDED</v>
      </c>
      <c r="K224" s="853">
        <f t="shared" si="25"/>
        <v>0</v>
      </c>
      <c r="L224" s="854">
        <f t="shared" si="26"/>
        <v>0</v>
      </c>
      <c r="M224" s="721"/>
      <c r="N224" s="721"/>
      <c r="O224" s="721"/>
      <c r="P224" s="721"/>
      <c r="Q224" s="721"/>
      <c r="R224" s="721"/>
      <c r="S224" s="721"/>
      <c r="T224" s="721"/>
      <c r="U224" s="721"/>
      <c r="V224" s="721"/>
      <c r="W224" s="721"/>
      <c r="X224" s="721"/>
      <c r="Y224" s="721"/>
      <c r="Z224" s="721"/>
      <c r="AA224" s="721"/>
      <c r="AB224" s="721"/>
    </row>
    <row r="225" spans="1:28" s="722" customFormat="1" ht="47.25">
      <c r="A225" s="767">
        <v>207</v>
      </c>
      <c r="B225" s="529">
        <v>7000016906</v>
      </c>
      <c r="C225" s="529">
        <v>1110</v>
      </c>
      <c r="D225" s="529" t="s">
        <v>747</v>
      </c>
      <c r="E225" s="529">
        <v>1000022487</v>
      </c>
      <c r="F225" s="715" t="s">
        <v>622</v>
      </c>
      <c r="G225" s="529" t="s">
        <v>299</v>
      </c>
      <c r="H225" s="529">
        <v>1</v>
      </c>
      <c r="I225" s="717"/>
      <c r="J225" s="530" t="str">
        <f t="shared" si="24"/>
        <v>INCLUDED</v>
      </c>
      <c r="K225" s="853">
        <f t="shared" si="25"/>
        <v>0</v>
      </c>
      <c r="L225" s="854">
        <f t="shared" si="26"/>
        <v>0</v>
      </c>
      <c r="M225" s="721"/>
      <c r="N225" s="721"/>
      <c r="O225" s="721"/>
      <c r="P225" s="721"/>
      <c r="Q225" s="721"/>
      <c r="R225" s="721"/>
      <c r="S225" s="721"/>
      <c r="T225" s="721"/>
      <c r="U225" s="721"/>
      <c r="V225" s="721"/>
      <c r="W225" s="721"/>
      <c r="X225" s="721"/>
      <c r="Y225" s="721"/>
      <c r="Z225" s="721"/>
      <c r="AA225" s="721"/>
      <c r="AB225" s="721"/>
    </row>
    <row r="226" spans="1:28" ht="33" customHeight="1">
      <c r="A226" s="718"/>
      <c r="B226" s="943"/>
      <c r="C226" s="943"/>
      <c r="D226" s="943"/>
      <c r="E226" s="719"/>
      <c r="F226" s="943"/>
      <c r="G226" s="943"/>
      <c r="H226" s="943"/>
      <c r="I226" s="719"/>
      <c r="J226" s="720">
        <f>ROUND(SUM(J17:J225),0)</f>
        <v>0</v>
      </c>
      <c r="K226" s="467"/>
      <c r="L226" s="855">
        <f>SUM(L18:L225)</f>
        <v>0</v>
      </c>
    </row>
    <row r="227" spans="1:28" ht="57.75" customHeight="1">
      <c r="A227" s="428"/>
      <c r="B227" s="949" t="s">
        <v>349</v>
      </c>
      <c r="C227" s="949"/>
      <c r="D227" s="949"/>
      <c r="E227" s="949"/>
      <c r="F227" s="949"/>
      <c r="G227" s="949"/>
      <c r="H227" s="949"/>
      <c r="I227" s="949"/>
      <c r="J227" s="949"/>
      <c r="K227" s="467"/>
    </row>
    <row r="228" spans="1:28" ht="24.75" customHeight="1">
      <c r="B228" s="732"/>
      <c r="C228" s="732"/>
      <c r="D228" s="732"/>
      <c r="E228" s="732"/>
      <c r="F228" s="732"/>
      <c r="G228" s="732"/>
      <c r="H228" s="736"/>
      <c r="I228" s="415"/>
      <c r="J228" s="352"/>
      <c r="K228" s="467"/>
      <c r="L228" s="421"/>
      <c r="M228" s="421"/>
      <c r="N228" s="421"/>
      <c r="O228" s="421"/>
      <c r="P228" s="421"/>
      <c r="Q228" s="421"/>
      <c r="R228" s="421"/>
      <c r="S228" s="421"/>
      <c r="T228" s="421"/>
      <c r="U228" s="421"/>
      <c r="V228" s="421"/>
      <c r="W228" s="421"/>
      <c r="X228" s="421"/>
      <c r="Y228" s="421"/>
      <c r="Z228" s="421"/>
      <c r="AA228" s="421"/>
      <c r="AB228" s="421"/>
    </row>
    <row r="229" spans="1:28" s="468" customFormat="1" ht="16.5">
      <c r="A229" s="526"/>
      <c r="B229" s="733" t="s">
        <v>315</v>
      </c>
      <c r="C229" s="940" t="str">
        <f>'Sch-1'!C232:D232</f>
        <v xml:space="preserve">  </v>
      </c>
      <c r="D229" s="937"/>
      <c r="E229" s="745"/>
      <c r="F229" s="745"/>
      <c r="G229" s="942" t="s">
        <v>317</v>
      </c>
      <c r="H229" s="942"/>
      <c r="I229" s="939" t="str">
        <f>'Sch-1'!K232</f>
        <v/>
      </c>
      <c r="J229" s="939"/>
    </row>
    <row r="230" spans="1:28" s="468" customFormat="1" ht="16.5">
      <c r="A230" s="526"/>
      <c r="B230" s="733" t="s">
        <v>316</v>
      </c>
      <c r="C230" s="937" t="str">
        <f>'Sch-1'!C233:D233</f>
        <v/>
      </c>
      <c r="D230" s="937"/>
      <c r="E230" s="745"/>
      <c r="F230" s="745"/>
      <c r="G230" s="942" t="s">
        <v>125</v>
      </c>
      <c r="H230" s="942"/>
      <c r="I230" s="939" t="str">
        <f>'Sch-1'!K233</f>
        <v/>
      </c>
      <c r="J230" s="939"/>
    </row>
    <row r="231" spans="1:28" ht="16.5">
      <c r="B231" s="532"/>
      <c r="C231" s="533"/>
      <c r="D231" s="352"/>
      <c r="E231" s="534"/>
      <c r="F231" s="535"/>
      <c r="G231" s="352"/>
      <c r="H231" s="528"/>
      <c r="I231" s="536"/>
      <c r="J231" s="528"/>
      <c r="K231" s="467"/>
      <c r="L231" s="421"/>
      <c r="M231" s="421"/>
      <c r="N231" s="421"/>
      <c r="O231" s="421"/>
      <c r="P231" s="421"/>
      <c r="Q231" s="421"/>
      <c r="R231" s="421"/>
      <c r="S231" s="421"/>
      <c r="T231" s="421"/>
      <c r="U231" s="421"/>
      <c r="V231" s="421"/>
      <c r="W231" s="421"/>
      <c r="X231" s="421"/>
      <c r="Y231" s="421"/>
      <c r="Z231" s="421"/>
      <c r="AA231" s="421"/>
      <c r="AB231" s="421"/>
    </row>
    <row r="232" spans="1:28" ht="16.5">
      <c r="B232" s="537"/>
      <c r="C232" s="538"/>
      <c r="D232" s="537"/>
      <c r="E232" s="534"/>
      <c r="F232" s="535"/>
      <c r="G232" s="537"/>
      <c r="H232" s="528"/>
      <c r="I232" s="536"/>
      <c r="J232" s="528"/>
      <c r="K232" s="467"/>
      <c r="L232" s="421"/>
      <c r="M232" s="421"/>
      <c r="N232" s="421"/>
      <c r="O232" s="421"/>
      <c r="P232" s="421"/>
      <c r="Q232" s="421"/>
      <c r="R232" s="421"/>
      <c r="S232" s="421"/>
      <c r="T232" s="421"/>
      <c r="U232" s="421"/>
      <c r="V232" s="421"/>
      <c r="W232" s="421"/>
      <c r="X232" s="421"/>
      <c r="Y232" s="421"/>
      <c r="Z232" s="421"/>
      <c r="AA232" s="421"/>
      <c r="AB232" s="421"/>
    </row>
  </sheetData>
  <sheetProtection password="BA13" sheet="1" formatColumns="0" formatRows="0" selectLockedCells="1"/>
  <customSheetViews>
    <customSheetView guid="{F38BD2F3-61EE-4B49-A7FC-8FB2B5BA6A2F}" scale="80" showPageBreaks="1" printArea="1" hiddenColumns="1" view="pageBreakPreview" topLeftCell="A125">
      <selection activeCell="I139" sqref="I139"/>
      <pageMargins left="0.45" right="0.45" top="0.75" bottom="0.5" header="0.3" footer="0.3"/>
      <printOptions horizontalCentered="1"/>
      <pageSetup paperSize="9" scale="55" orientation="landscape" r:id="rId1"/>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2"/>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3"/>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4"/>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5"/>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6"/>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8"/>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0"/>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1"/>
      <headerFooter>
        <oddHeader>&amp;RSchedule-2
Page &amp;P of &amp;N</oddHeader>
      </headerFooter>
    </customSheetView>
    <customSheetView guid="{267FF044-3C5D-4FEC-AC00-A7E30583F8BB}" scale="80" showPageBreaks="1" printArea="1" hiddenColumns="1" view="pageBreakPreview" topLeftCell="A151">
      <selection activeCell="I26" sqref="I26"/>
      <pageMargins left="0.45" right="0.45" top="0.75" bottom="0.5" header="0.3" footer="0.3"/>
      <printOptions horizontalCentered="1"/>
      <pageSetup paperSize="9" scale="55" orientation="landscape" r:id="rId12"/>
      <headerFooter>
        <oddHeader>&amp;RSchedule-2
Page &amp;P of &amp;N</oddHeader>
      </headerFooter>
    </customSheetView>
    <customSheetView guid="{A29B4069-9BED-4703-B114-D2D164877E8C}" scale="80" showPageBreaks="1" printArea="1" hiddenColumns="1" view="pageBreakPreview" topLeftCell="A202">
      <selection activeCell="I209" sqref="I209"/>
      <pageMargins left="0.45" right="0.45" top="0.75" bottom="0.5" header="0.3" footer="0.3"/>
      <printOptions horizontalCentered="1"/>
      <pageSetup paperSize="9" scale="55" orientation="landscape" r:id="rId13"/>
      <headerFooter>
        <oddHeader>&amp;RSchedule-2
Page &amp;P of &amp;N</oddHeader>
      </headerFooter>
    </customSheetView>
  </customSheetViews>
  <mergeCells count="23">
    <mergeCell ref="N3:O3"/>
    <mergeCell ref="A4:J4"/>
    <mergeCell ref="A3:J3"/>
    <mergeCell ref="C230:D230"/>
    <mergeCell ref="B226:D226"/>
    <mergeCell ref="B227:J227"/>
    <mergeCell ref="C229:D229"/>
    <mergeCell ref="I229:J229"/>
    <mergeCell ref="A6:B6"/>
    <mergeCell ref="I14:J14"/>
    <mergeCell ref="A7:F7"/>
    <mergeCell ref="A8:G8"/>
    <mergeCell ref="C10:E10"/>
    <mergeCell ref="C9:E9"/>
    <mergeCell ref="C12:E12"/>
    <mergeCell ref="C11:E11"/>
    <mergeCell ref="A13:J13"/>
    <mergeCell ref="G230:H230"/>
    <mergeCell ref="G229:H229"/>
    <mergeCell ref="I230:J230"/>
    <mergeCell ref="F226:H226"/>
    <mergeCell ref="B17:E17"/>
    <mergeCell ref="B157:E157"/>
  </mergeCells>
  <dataValidations count="2">
    <dataValidation type="decimal" operator="greaterThan" allowBlank="1" showInputMessage="1" showErrorMessage="1" error="Enter only Numeric value greater than zero or leave the cell blank !" sqref="I64809:I64810">
      <formula1>0</formula1>
    </dataValidation>
    <dataValidation type="decimal" operator="greaterThanOrEqual" allowBlank="1" showInputMessage="1" showErrorMessage="1" sqref="I17:I225">
      <formula1>0</formula1>
    </dataValidation>
  </dataValidations>
  <printOptions horizontalCentered="1"/>
  <pageMargins left="0.45" right="0.45" top="0.75" bottom="0.5" header="0.3" footer="0.3"/>
  <pageSetup paperSize="9" scale="55" orientation="landscape" r:id="rId14"/>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N229"/>
  <sheetViews>
    <sheetView view="pageBreakPreview" topLeftCell="A129" zoomScale="80" zoomScaleNormal="80" zoomScaleSheetLayoutView="80" workbookViewId="0">
      <selection activeCell="O149" sqref="O149"/>
    </sheetView>
  </sheetViews>
  <sheetFormatPr defaultColWidth="38.57031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10" customWidth="1"/>
    <col min="7" max="8" width="13.85546875" style="410" customWidth="1"/>
    <col min="9" max="9" width="15.7109375" style="410" customWidth="1"/>
    <col min="10" max="10" width="13.85546875" style="410" customWidth="1"/>
    <col min="11" max="11" width="15.42578125" style="410" customWidth="1"/>
    <col min="12" max="12" width="65.28515625" style="9" customWidth="1"/>
    <col min="13" max="13" width="8.7109375" style="10" customWidth="1"/>
    <col min="14" max="14" width="15" style="454" customWidth="1"/>
    <col min="15" max="15" width="16.14062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45" hidden="1" customWidth="1"/>
    <col min="21" max="21" width="16.85546875" style="8" hidden="1" customWidth="1"/>
    <col min="22" max="22" width="14.5703125" style="7" hidden="1" customWidth="1"/>
    <col min="23" max="24" width="17.28515625" style="7" hidden="1" customWidth="1"/>
    <col min="25" max="25" width="20.5703125" style="7" hidden="1" customWidth="1"/>
    <col min="26" max="26" width="22.28515625" style="7" hidden="1" customWidth="1"/>
    <col min="27" max="28" width="9.140625" style="7" hidden="1" customWidth="1"/>
    <col min="29"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 No: 5002002280/SUB-STATION(EXCLUDIN/DOM/A06-CC CS -7</v>
      </c>
      <c r="B1" s="18"/>
      <c r="C1" s="18"/>
      <c r="D1" s="18"/>
      <c r="E1" s="18"/>
      <c r="F1" s="408"/>
      <c r="G1" s="408"/>
      <c r="H1" s="408"/>
      <c r="I1" s="408"/>
      <c r="J1" s="408"/>
      <c r="K1" s="408"/>
      <c r="L1" s="392"/>
      <c r="M1" s="6"/>
      <c r="N1" s="6"/>
      <c r="O1" s="1"/>
      <c r="P1" s="2" t="s">
        <v>17</v>
      </c>
    </row>
    <row r="2" spans="1:31">
      <c r="A2" s="19"/>
      <c r="B2" s="19"/>
      <c r="C2" s="19"/>
      <c r="D2" s="19"/>
      <c r="E2" s="19"/>
      <c r="F2" s="409"/>
      <c r="G2" s="409"/>
      <c r="H2" s="409"/>
      <c r="I2" s="409"/>
      <c r="J2" s="409"/>
      <c r="K2" s="409"/>
      <c r="L2" s="386"/>
      <c r="M2" s="4"/>
      <c r="N2" s="4"/>
      <c r="O2" s="3"/>
      <c r="P2" s="3"/>
    </row>
    <row r="3" spans="1:31" ht="71.25" customHeight="1">
      <c r="A3" s="926" t="str">
        <f>Cover!$B$2</f>
        <v>765kV AIS Substation Extension Package (SS-91) under Transmission Network Expansion in Gujarat to increase its ATC from ISTS: Part C.</v>
      </c>
      <c r="B3" s="926"/>
      <c r="C3" s="926"/>
      <c r="D3" s="926"/>
      <c r="E3" s="926"/>
      <c r="F3" s="926"/>
      <c r="G3" s="926"/>
      <c r="H3" s="926"/>
      <c r="I3" s="926"/>
      <c r="J3" s="926"/>
      <c r="K3" s="926"/>
      <c r="L3" s="926"/>
      <c r="M3" s="926"/>
      <c r="N3" s="926"/>
      <c r="O3" s="926"/>
      <c r="P3" s="926"/>
    </row>
    <row r="4" spans="1:31" ht="16.5">
      <c r="A4" s="962" t="s">
        <v>19</v>
      </c>
      <c r="B4" s="962"/>
      <c r="C4" s="962"/>
      <c r="D4" s="962"/>
      <c r="E4" s="962"/>
      <c r="F4" s="962"/>
      <c r="G4" s="962"/>
      <c r="H4" s="962"/>
      <c r="I4" s="962"/>
      <c r="J4" s="962"/>
      <c r="K4" s="962"/>
      <c r="L4" s="962"/>
      <c r="M4" s="962"/>
      <c r="N4" s="962"/>
      <c r="O4" s="962"/>
      <c r="P4" s="962"/>
    </row>
    <row r="6" spans="1:31" ht="21.75" customHeight="1">
      <c r="A6" s="928" t="s">
        <v>350</v>
      </c>
      <c r="B6" s="928"/>
      <c r="C6" s="4"/>
      <c r="D6" s="352"/>
      <c r="E6" s="4"/>
      <c r="F6" s="4"/>
      <c r="G6" s="4"/>
      <c r="H6" s="4"/>
      <c r="I6" s="4"/>
    </row>
    <row r="7" spans="1:31" ht="21" customHeight="1">
      <c r="A7" s="951">
        <f>'Sch-1'!A7</f>
        <v>0</v>
      </c>
      <c r="B7" s="951"/>
      <c r="C7" s="951"/>
      <c r="D7" s="951"/>
      <c r="E7" s="951"/>
      <c r="F7" s="951"/>
      <c r="G7" s="951"/>
      <c r="H7" s="951"/>
      <c r="I7" s="951"/>
      <c r="J7" s="411"/>
      <c r="K7" s="411"/>
      <c r="L7" s="393"/>
      <c r="M7" s="11" t="s">
        <v>1</v>
      </c>
      <c r="N7" s="455"/>
      <c r="O7" s="8"/>
      <c r="P7" s="3"/>
    </row>
    <row r="8" spans="1:31" ht="22.5" customHeight="1">
      <c r="A8" s="929" t="str">
        <f>"Bidder’s Name and Address  (" &amp; MID('Names of Bidder'!B9,9, 20) &amp; ") :"</f>
        <v>Bidder’s Name and Address  (Sole Bidder) :</v>
      </c>
      <c r="B8" s="929"/>
      <c r="C8" s="929"/>
      <c r="D8" s="929"/>
      <c r="E8" s="929"/>
      <c r="F8" s="929"/>
      <c r="G8" s="929"/>
      <c r="H8" s="531"/>
      <c r="I8" s="531"/>
      <c r="J8" s="509"/>
      <c r="K8" s="509"/>
      <c r="L8" s="509"/>
      <c r="M8" s="12" t="str">
        <f>'Sch-1'!K8</f>
        <v>Contract Services</v>
      </c>
      <c r="N8" s="509"/>
      <c r="O8" s="8"/>
      <c r="P8" s="3"/>
    </row>
    <row r="9" spans="1:31" ht="24.75" customHeight="1">
      <c r="A9" s="456" t="s">
        <v>12</v>
      </c>
      <c r="B9" s="406"/>
      <c r="C9" s="953" t="str">
        <f>IF('Names of Bidder'!D9=0, "", 'Names of Bidder'!D9)</f>
        <v/>
      </c>
      <c r="D9" s="953"/>
      <c r="E9" s="953"/>
      <c r="F9" s="953"/>
      <c r="G9" s="953"/>
      <c r="H9" s="439"/>
      <c r="I9" s="407"/>
      <c r="J9" s="394"/>
      <c r="K9" s="394"/>
      <c r="L9" s="394"/>
      <c r="M9" s="12" t="str">
        <f>'Sch-1'!K9</f>
        <v>Power Grid Corporation of India Ltd.,</v>
      </c>
      <c r="N9" s="445"/>
      <c r="O9" s="8"/>
      <c r="P9" s="3"/>
    </row>
    <row r="10" spans="1:31" ht="21" customHeight="1">
      <c r="A10" s="456" t="s">
        <v>11</v>
      </c>
      <c r="B10" s="406"/>
      <c r="C10" s="952" t="str">
        <f>IF('Names of Bidder'!D10=0, "", 'Names of Bidder'!D10)</f>
        <v/>
      </c>
      <c r="D10" s="952"/>
      <c r="E10" s="952"/>
      <c r="F10" s="952"/>
      <c r="G10" s="952"/>
      <c r="H10" s="439"/>
      <c r="I10" s="407"/>
      <c r="J10" s="394"/>
      <c r="K10" s="394"/>
      <c r="L10" s="394"/>
      <c r="M10" s="12" t="str">
        <f>'Sch-1'!K10</f>
        <v>"Saudamini", Plot No.-2</v>
      </c>
      <c r="N10" s="445"/>
      <c r="O10" s="8"/>
      <c r="P10" s="3"/>
    </row>
    <row r="11" spans="1:31" ht="20.25" customHeight="1">
      <c r="A11" s="407"/>
      <c r="B11" s="407"/>
      <c r="C11" s="952" t="str">
        <f>IF('Names of Bidder'!D11=0, "", 'Names of Bidder'!D11)</f>
        <v/>
      </c>
      <c r="D11" s="952"/>
      <c r="E11" s="952"/>
      <c r="F11" s="952"/>
      <c r="G11" s="952"/>
      <c r="H11" s="439"/>
      <c r="I11" s="407"/>
      <c r="J11" s="394"/>
      <c r="K11" s="394"/>
      <c r="L11" s="394"/>
      <c r="M11" s="12" t="str">
        <f>'Sch-1'!K11</f>
        <v xml:space="preserve">Sector-29, </v>
      </c>
      <c r="N11" s="445"/>
      <c r="O11" s="8"/>
      <c r="P11" s="3"/>
    </row>
    <row r="12" spans="1:31" ht="21" customHeight="1">
      <c r="A12" s="407"/>
      <c r="B12" s="407"/>
      <c r="C12" s="952" t="str">
        <f>IF('Names of Bidder'!D12=0, "", 'Names of Bidder'!D12)</f>
        <v/>
      </c>
      <c r="D12" s="952"/>
      <c r="E12" s="952"/>
      <c r="F12" s="952"/>
      <c r="G12" s="952"/>
      <c r="H12" s="439"/>
      <c r="I12" s="407"/>
      <c r="J12" s="394"/>
      <c r="K12" s="394"/>
      <c r="L12" s="394"/>
      <c r="M12" s="12" t="str">
        <f>'Sch-1'!K12</f>
        <v>Gurgaon (Haryana) - 122001</v>
      </c>
      <c r="N12" s="445"/>
      <c r="O12" s="8"/>
      <c r="P12" s="3"/>
    </row>
    <row r="13" spans="1:31">
      <c r="A13" s="21"/>
      <c r="B13" s="21"/>
      <c r="C13" s="21"/>
      <c r="D13" s="21"/>
      <c r="E13" s="21"/>
      <c r="F13" s="412"/>
      <c r="G13" s="412"/>
      <c r="H13" s="412"/>
      <c r="I13" s="412"/>
      <c r="J13" s="412"/>
      <c r="K13" s="412"/>
      <c r="L13" s="394"/>
      <c r="M13" s="262"/>
      <c r="N13" s="439"/>
      <c r="O13" s="12"/>
      <c r="P13" s="3"/>
    </row>
    <row r="14" spans="1:31" ht="24.75" customHeight="1">
      <c r="A14" s="963" t="s">
        <v>21</v>
      </c>
      <c r="B14" s="963"/>
      <c r="C14" s="963"/>
      <c r="D14" s="963"/>
      <c r="E14" s="963"/>
      <c r="F14" s="963"/>
      <c r="G14" s="963"/>
      <c r="H14" s="963"/>
      <c r="I14" s="963"/>
      <c r="J14" s="963"/>
      <c r="K14" s="963"/>
      <c r="L14" s="963"/>
      <c r="M14" s="963"/>
      <c r="N14" s="963"/>
      <c r="O14" s="963"/>
      <c r="P14" s="963"/>
    </row>
    <row r="15" spans="1:31" s="430" customFormat="1" ht="125.25" customHeight="1">
      <c r="A15" s="473" t="s">
        <v>7</v>
      </c>
      <c r="B15" s="474" t="s">
        <v>266</v>
      </c>
      <c r="C15" s="474" t="s">
        <v>278</v>
      </c>
      <c r="D15" s="474" t="s">
        <v>277</v>
      </c>
      <c r="E15" s="474" t="s">
        <v>279</v>
      </c>
      <c r="F15" s="474" t="s">
        <v>280</v>
      </c>
      <c r="G15" s="473" t="s">
        <v>25</v>
      </c>
      <c r="H15" s="475" t="s">
        <v>319</v>
      </c>
      <c r="I15" s="476" t="s">
        <v>476</v>
      </c>
      <c r="J15" s="476" t="s">
        <v>309</v>
      </c>
      <c r="K15" s="476" t="s">
        <v>477</v>
      </c>
      <c r="L15" s="477" t="s">
        <v>15</v>
      </c>
      <c r="M15" s="478" t="s">
        <v>9</v>
      </c>
      <c r="N15" s="478" t="s">
        <v>16</v>
      </c>
      <c r="O15" s="477" t="s">
        <v>23</v>
      </c>
      <c r="P15" s="477" t="s">
        <v>24</v>
      </c>
      <c r="Q15" s="429"/>
      <c r="R15" s="613" t="s">
        <v>345</v>
      </c>
      <c r="S15" s="616" t="s">
        <v>346</v>
      </c>
      <c r="T15" s="613" t="s">
        <v>343</v>
      </c>
      <c r="U15" s="613" t="s">
        <v>344</v>
      </c>
      <c r="V15" s="429"/>
      <c r="W15" s="429"/>
      <c r="X15" s="429"/>
      <c r="Y15" s="429"/>
      <c r="Z15" s="429"/>
      <c r="AA15" s="429"/>
      <c r="AB15" s="429"/>
      <c r="AC15" s="429"/>
      <c r="AD15" s="429"/>
      <c r="AE15" s="429"/>
    </row>
    <row r="16" spans="1:31" s="430" customFormat="1" ht="16.5">
      <c r="A16" s="16">
        <v>1</v>
      </c>
      <c r="B16" s="16">
        <v>2</v>
      </c>
      <c r="C16" s="16">
        <v>3</v>
      </c>
      <c r="D16" s="16">
        <v>4</v>
      </c>
      <c r="E16" s="16">
        <v>5</v>
      </c>
      <c r="F16" s="391">
        <v>6</v>
      </c>
      <c r="G16" s="391">
        <v>7</v>
      </c>
      <c r="H16" s="475">
        <v>8</v>
      </c>
      <c r="I16" s="475">
        <v>9</v>
      </c>
      <c r="J16" s="475">
        <v>10</v>
      </c>
      <c r="K16" s="475">
        <v>11</v>
      </c>
      <c r="L16" s="391">
        <v>12</v>
      </c>
      <c r="M16" s="16">
        <v>13</v>
      </c>
      <c r="N16" s="16">
        <v>14</v>
      </c>
      <c r="O16" s="16">
        <v>15</v>
      </c>
      <c r="P16" s="16" t="s">
        <v>320</v>
      </c>
      <c r="Q16" s="429"/>
      <c r="V16" s="429"/>
      <c r="W16" s="429"/>
      <c r="X16" s="429"/>
      <c r="Y16" s="429"/>
      <c r="Z16" s="429"/>
      <c r="AA16" s="429"/>
      <c r="AB16" s="429"/>
      <c r="AC16" s="429"/>
      <c r="AD16" s="429"/>
      <c r="AE16" s="429"/>
    </row>
    <row r="17" spans="1:31" s="779" customFormat="1" ht="47.25">
      <c r="A17" s="768"/>
      <c r="B17" s="954" t="str">
        <f>'Sch-1'!B17</f>
        <v>Extn. works at 765/400kV Banaskantha S/S</v>
      </c>
      <c r="C17" s="955"/>
      <c r="D17" s="955"/>
      <c r="E17" s="955"/>
      <c r="F17" s="956"/>
      <c r="G17" s="762"/>
      <c r="H17" s="762"/>
      <c r="I17" s="769"/>
      <c r="J17" s="762"/>
      <c r="K17" s="770"/>
      <c r="L17" s="761"/>
      <c r="M17" s="762"/>
      <c r="N17" s="762"/>
      <c r="O17" s="763"/>
      <c r="P17" s="771"/>
      <c r="Q17" s="772"/>
      <c r="R17" s="773"/>
      <c r="S17" s="774"/>
      <c r="T17" s="773"/>
      <c r="U17" s="775"/>
      <c r="V17" s="776"/>
      <c r="W17" s="851" t="s">
        <v>511</v>
      </c>
      <c r="X17" s="852" t="s">
        <v>519</v>
      </c>
      <c r="Y17" s="856" t="s">
        <v>512</v>
      </c>
      <c r="Z17" s="777" t="s">
        <v>520</v>
      </c>
      <c r="AA17" s="777"/>
      <c r="AB17" s="778"/>
      <c r="AC17" s="778"/>
      <c r="AD17" s="778"/>
      <c r="AE17" s="778"/>
    </row>
    <row r="18" spans="1:31" s="727" customFormat="1" ht="31.5">
      <c r="A18" s="709">
        <v>1</v>
      </c>
      <c r="B18" s="542">
        <v>7000016907</v>
      </c>
      <c r="C18" s="542">
        <v>1000</v>
      </c>
      <c r="D18" s="542">
        <v>1290</v>
      </c>
      <c r="E18" s="542">
        <v>10</v>
      </c>
      <c r="F18" s="542" t="s">
        <v>663</v>
      </c>
      <c r="G18" s="542">
        <v>100000134</v>
      </c>
      <c r="H18" s="542">
        <v>998736</v>
      </c>
      <c r="I18" s="543"/>
      <c r="J18" s="542">
        <v>18</v>
      </c>
      <c r="K18" s="541"/>
      <c r="L18" s="540" t="s">
        <v>677</v>
      </c>
      <c r="M18" s="542" t="s">
        <v>299</v>
      </c>
      <c r="N18" s="542">
        <v>1</v>
      </c>
      <c r="O18" s="717"/>
      <c r="P18" s="539" t="str">
        <f t="shared" ref="P18:P126" si="0">IF(O18=0, "INCLUDED", IF(ISERROR(N18*O18), O18, N18*O18))</f>
        <v>INCLUDED</v>
      </c>
      <c r="Q18" s="723">
        <f t="shared" ref="Q18:Q126" si="1">IF(P18="Included",0,P18)</f>
        <v>0</v>
      </c>
      <c r="R18" s="446">
        <f t="shared" ref="R18:R126" si="2">IF( K18="",J18*(IF(P18="Included",0,P18))/100,K18*(IF(P18="Included",0,P18)))</f>
        <v>0</v>
      </c>
      <c r="S18" s="612">
        <f>Discount!$J$36</f>
        <v>0</v>
      </c>
      <c r="T18" s="446">
        <f t="shared" ref="T18:T126" si="3">S18*Q18</f>
        <v>0</v>
      </c>
      <c r="U18" s="447">
        <f t="shared" ref="U18:U126" si="4">IF(K18="",J18*T18/100,K18*T18)</f>
        <v>0</v>
      </c>
      <c r="V18" s="724">
        <f t="shared" ref="V18:V126" si="5">O18*N18</f>
        <v>0</v>
      </c>
      <c r="W18" s="857">
        <f>ROUND(O18,2)</f>
        <v>0</v>
      </c>
      <c r="X18" s="724">
        <f>N18*W18</f>
        <v>0</v>
      </c>
      <c r="Y18" s="725">
        <f>IF(K18="",J18/100,K18)</f>
        <v>0.18</v>
      </c>
      <c r="Z18" s="724">
        <f>X18*Y18</f>
        <v>0</v>
      </c>
      <c r="AA18" s="725"/>
      <c r="AB18" s="726"/>
      <c r="AC18" s="726"/>
      <c r="AD18" s="726"/>
      <c r="AE18" s="726"/>
    </row>
    <row r="19" spans="1:31" s="727" customFormat="1" ht="31.5">
      <c r="A19" s="709">
        <v>2</v>
      </c>
      <c r="B19" s="542">
        <v>7000016907</v>
      </c>
      <c r="C19" s="542">
        <v>1000</v>
      </c>
      <c r="D19" s="542">
        <v>1290</v>
      </c>
      <c r="E19" s="542">
        <v>30</v>
      </c>
      <c r="F19" s="542" t="s">
        <v>663</v>
      </c>
      <c r="G19" s="542">
        <v>100000143</v>
      </c>
      <c r="H19" s="542">
        <v>998736</v>
      </c>
      <c r="I19" s="543"/>
      <c r="J19" s="542">
        <v>18</v>
      </c>
      <c r="K19" s="541"/>
      <c r="L19" s="540" t="s">
        <v>678</v>
      </c>
      <c r="M19" s="542" t="s">
        <v>299</v>
      </c>
      <c r="N19" s="542">
        <v>3</v>
      </c>
      <c r="O19" s="717"/>
      <c r="P19" s="539" t="str">
        <f t="shared" si="0"/>
        <v>INCLUDED</v>
      </c>
      <c r="Q19" s="723">
        <f t="shared" si="1"/>
        <v>0</v>
      </c>
      <c r="R19" s="446">
        <f t="shared" si="2"/>
        <v>0</v>
      </c>
      <c r="S19" s="612">
        <f>Discount!$J$36</f>
        <v>0</v>
      </c>
      <c r="T19" s="446">
        <f t="shared" si="3"/>
        <v>0</v>
      </c>
      <c r="U19" s="447">
        <f t="shared" si="4"/>
        <v>0</v>
      </c>
      <c r="V19" s="724">
        <f t="shared" si="5"/>
        <v>0</v>
      </c>
      <c r="W19" s="857">
        <f t="shared" ref="W19:W127" si="6">ROUND(O19,2)</f>
        <v>0</v>
      </c>
      <c r="X19" s="724">
        <f t="shared" ref="X19:X127" si="7">N19*W19</f>
        <v>0</v>
      </c>
      <c r="Y19" s="725">
        <f t="shared" ref="Y19:Y127" si="8">IF(K19="",J19/100,K19)</f>
        <v>0.18</v>
      </c>
      <c r="Z19" s="724">
        <f t="shared" ref="Z19:Z127" si="9">X19*Y19</f>
        <v>0</v>
      </c>
      <c r="AA19" s="725"/>
      <c r="AB19" s="726"/>
      <c r="AC19" s="726"/>
      <c r="AD19" s="726"/>
      <c r="AE19" s="726"/>
    </row>
    <row r="20" spans="1:31" s="727" customFormat="1" ht="31.5">
      <c r="A20" s="709">
        <v>3</v>
      </c>
      <c r="B20" s="542">
        <v>7000016907</v>
      </c>
      <c r="C20" s="542">
        <v>1000</v>
      </c>
      <c r="D20" s="542">
        <v>1290</v>
      </c>
      <c r="E20" s="542">
        <v>40</v>
      </c>
      <c r="F20" s="542" t="s">
        <v>663</v>
      </c>
      <c r="G20" s="542">
        <v>100000171</v>
      </c>
      <c r="H20" s="542">
        <v>998736</v>
      </c>
      <c r="I20" s="543"/>
      <c r="J20" s="542">
        <v>18</v>
      </c>
      <c r="K20" s="541"/>
      <c r="L20" s="540" t="s">
        <v>759</v>
      </c>
      <c r="M20" s="542" t="s">
        <v>299</v>
      </c>
      <c r="N20" s="542">
        <v>1</v>
      </c>
      <c r="O20" s="717"/>
      <c r="P20" s="539" t="str">
        <f t="shared" si="0"/>
        <v>INCLUDED</v>
      </c>
      <c r="Q20" s="723">
        <f t="shared" si="1"/>
        <v>0</v>
      </c>
      <c r="R20" s="446">
        <f t="shared" si="2"/>
        <v>0</v>
      </c>
      <c r="S20" s="612">
        <f>Discount!$J$36</f>
        <v>0</v>
      </c>
      <c r="T20" s="446">
        <f t="shared" si="3"/>
        <v>0</v>
      </c>
      <c r="U20" s="447">
        <f t="shared" si="4"/>
        <v>0</v>
      </c>
      <c r="V20" s="724">
        <f t="shared" si="5"/>
        <v>0</v>
      </c>
      <c r="W20" s="857">
        <f t="shared" si="6"/>
        <v>0</v>
      </c>
      <c r="X20" s="724">
        <f t="shared" si="7"/>
        <v>0</v>
      </c>
      <c r="Y20" s="725">
        <f t="shared" si="8"/>
        <v>0.18</v>
      </c>
      <c r="Z20" s="724">
        <f t="shared" si="9"/>
        <v>0</v>
      </c>
      <c r="AA20" s="725"/>
      <c r="AB20" s="726"/>
      <c r="AC20" s="726"/>
      <c r="AD20" s="726"/>
      <c r="AE20" s="726"/>
    </row>
    <row r="21" spans="1:31" s="727" customFormat="1" ht="31.5">
      <c r="A21" s="709">
        <v>4</v>
      </c>
      <c r="B21" s="542">
        <v>7000016907</v>
      </c>
      <c r="C21" s="542">
        <v>1000</v>
      </c>
      <c r="D21" s="542">
        <v>1290</v>
      </c>
      <c r="E21" s="542">
        <v>50</v>
      </c>
      <c r="F21" s="542" t="s">
        <v>663</v>
      </c>
      <c r="G21" s="542">
        <v>100000178</v>
      </c>
      <c r="H21" s="542">
        <v>998736</v>
      </c>
      <c r="I21" s="543"/>
      <c r="J21" s="542">
        <v>18</v>
      </c>
      <c r="K21" s="541"/>
      <c r="L21" s="540" t="s">
        <v>681</v>
      </c>
      <c r="M21" s="542" t="s">
        <v>299</v>
      </c>
      <c r="N21" s="542">
        <v>6</v>
      </c>
      <c r="O21" s="717"/>
      <c r="P21" s="539" t="str">
        <f t="shared" si="0"/>
        <v>INCLUDED</v>
      </c>
      <c r="Q21" s="723">
        <f t="shared" si="1"/>
        <v>0</v>
      </c>
      <c r="R21" s="446">
        <f t="shared" si="2"/>
        <v>0</v>
      </c>
      <c r="S21" s="612">
        <f>Discount!$J$36</f>
        <v>0</v>
      </c>
      <c r="T21" s="446">
        <f t="shared" si="3"/>
        <v>0</v>
      </c>
      <c r="U21" s="447">
        <f t="shared" si="4"/>
        <v>0</v>
      </c>
      <c r="V21" s="724">
        <f t="shared" si="5"/>
        <v>0</v>
      </c>
      <c r="W21" s="857">
        <f t="shared" si="6"/>
        <v>0</v>
      </c>
      <c r="X21" s="724">
        <f t="shared" si="7"/>
        <v>0</v>
      </c>
      <c r="Y21" s="725">
        <f t="shared" si="8"/>
        <v>0.18</v>
      </c>
      <c r="Z21" s="724">
        <f t="shared" si="9"/>
        <v>0</v>
      </c>
      <c r="AA21" s="725"/>
      <c r="AB21" s="726"/>
      <c r="AC21" s="726"/>
      <c r="AD21" s="726"/>
      <c r="AE21" s="726"/>
    </row>
    <row r="22" spans="1:31" s="727" customFormat="1" ht="31.5">
      <c r="A22" s="709">
        <v>5</v>
      </c>
      <c r="B22" s="542">
        <v>7000016907</v>
      </c>
      <c r="C22" s="542">
        <v>1000</v>
      </c>
      <c r="D22" s="542">
        <v>1290</v>
      </c>
      <c r="E22" s="542">
        <v>60</v>
      </c>
      <c r="F22" s="542" t="s">
        <v>663</v>
      </c>
      <c r="G22" s="542">
        <v>100000180</v>
      </c>
      <c r="H22" s="542">
        <v>998736</v>
      </c>
      <c r="I22" s="543"/>
      <c r="J22" s="542">
        <v>18</v>
      </c>
      <c r="K22" s="541"/>
      <c r="L22" s="540" t="s">
        <v>760</v>
      </c>
      <c r="M22" s="542" t="s">
        <v>299</v>
      </c>
      <c r="N22" s="542">
        <v>3</v>
      </c>
      <c r="O22" s="717"/>
      <c r="P22" s="539" t="str">
        <f t="shared" si="0"/>
        <v>INCLUDED</v>
      </c>
      <c r="Q22" s="723">
        <f t="shared" si="1"/>
        <v>0</v>
      </c>
      <c r="R22" s="446">
        <f t="shared" si="2"/>
        <v>0</v>
      </c>
      <c r="S22" s="612">
        <f>Discount!$J$36</f>
        <v>0</v>
      </c>
      <c r="T22" s="446">
        <f t="shared" si="3"/>
        <v>0</v>
      </c>
      <c r="U22" s="447">
        <f t="shared" si="4"/>
        <v>0</v>
      </c>
      <c r="V22" s="724">
        <f t="shared" si="5"/>
        <v>0</v>
      </c>
      <c r="W22" s="857">
        <f t="shared" si="6"/>
        <v>0</v>
      </c>
      <c r="X22" s="724">
        <f t="shared" si="7"/>
        <v>0</v>
      </c>
      <c r="Y22" s="725">
        <f t="shared" si="8"/>
        <v>0.18</v>
      </c>
      <c r="Z22" s="724">
        <f t="shared" si="9"/>
        <v>0</v>
      </c>
      <c r="AA22" s="725"/>
      <c r="AB22" s="726"/>
      <c r="AC22" s="726"/>
      <c r="AD22" s="726"/>
      <c r="AE22" s="726"/>
    </row>
    <row r="23" spans="1:31" s="727" customFormat="1" ht="31.5">
      <c r="A23" s="709">
        <v>6</v>
      </c>
      <c r="B23" s="542">
        <v>7000016907</v>
      </c>
      <c r="C23" s="542">
        <v>1000</v>
      </c>
      <c r="D23" s="542">
        <v>1290</v>
      </c>
      <c r="E23" s="542">
        <v>70</v>
      </c>
      <c r="F23" s="542" t="s">
        <v>663</v>
      </c>
      <c r="G23" s="542">
        <v>100000183</v>
      </c>
      <c r="H23" s="542">
        <v>998736</v>
      </c>
      <c r="I23" s="543"/>
      <c r="J23" s="542">
        <v>18</v>
      </c>
      <c r="K23" s="541"/>
      <c r="L23" s="540" t="s">
        <v>682</v>
      </c>
      <c r="M23" s="542" t="s">
        <v>299</v>
      </c>
      <c r="N23" s="542">
        <v>3</v>
      </c>
      <c r="O23" s="717"/>
      <c r="P23" s="539" t="str">
        <f t="shared" si="0"/>
        <v>INCLUDED</v>
      </c>
      <c r="Q23" s="723">
        <f t="shared" si="1"/>
        <v>0</v>
      </c>
      <c r="R23" s="446">
        <f t="shared" si="2"/>
        <v>0</v>
      </c>
      <c r="S23" s="612">
        <f>Discount!$J$36</f>
        <v>0</v>
      </c>
      <c r="T23" s="446">
        <f t="shared" si="3"/>
        <v>0</v>
      </c>
      <c r="U23" s="447">
        <f t="shared" si="4"/>
        <v>0</v>
      </c>
      <c r="V23" s="724">
        <f t="shared" si="5"/>
        <v>0</v>
      </c>
      <c r="W23" s="857">
        <f t="shared" si="6"/>
        <v>0</v>
      </c>
      <c r="X23" s="724">
        <f t="shared" si="7"/>
        <v>0</v>
      </c>
      <c r="Y23" s="725">
        <f t="shared" si="8"/>
        <v>0.18</v>
      </c>
      <c r="Z23" s="724">
        <f t="shared" si="9"/>
        <v>0</v>
      </c>
      <c r="AA23" s="725"/>
      <c r="AB23" s="726"/>
      <c r="AC23" s="726"/>
      <c r="AD23" s="726"/>
      <c r="AE23" s="726"/>
    </row>
    <row r="24" spans="1:31" s="727" customFormat="1" ht="31.5">
      <c r="A24" s="709">
        <v>7</v>
      </c>
      <c r="B24" s="542">
        <v>7000016907</v>
      </c>
      <c r="C24" s="542">
        <v>1000</v>
      </c>
      <c r="D24" s="542">
        <v>1290</v>
      </c>
      <c r="E24" s="542">
        <v>80</v>
      </c>
      <c r="F24" s="542" t="s">
        <v>663</v>
      </c>
      <c r="G24" s="542">
        <v>100000194</v>
      </c>
      <c r="H24" s="542">
        <v>998736</v>
      </c>
      <c r="I24" s="543"/>
      <c r="J24" s="542">
        <v>18</v>
      </c>
      <c r="K24" s="541"/>
      <c r="L24" s="540" t="s">
        <v>761</v>
      </c>
      <c r="M24" s="542" t="s">
        <v>300</v>
      </c>
      <c r="N24" s="542">
        <v>3</v>
      </c>
      <c r="O24" s="717"/>
      <c r="P24" s="539" t="str">
        <f t="shared" si="0"/>
        <v>INCLUDED</v>
      </c>
      <c r="Q24" s="723">
        <f t="shared" si="1"/>
        <v>0</v>
      </c>
      <c r="R24" s="446">
        <f t="shared" si="2"/>
        <v>0</v>
      </c>
      <c r="S24" s="612">
        <f>Discount!$J$36</f>
        <v>0</v>
      </c>
      <c r="T24" s="446">
        <f t="shared" si="3"/>
        <v>0</v>
      </c>
      <c r="U24" s="447">
        <f t="shared" si="4"/>
        <v>0</v>
      </c>
      <c r="V24" s="724">
        <f t="shared" si="5"/>
        <v>0</v>
      </c>
      <c r="W24" s="857">
        <f t="shared" si="6"/>
        <v>0</v>
      </c>
      <c r="X24" s="724">
        <f t="shared" si="7"/>
        <v>0</v>
      </c>
      <c r="Y24" s="725">
        <f t="shared" si="8"/>
        <v>0.18</v>
      </c>
      <c r="Z24" s="724">
        <f t="shared" si="9"/>
        <v>0</v>
      </c>
      <c r="AA24" s="725"/>
      <c r="AB24" s="726"/>
      <c r="AC24" s="726"/>
      <c r="AD24" s="726"/>
      <c r="AE24" s="726"/>
    </row>
    <row r="25" spans="1:31" s="727" customFormat="1" ht="31.5">
      <c r="A25" s="709">
        <v>8</v>
      </c>
      <c r="B25" s="542">
        <v>7000016907</v>
      </c>
      <c r="C25" s="542">
        <v>1010</v>
      </c>
      <c r="D25" s="542">
        <v>1310</v>
      </c>
      <c r="E25" s="542">
        <v>20</v>
      </c>
      <c r="F25" s="542" t="s">
        <v>581</v>
      </c>
      <c r="G25" s="542">
        <v>100005443</v>
      </c>
      <c r="H25" s="542">
        <v>998734</v>
      </c>
      <c r="I25" s="543"/>
      <c r="J25" s="542">
        <v>18</v>
      </c>
      <c r="K25" s="541"/>
      <c r="L25" s="540" t="s">
        <v>558</v>
      </c>
      <c r="M25" s="542" t="s">
        <v>299</v>
      </c>
      <c r="N25" s="542">
        <v>60</v>
      </c>
      <c r="O25" s="717"/>
      <c r="P25" s="539" t="str">
        <f t="shared" si="0"/>
        <v>INCLUDED</v>
      </c>
      <c r="Q25" s="723">
        <f t="shared" si="1"/>
        <v>0</v>
      </c>
      <c r="R25" s="446">
        <f t="shared" si="2"/>
        <v>0</v>
      </c>
      <c r="S25" s="612">
        <f>Discount!$J$36</f>
        <v>0</v>
      </c>
      <c r="T25" s="446">
        <f t="shared" si="3"/>
        <v>0</v>
      </c>
      <c r="U25" s="447">
        <f t="shared" si="4"/>
        <v>0</v>
      </c>
      <c r="V25" s="724">
        <f t="shared" si="5"/>
        <v>0</v>
      </c>
      <c r="W25" s="857">
        <f t="shared" si="6"/>
        <v>0</v>
      </c>
      <c r="X25" s="724">
        <f t="shared" si="7"/>
        <v>0</v>
      </c>
      <c r="Y25" s="725">
        <f t="shared" si="8"/>
        <v>0.18</v>
      </c>
      <c r="Z25" s="724">
        <f t="shared" si="9"/>
        <v>0</v>
      </c>
      <c r="AA25" s="725"/>
      <c r="AB25" s="726"/>
      <c r="AC25" s="726"/>
      <c r="AD25" s="726"/>
      <c r="AE25" s="726"/>
    </row>
    <row r="26" spans="1:31" s="727" customFormat="1" ht="31.5">
      <c r="A26" s="709">
        <v>9</v>
      </c>
      <c r="B26" s="542">
        <v>7000016907</v>
      </c>
      <c r="C26" s="542">
        <v>1010</v>
      </c>
      <c r="D26" s="542">
        <v>1310</v>
      </c>
      <c r="E26" s="542">
        <v>30</v>
      </c>
      <c r="F26" s="542" t="s">
        <v>581</v>
      </c>
      <c r="G26" s="542">
        <v>100000328</v>
      </c>
      <c r="H26" s="542">
        <v>998736</v>
      </c>
      <c r="I26" s="543"/>
      <c r="J26" s="542">
        <v>18</v>
      </c>
      <c r="K26" s="541"/>
      <c r="L26" s="540" t="s">
        <v>531</v>
      </c>
      <c r="M26" s="542" t="s">
        <v>299</v>
      </c>
      <c r="N26" s="542">
        <v>9</v>
      </c>
      <c r="O26" s="717"/>
      <c r="P26" s="539" t="str">
        <f t="shared" si="0"/>
        <v>INCLUDED</v>
      </c>
      <c r="Q26" s="723">
        <f t="shared" si="1"/>
        <v>0</v>
      </c>
      <c r="R26" s="446">
        <f t="shared" si="2"/>
        <v>0</v>
      </c>
      <c r="S26" s="612">
        <f>Discount!$J$36</f>
        <v>0</v>
      </c>
      <c r="T26" s="446">
        <f t="shared" si="3"/>
        <v>0</v>
      </c>
      <c r="U26" s="447">
        <f t="shared" si="4"/>
        <v>0</v>
      </c>
      <c r="V26" s="724">
        <f t="shared" si="5"/>
        <v>0</v>
      </c>
      <c r="W26" s="857">
        <f t="shared" si="6"/>
        <v>0</v>
      </c>
      <c r="X26" s="724">
        <f t="shared" si="7"/>
        <v>0</v>
      </c>
      <c r="Y26" s="725">
        <f t="shared" si="8"/>
        <v>0.18</v>
      </c>
      <c r="Z26" s="724">
        <f t="shared" si="9"/>
        <v>0</v>
      </c>
      <c r="AA26" s="725"/>
      <c r="AB26" s="726"/>
      <c r="AC26" s="726"/>
      <c r="AD26" s="726"/>
      <c r="AE26" s="726"/>
    </row>
    <row r="27" spans="1:31" s="727" customFormat="1" ht="31.5">
      <c r="A27" s="709">
        <v>10</v>
      </c>
      <c r="B27" s="542">
        <v>7000016907</v>
      </c>
      <c r="C27" s="542">
        <v>1010</v>
      </c>
      <c r="D27" s="542">
        <v>1310</v>
      </c>
      <c r="E27" s="542">
        <v>40</v>
      </c>
      <c r="F27" s="542" t="s">
        <v>581</v>
      </c>
      <c r="G27" s="542">
        <v>100000327</v>
      </c>
      <c r="H27" s="542">
        <v>998736</v>
      </c>
      <c r="I27" s="543"/>
      <c r="J27" s="542">
        <v>18</v>
      </c>
      <c r="K27" s="541"/>
      <c r="L27" s="540" t="s">
        <v>684</v>
      </c>
      <c r="M27" s="542" t="s">
        <v>299</v>
      </c>
      <c r="N27" s="542">
        <v>3</v>
      </c>
      <c r="O27" s="717"/>
      <c r="P27" s="539" t="str">
        <f t="shared" si="0"/>
        <v>INCLUDED</v>
      </c>
      <c r="Q27" s="723">
        <f t="shared" si="1"/>
        <v>0</v>
      </c>
      <c r="R27" s="446">
        <f t="shared" si="2"/>
        <v>0</v>
      </c>
      <c r="S27" s="612">
        <f>Discount!$J$36</f>
        <v>0</v>
      </c>
      <c r="T27" s="446">
        <f t="shared" si="3"/>
        <v>0</v>
      </c>
      <c r="U27" s="447">
        <f t="shared" si="4"/>
        <v>0</v>
      </c>
      <c r="V27" s="724">
        <f t="shared" si="5"/>
        <v>0</v>
      </c>
      <c r="W27" s="857">
        <f t="shared" si="6"/>
        <v>0</v>
      </c>
      <c r="X27" s="724">
        <f t="shared" si="7"/>
        <v>0</v>
      </c>
      <c r="Y27" s="725">
        <f t="shared" si="8"/>
        <v>0.18</v>
      </c>
      <c r="Z27" s="724">
        <f t="shared" si="9"/>
        <v>0</v>
      </c>
      <c r="AA27" s="725"/>
      <c r="AB27" s="726"/>
      <c r="AC27" s="726"/>
      <c r="AD27" s="726"/>
      <c r="AE27" s="726"/>
    </row>
    <row r="28" spans="1:31" s="727" customFormat="1" ht="31.5">
      <c r="A28" s="709">
        <v>11</v>
      </c>
      <c r="B28" s="542">
        <v>7000016907</v>
      </c>
      <c r="C28" s="542">
        <v>1010</v>
      </c>
      <c r="D28" s="542">
        <v>1310</v>
      </c>
      <c r="E28" s="542">
        <v>50</v>
      </c>
      <c r="F28" s="542" t="s">
        <v>581</v>
      </c>
      <c r="G28" s="542">
        <v>100000326</v>
      </c>
      <c r="H28" s="542">
        <v>998736</v>
      </c>
      <c r="I28" s="543"/>
      <c r="J28" s="542">
        <v>18</v>
      </c>
      <c r="K28" s="541"/>
      <c r="L28" s="540" t="s">
        <v>685</v>
      </c>
      <c r="M28" s="542" t="s">
        <v>299</v>
      </c>
      <c r="N28" s="542">
        <v>3</v>
      </c>
      <c r="O28" s="717"/>
      <c r="P28" s="539" t="str">
        <f t="shared" si="0"/>
        <v>INCLUDED</v>
      </c>
      <c r="Q28" s="723">
        <f t="shared" si="1"/>
        <v>0</v>
      </c>
      <c r="R28" s="446">
        <f t="shared" si="2"/>
        <v>0</v>
      </c>
      <c r="S28" s="612">
        <f>Discount!$J$36</f>
        <v>0</v>
      </c>
      <c r="T28" s="446">
        <f t="shared" si="3"/>
        <v>0</v>
      </c>
      <c r="U28" s="447">
        <f t="shared" si="4"/>
        <v>0</v>
      </c>
      <c r="V28" s="724">
        <f t="shared" si="5"/>
        <v>0</v>
      </c>
      <c r="W28" s="857">
        <f t="shared" si="6"/>
        <v>0</v>
      </c>
      <c r="X28" s="724">
        <f t="shared" si="7"/>
        <v>0</v>
      </c>
      <c r="Y28" s="725">
        <f t="shared" si="8"/>
        <v>0.18</v>
      </c>
      <c r="Z28" s="724">
        <f t="shared" si="9"/>
        <v>0</v>
      </c>
      <c r="AA28" s="725"/>
      <c r="AB28" s="726"/>
      <c r="AC28" s="726"/>
      <c r="AD28" s="726"/>
      <c r="AE28" s="726"/>
    </row>
    <row r="29" spans="1:31" s="727" customFormat="1" ht="31.5">
      <c r="A29" s="709">
        <v>12</v>
      </c>
      <c r="B29" s="542">
        <v>7000016907</v>
      </c>
      <c r="C29" s="542">
        <v>1010</v>
      </c>
      <c r="D29" s="542">
        <v>1310</v>
      </c>
      <c r="E29" s="542">
        <v>60</v>
      </c>
      <c r="F29" s="542" t="s">
        <v>581</v>
      </c>
      <c r="G29" s="542">
        <v>100000287</v>
      </c>
      <c r="H29" s="542">
        <v>998736</v>
      </c>
      <c r="I29" s="543"/>
      <c r="J29" s="542">
        <v>18</v>
      </c>
      <c r="K29" s="541"/>
      <c r="L29" s="540" t="s">
        <v>587</v>
      </c>
      <c r="M29" s="542" t="s">
        <v>299</v>
      </c>
      <c r="N29" s="542">
        <v>13</v>
      </c>
      <c r="O29" s="717"/>
      <c r="P29" s="539" t="str">
        <f t="shared" si="0"/>
        <v>INCLUDED</v>
      </c>
      <c r="Q29" s="723">
        <f t="shared" si="1"/>
        <v>0</v>
      </c>
      <c r="R29" s="446">
        <f t="shared" si="2"/>
        <v>0</v>
      </c>
      <c r="S29" s="612">
        <f>Discount!$J$36</f>
        <v>0</v>
      </c>
      <c r="T29" s="446">
        <f t="shared" si="3"/>
        <v>0</v>
      </c>
      <c r="U29" s="447">
        <f t="shared" si="4"/>
        <v>0</v>
      </c>
      <c r="V29" s="724">
        <f t="shared" si="5"/>
        <v>0</v>
      </c>
      <c r="W29" s="857">
        <f t="shared" si="6"/>
        <v>0</v>
      </c>
      <c r="X29" s="724">
        <f t="shared" si="7"/>
        <v>0</v>
      </c>
      <c r="Y29" s="725">
        <f t="shared" si="8"/>
        <v>0.18</v>
      </c>
      <c r="Z29" s="724">
        <f t="shared" si="9"/>
        <v>0</v>
      </c>
      <c r="AA29" s="725"/>
      <c r="AB29" s="726"/>
      <c r="AC29" s="726"/>
      <c r="AD29" s="726"/>
      <c r="AE29" s="726"/>
    </row>
    <row r="30" spans="1:31" s="727" customFormat="1" ht="31.5">
      <c r="A30" s="709">
        <v>13</v>
      </c>
      <c r="B30" s="542">
        <v>7000016907</v>
      </c>
      <c r="C30" s="542">
        <v>1010</v>
      </c>
      <c r="D30" s="542">
        <v>1310</v>
      </c>
      <c r="E30" s="542">
        <v>70</v>
      </c>
      <c r="F30" s="542" t="s">
        <v>581</v>
      </c>
      <c r="G30" s="542">
        <v>100000275</v>
      </c>
      <c r="H30" s="542">
        <v>998736</v>
      </c>
      <c r="I30" s="543"/>
      <c r="J30" s="542">
        <v>18</v>
      </c>
      <c r="K30" s="541"/>
      <c r="L30" s="540" t="s">
        <v>586</v>
      </c>
      <c r="M30" s="542" t="s">
        <v>299</v>
      </c>
      <c r="N30" s="542">
        <v>6</v>
      </c>
      <c r="O30" s="717"/>
      <c r="P30" s="539" t="str">
        <f t="shared" si="0"/>
        <v>INCLUDED</v>
      </c>
      <c r="Q30" s="723">
        <f t="shared" si="1"/>
        <v>0</v>
      </c>
      <c r="R30" s="446">
        <f t="shared" si="2"/>
        <v>0</v>
      </c>
      <c r="S30" s="612">
        <f>Discount!$J$36</f>
        <v>0</v>
      </c>
      <c r="T30" s="446">
        <f t="shared" si="3"/>
        <v>0</v>
      </c>
      <c r="U30" s="447">
        <f t="shared" si="4"/>
        <v>0</v>
      </c>
      <c r="V30" s="724">
        <f t="shared" si="5"/>
        <v>0</v>
      </c>
      <c r="W30" s="857">
        <f t="shared" si="6"/>
        <v>0</v>
      </c>
      <c r="X30" s="724">
        <f t="shared" si="7"/>
        <v>0</v>
      </c>
      <c r="Y30" s="725">
        <f t="shared" si="8"/>
        <v>0.18</v>
      </c>
      <c r="Z30" s="724">
        <f t="shared" si="9"/>
        <v>0</v>
      </c>
      <c r="AA30" s="725"/>
      <c r="AB30" s="726"/>
      <c r="AC30" s="726"/>
      <c r="AD30" s="726"/>
      <c r="AE30" s="726"/>
    </row>
    <row r="31" spans="1:31" s="727" customFormat="1" ht="31.5">
      <c r="A31" s="709">
        <v>14</v>
      </c>
      <c r="B31" s="542">
        <v>7000016907</v>
      </c>
      <c r="C31" s="542">
        <v>1010</v>
      </c>
      <c r="D31" s="542">
        <v>1310</v>
      </c>
      <c r="E31" s="542">
        <v>80</v>
      </c>
      <c r="F31" s="542" t="s">
        <v>581</v>
      </c>
      <c r="G31" s="542">
        <v>100000274</v>
      </c>
      <c r="H31" s="542">
        <v>998736</v>
      </c>
      <c r="I31" s="543"/>
      <c r="J31" s="542">
        <v>18</v>
      </c>
      <c r="K31" s="541"/>
      <c r="L31" s="540" t="s">
        <v>585</v>
      </c>
      <c r="M31" s="542" t="s">
        <v>299</v>
      </c>
      <c r="N31" s="542">
        <v>15</v>
      </c>
      <c r="O31" s="717"/>
      <c r="P31" s="539" t="str">
        <f t="shared" si="0"/>
        <v>INCLUDED</v>
      </c>
      <c r="Q31" s="723">
        <f t="shared" si="1"/>
        <v>0</v>
      </c>
      <c r="R31" s="446">
        <f t="shared" si="2"/>
        <v>0</v>
      </c>
      <c r="S31" s="612">
        <f>Discount!$J$36</f>
        <v>0</v>
      </c>
      <c r="T31" s="446">
        <f t="shared" si="3"/>
        <v>0</v>
      </c>
      <c r="U31" s="447">
        <f t="shared" si="4"/>
        <v>0</v>
      </c>
      <c r="V31" s="724">
        <f t="shared" si="5"/>
        <v>0</v>
      </c>
      <c r="W31" s="857">
        <f t="shared" si="6"/>
        <v>0</v>
      </c>
      <c r="X31" s="724">
        <f t="shared" si="7"/>
        <v>0</v>
      </c>
      <c r="Y31" s="725">
        <f t="shared" si="8"/>
        <v>0.18</v>
      </c>
      <c r="Z31" s="724">
        <f t="shared" si="9"/>
        <v>0</v>
      </c>
      <c r="AA31" s="725"/>
      <c r="AB31" s="726"/>
      <c r="AC31" s="726"/>
      <c r="AD31" s="726"/>
      <c r="AE31" s="726"/>
    </row>
    <row r="32" spans="1:31" s="727" customFormat="1" ht="31.5">
      <c r="A32" s="709">
        <v>15</v>
      </c>
      <c r="B32" s="542">
        <v>7000016907</v>
      </c>
      <c r="C32" s="542">
        <v>1010</v>
      </c>
      <c r="D32" s="542">
        <v>1310</v>
      </c>
      <c r="E32" s="542">
        <v>90</v>
      </c>
      <c r="F32" s="542" t="s">
        <v>581</v>
      </c>
      <c r="G32" s="542">
        <v>100000267</v>
      </c>
      <c r="H32" s="542">
        <v>998736</v>
      </c>
      <c r="I32" s="543"/>
      <c r="J32" s="542">
        <v>18</v>
      </c>
      <c r="K32" s="541"/>
      <c r="L32" s="540" t="s">
        <v>629</v>
      </c>
      <c r="M32" s="542" t="s">
        <v>299</v>
      </c>
      <c r="N32" s="542">
        <v>5</v>
      </c>
      <c r="O32" s="717"/>
      <c r="P32" s="539" t="str">
        <f t="shared" si="0"/>
        <v>INCLUDED</v>
      </c>
      <c r="Q32" s="723">
        <f t="shared" si="1"/>
        <v>0</v>
      </c>
      <c r="R32" s="446">
        <f t="shared" si="2"/>
        <v>0</v>
      </c>
      <c r="S32" s="612">
        <f>Discount!$J$36</f>
        <v>0</v>
      </c>
      <c r="T32" s="446">
        <f t="shared" si="3"/>
        <v>0</v>
      </c>
      <c r="U32" s="447">
        <f t="shared" si="4"/>
        <v>0</v>
      </c>
      <c r="V32" s="724">
        <f t="shared" si="5"/>
        <v>0</v>
      </c>
      <c r="W32" s="857">
        <f t="shared" si="6"/>
        <v>0</v>
      </c>
      <c r="X32" s="724">
        <f t="shared" si="7"/>
        <v>0</v>
      </c>
      <c r="Y32" s="725">
        <f t="shared" si="8"/>
        <v>0.18</v>
      </c>
      <c r="Z32" s="724">
        <f t="shared" si="9"/>
        <v>0</v>
      </c>
      <c r="AA32" s="725"/>
      <c r="AB32" s="726"/>
      <c r="AC32" s="726"/>
      <c r="AD32" s="726"/>
      <c r="AE32" s="726"/>
    </row>
    <row r="33" spans="1:40" s="727" customFormat="1" ht="31.5">
      <c r="A33" s="709">
        <v>16</v>
      </c>
      <c r="B33" s="542">
        <v>7000016907</v>
      </c>
      <c r="C33" s="542">
        <v>1020</v>
      </c>
      <c r="D33" s="542">
        <v>1390</v>
      </c>
      <c r="E33" s="542">
        <v>10</v>
      </c>
      <c r="F33" s="542" t="s">
        <v>664</v>
      </c>
      <c r="G33" s="542">
        <v>100000011</v>
      </c>
      <c r="H33" s="542">
        <v>998736</v>
      </c>
      <c r="I33" s="543"/>
      <c r="J33" s="542">
        <v>18</v>
      </c>
      <c r="K33" s="541"/>
      <c r="L33" s="540" t="s">
        <v>762</v>
      </c>
      <c r="M33" s="542" t="s">
        <v>300</v>
      </c>
      <c r="N33" s="542">
        <v>1</v>
      </c>
      <c r="O33" s="717"/>
      <c r="P33" s="539" t="str">
        <f t="shared" si="0"/>
        <v>INCLUDED</v>
      </c>
      <c r="Q33" s="723">
        <f t="shared" si="1"/>
        <v>0</v>
      </c>
      <c r="R33" s="446">
        <f t="shared" si="2"/>
        <v>0</v>
      </c>
      <c r="S33" s="612">
        <f>Discount!$J$36</f>
        <v>0</v>
      </c>
      <c r="T33" s="446">
        <f t="shared" si="3"/>
        <v>0</v>
      </c>
      <c r="U33" s="447">
        <f t="shared" si="4"/>
        <v>0</v>
      </c>
      <c r="V33" s="724">
        <f t="shared" si="5"/>
        <v>0</v>
      </c>
      <c r="W33" s="857">
        <f t="shared" si="6"/>
        <v>0</v>
      </c>
      <c r="X33" s="724">
        <f t="shared" si="7"/>
        <v>0</v>
      </c>
      <c r="Y33" s="725">
        <f t="shared" si="8"/>
        <v>0.18</v>
      </c>
      <c r="Z33" s="724">
        <f t="shared" si="9"/>
        <v>0</v>
      </c>
      <c r="AA33" s="725"/>
      <c r="AB33" s="726"/>
      <c r="AC33" s="726"/>
      <c r="AD33" s="726"/>
      <c r="AE33" s="726"/>
    </row>
    <row r="34" spans="1:40" s="727" customFormat="1" ht="31.5">
      <c r="A34" s="709">
        <v>17</v>
      </c>
      <c r="B34" s="542">
        <v>7000016907</v>
      </c>
      <c r="C34" s="542">
        <v>1030</v>
      </c>
      <c r="D34" s="542">
        <v>1400</v>
      </c>
      <c r="E34" s="542">
        <v>10</v>
      </c>
      <c r="F34" s="542" t="s">
        <v>665</v>
      </c>
      <c r="G34" s="542">
        <v>100000193</v>
      </c>
      <c r="H34" s="542">
        <v>998731</v>
      </c>
      <c r="I34" s="543"/>
      <c r="J34" s="542">
        <v>18</v>
      </c>
      <c r="K34" s="541"/>
      <c r="L34" s="540" t="s">
        <v>763</v>
      </c>
      <c r="M34" s="542" t="s">
        <v>300</v>
      </c>
      <c r="N34" s="542">
        <v>1</v>
      </c>
      <c r="O34" s="717"/>
      <c r="P34" s="539" t="str">
        <f t="shared" si="0"/>
        <v>INCLUDED</v>
      </c>
      <c r="Q34" s="723">
        <f t="shared" si="1"/>
        <v>0</v>
      </c>
      <c r="R34" s="446">
        <f t="shared" si="2"/>
        <v>0</v>
      </c>
      <c r="S34" s="612">
        <f>Discount!$J$36</f>
        <v>0</v>
      </c>
      <c r="T34" s="446">
        <f t="shared" si="3"/>
        <v>0</v>
      </c>
      <c r="U34" s="447">
        <f t="shared" si="4"/>
        <v>0</v>
      </c>
      <c r="V34" s="724">
        <f t="shared" si="5"/>
        <v>0</v>
      </c>
      <c r="W34" s="857">
        <f t="shared" si="6"/>
        <v>0</v>
      </c>
      <c r="X34" s="724">
        <f t="shared" si="7"/>
        <v>0</v>
      </c>
      <c r="Y34" s="725">
        <f t="shared" si="8"/>
        <v>0.18</v>
      </c>
      <c r="Z34" s="724">
        <f t="shared" si="9"/>
        <v>0</v>
      </c>
      <c r="AA34" s="725"/>
      <c r="AB34" s="726"/>
      <c r="AC34" s="726"/>
      <c r="AD34" s="726"/>
      <c r="AE34" s="726"/>
    </row>
    <row r="35" spans="1:40" s="727" customFormat="1" ht="126">
      <c r="A35" s="709">
        <v>18</v>
      </c>
      <c r="B35" s="542">
        <v>7000016907</v>
      </c>
      <c r="C35" s="542">
        <v>1030</v>
      </c>
      <c r="D35" s="542">
        <v>1400</v>
      </c>
      <c r="E35" s="542">
        <v>20</v>
      </c>
      <c r="F35" s="542" t="s">
        <v>665</v>
      </c>
      <c r="G35" s="542">
        <v>100000005</v>
      </c>
      <c r="H35" s="542">
        <v>998736</v>
      </c>
      <c r="I35" s="543"/>
      <c r="J35" s="542">
        <v>18</v>
      </c>
      <c r="K35" s="541"/>
      <c r="L35" s="540" t="s">
        <v>764</v>
      </c>
      <c r="M35" s="542" t="s">
        <v>607</v>
      </c>
      <c r="N35" s="542">
        <v>1</v>
      </c>
      <c r="O35" s="717"/>
      <c r="P35" s="539" t="str">
        <f t="shared" si="0"/>
        <v>INCLUDED</v>
      </c>
      <c r="Q35" s="723">
        <f t="shared" si="1"/>
        <v>0</v>
      </c>
      <c r="R35" s="446">
        <f t="shared" si="2"/>
        <v>0</v>
      </c>
      <c r="S35" s="612">
        <f>Discount!$J$36</f>
        <v>0</v>
      </c>
      <c r="T35" s="446">
        <f t="shared" si="3"/>
        <v>0</v>
      </c>
      <c r="U35" s="447">
        <f t="shared" si="4"/>
        <v>0</v>
      </c>
      <c r="V35" s="724">
        <f t="shared" si="5"/>
        <v>0</v>
      </c>
      <c r="W35" s="857">
        <f t="shared" si="6"/>
        <v>0</v>
      </c>
      <c r="X35" s="724">
        <f t="shared" si="7"/>
        <v>0</v>
      </c>
      <c r="Y35" s="725">
        <f t="shared" si="8"/>
        <v>0.18</v>
      </c>
      <c r="Z35" s="724">
        <f t="shared" si="9"/>
        <v>0</v>
      </c>
      <c r="AA35" s="725"/>
      <c r="AB35" s="726"/>
      <c r="AC35" s="726"/>
      <c r="AD35" s="726"/>
      <c r="AE35" s="726"/>
    </row>
    <row r="36" spans="1:40" s="731" customFormat="1" ht="47.25">
      <c r="A36" s="709">
        <v>19</v>
      </c>
      <c r="B36" s="542">
        <v>7000016907</v>
      </c>
      <c r="C36" s="542">
        <v>1040</v>
      </c>
      <c r="D36" s="542">
        <v>1401</v>
      </c>
      <c r="E36" s="542">
        <v>10</v>
      </c>
      <c r="F36" s="542" t="s">
        <v>666</v>
      </c>
      <c r="G36" s="542">
        <v>100017138</v>
      </c>
      <c r="H36" s="542">
        <v>998731</v>
      </c>
      <c r="I36" s="543"/>
      <c r="J36" s="542">
        <v>18</v>
      </c>
      <c r="K36" s="541"/>
      <c r="L36" s="540" t="s">
        <v>765</v>
      </c>
      <c r="M36" s="542" t="s">
        <v>299</v>
      </c>
      <c r="N36" s="542">
        <v>3</v>
      </c>
      <c r="O36" s="717"/>
      <c r="P36" s="539" t="str">
        <f t="shared" si="0"/>
        <v>INCLUDED</v>
      </c>
      <c r="Q36" s="723">
        <f t="shared" si="1"/>
        <v>0</v>
      </c>
      <c r="R36" s="446">
        <f t="shared" si="2"/>
        <v>0</v>
      </c>
      <c r="S36" s="612">
        <f>Discount!$J$36</f>
        <v>0</v>
      </c>
      <c r="T36" s="446">
        <f t="shared" si="3"/>
        <v>0</v>
      </c>
      <c r="U36" s="447">
        <f t="shared" si="4"/>
        <v>0</v>
      </c>
      <c r="V36" s="724">
        <f t="shared" si="5"/>
        <v>0</v>
      </c>
      <c r="W36" s="857">
        <f t="shared" si="6"/>
        <v>0</v>
      </c>
      <c r="X36" s="724">
        <f t="shared" si="7"/>
        <v>0</v>
      </c>
      <c r="Y36" s="725">
        <f t="shared" si="8"/>
        <v>0.18</v>
      </c>
      <c r="Z36" s="724">
        <f t="shared" si="9"/>
        <v>0</v>
      </c>
      <c r="AA36" s="725"/>
      <c r="AB36" s="726"/>
      <c r="AC36" s="726"/>
      <c r="AD36" s="726"/>
      <c r="AE36" s="726"/>
      <c r="AF36" s="727"/>
      <c r="AG36" s="727"/>
      <c r="AH36" s="727"/>
      <c r="AI36" s="727"/>
      <c r="AJ36" s="727"/>
      <c r="AK36" s="727"/>
      <c r="AL36" s="727"/>
      <c r="AM36" s="727"/>
      <c r="AN36" s="727"/>
    </row>
    <row r="37" spans="1:40" s="731" customFormat="1" ht="47.25">
      <c r="A37" s="709">
        <v>20</v>
      </c>
      <c r="B37" s="542">
        <v>7000016907</v>
      </c>
      <c r="C37" s="542">
        <v>1040</v>
      </c>
      <c r="D37" s="542">
        <v>1401</v>
      </c>
      <c r="E37" s="542">
        <v>20</v>
      </c>
      <c r="F37" s="542" t="s">
        <v>666</v>
      </c>
      <c r="G37" s="542">
        <v>100017135</v>
      </c>
      <c r="H37" s="542">
        <v>998731</v>
      </c>
      <c r="I37" s="543"/>
      <c r="J37" s="542">
        <v>18</v>
      </c>
      <c r="K37" s="541"/>
      <c r="L37" s="540" t="s">
        <v>766</v>
      </c>
      <c r="M37" s="542" t="s">
        <v>299</v>
      </c>
      <c r="N37" s="542">
        <v>3</v>
      </c>
      <c r="O37" s="717"/>
      <c r="P37" s="539" t="str">
        <f t="shared" si="0"/>
        <v>INCLUDED</v>
      </c>
      <c r="Q37" s="723">
        <f t="shared" si="1"/>
        <v>0</v>
      </c>
      <c r="R37" s="446">
        <f t="shared" si="2"/>
        <v>0</v>
      </c>
      <c r="S37" s="612">
        <f>Discount!$J$36</f>
        <v>0</v>
      </c>
      <c r="T37" s="446">
        <f t="shared" si="3"/>
        <v>0</v>
      </c>
      <c r="U37" s="447">
        <f t="shared" si="4"/>
        <v>0</v>
      </c>
      <c r="V37" s="724">
        <f t="shared" si="5"/>
        <v>0</v>
      </c>
      <c r="W37" s="857">
        <f t="shared" si="6"/>
        <v>0</v>
      </c>
      <c r="X37" s="724">
        <f t="shared" si="7"/>
        <v>0</v>
      </c>
      <c r="Y37" s="725">
        <f t="shared" si="8"/>
        <v>0.18</v>
      </c>
      <c r="Z37" s="724">
        <f t="shared" si="9"/>
        <v>0</v>
      </c>
      <c r="AA37" s="725"/>
      <c r="AB37" s="726"/>
      <c r="AC37" s="726"/>
      <c r="AD37" s="726"/>
      <c r="AE37" s="726"/>
      <c r="AF37" s="727"/>
      <c r="AG37" s="727"/>
      <c r="AH37" s="727"/>
      <c r="AI37" s="727"/>
      <c r="AJ37" s="727"/>
      <c r="AK37" s="727"/>
      <c r="AL37" s="727"/>
      <c r="AM37" s="727"/>
      <c r="AN37" s="727"/>
    </row>
    <row r="38" spans="1:40" s="731" customFormat="1" ht="47.25">
      <c r="A38" s="709">
        <v>21</v>
      </c>
      <c r="B38" s="542">
        <v>7000016907</v>
      </c>
      <c r="C38" s="542">
        <v>1040</v>
      </c>
      <c r="D38" s="542">
        <v>1401</v>
      </c>
      <c r="E38" s="542">
        <v>30</v>
      </c>
      <c r="F38" s="542" t="s">
        <v>666</v>
      </c>
      <c r="G38" s="542">
        <v>100017134</v>
      </c>
      <c r="H38" s="542">
        <v>998731</v>
      </c>
      <c r="I38" s="543"/>
      <c r="J38" s="542">
        <v>18</v>
      </c>
      <c r="K38" s="541"/>
      <c r="L38" s="540" t="s">
        <v>767</v>
      </c>
      <c r="M38" s="542" t="s">
        <v>299</v>
      </c>
      <c r="N38" s="542">
        <v>3</v>
      </c>
      <c r="O38" s="717"/>
      <c r="P38" s="539" t="str">
        <f t="shared" si="0"/>
        <v>INCLUDED</v>
      </c>
      <c r="Q38" s="723">
        <f t="shared" si="1"/>
        <v>0</v>
      </c>
      <c r="R38" s="446">
        <f t="shared" si="2"/>
        <v>0</v>
      </c>
      <c r="S38" s="612">
        <f>Discount!$J$36</f>
        <v>0</v>
      </c>
      <c r="T38" s="446">
        <f t="shared" si="3"/>
        <v>0</v>
      </c>
      <c r="U38" s="447">
        <f t="shared" si="4"/>
        <v>0</v>
      </c>
      <c r="V38" s="724">
        <f t="shared" si="5"/>
        <v>0</v>
      </c>
      <c r="W38" s="857">
        <f t="shared" si="6"/>
        <v>0</v>
      </c>
      <c r="X38" s="724">
        <f t="shared" si="7"/>
        <v>0</v>
      </c>
      <c r="Y38" s="725">
        <f t="shared" si="8"/>
        <v>0.18</v>
      </c>
      <c r="Z38" s="724">
        <f t="shared" si="9"/>
        <v>0</v>
      </c>
      <c r="AA38" s="725"/>
      <c r="AB38" s="726"/>
      <c r="AC38" s="726"/>
      <c r="AD38" s="726"/>
      <c r="AE38" s="726"/>
      <c r="AF38" s="727"/>
      <c r="AG38" s="727"/>
      <c r="AH38" s="727"/>
      <c r="AI38" s="727"/>
      <c r="AJ38" s="727"/>
      <c r="AK38" s="727"/>
      <c r="AL38" s="727"/>
      <c r="AM38" s="727"/>
      <c r="AN38" s="727"/>
    </row>
    <row r="39" spans="1:40" s="727" customFormat="1" ht="31.5">
      <c r="A39" s="709">
        <v>22</v>
      </c>
      <c r="B39" s="542">
        <v>7000016907</v>
      </c>
      <c r="C39" s="542">
        <v>1050</v>
      </c>
      <c r="D39" s="542">
        <v>1410</v>
      </c>
      <c r="E39" s="542">
        <v>10</v>
      </c>
      <c r="F39" s="542" t="s">
        <v>521</v>
      </c>
      <c r="G39" s="542">
        <v>100000335</v>
      </c>
      <c r="H39" s="542">
        <v>998731</v>
      </c>
      <c r="I39" s="543"/>
      <c r="J39" s="542">
        <v>18</v>
      </c>
      <c r="K39" s="541"/>
      <c r="L39" s="540" t="s">
        <v>651</v>
      </c>
      <c r="M39" s="542" t="s">
        <v>300</v>
      </c>
      <c r="N39" s="542">
        <v>1</v>
      </c>
      <c r="O39" s="717"/>
      <c r="P39" s="539" t="str">
        <f t="shared" si="0"/>
        <v>INCLUDED</v>
      </c>
      <c r="Q39" s="723">
        <f t="shared" si="1"/>
        <v>0</v>
      </c>
      <c r="R39" s="446">
        <f t="shared" si="2"/>
        <v>0</v>
      </c>
      <c r="S39" s="612">
        <f>Discount!$J$36</f>
        <v>0</v>
      </c>
      <c r="T39" s="446">
        <f t="shared" si="3"/>
        <v>0</v>
      </c>
      <c r="U39" s="447">
        <f t="shared" si="4"/>
        <v>0</v>
      </c>
      <c r="V39" s="724">
        <f t="shared" si="5"/>
        <v>0</v>
      </c>
      <c r="W39" s="857">
        <f t="shared" si="6"/>
        <v>0</v>
      </c>
      <c r="X39" s="724">
        <f t="shared" si="7"/>
        <v>0</v>
      </c>
      <c r="Y39" s="725">
        <f t="shared" si="8"/>
        <v>0.18</v>
      </c>
      <c r="Z39" s="724">
        <f t="shared" si="9"/>
        <v>0</v>
      </c>
      <c r="AA39" s="725"/>
      <c r="AB39" s="726"/>
      <c r="AC39" s="726"/>
      <c r="AD39" s="726"/>
      <c r="AE39" s="726"/>
    </row>
    <row r="40" spans="1:40" s="727" customFormat="1" ht="31.5">
      <c r="A40" s="709">
        <v>23</v>
      </c>
      <c r="B40" s="542">
        <v>7000016907</v>
      </c>
      <c r="C40" s="542">
        <v>1050</v>
      </c>
      <c r="D40" s="542">
        <v>1410</v>
      </c>
      <c r="E40" s="542">
        <v>20</v>
      </c>
      <c r="F40" s="542" t="s">
        <v>521</v>
      </c>
      <c r="G40" s="542">
        <v>100000330</v>
      </c>
      <c r="H40" s="542">
        <v>998731</v>
      </c>
      <c r="I40" s="543"/>
      <c r="J40" s="542">
        <v>18</v>
      </c>
      <c r="K40" s="541"/>
      <c r="L40" s="540" t="s">
        <v>768</v>
      </c>
      <c r="M40" s="542" t="s">
        <v>300</v>
      </c>
      <c r="N40" s="542">
        <v>1</v>
      </c>
      <c r="O40" s="717"/>
      <c r="P40" s="539" t="str">
        <f t="shared" si="0"/>
        <v>INCLUDED</v>
      </c>
      <c r="Q40" s="723">
        <f t="shared" si="1"/>
        <v>0</v>
      </c>
      <c r="R40" s="446">
        <f t="shared" si="2"/>
        <v>0</v>
      </c>
      <c r="S40" s="612">
        <f>Discount!$J$36</f>
        <v>0</v>
      </c>
      <c r="T40" s="446">
        <f t="shared" si="3"/>
        <v>0</v>
      </c>
      <c r="U40" s="447">
        <f t="shared" si="4"/>
        <v>0</v>
      </c>
      <c r="V40" s="724">
        <f t="shared" si="5"/>
        <v>0</v>
      </c>
      <c r="W40" s="857">
        <f t="shared" si="6"/>
        <v>0</v>
      </c>
      <c r="X40" s="724">
        <f t="shared" si="7"/>
        <v>0</v>
      </c>
      <c r="Y40" s="725">
        <f t="shared" si="8"/>
        <v>0.18</v>
      </c>
      <c r="Z40" s="724">
        <f t="shared" si="9"/>
        <v>0</v>
      </c>
      <c r="AA40" s="725"/>
      <c r="AB40" s="726"/>
      <c r="AC40" s="726"/>
      <c r="AD40" s="726"/>
      <c r="AE40" s="726"/>
    </row>
    <row r="41" spans="1:40" s="727" customFormat="1" ht="31.5">
      <c r="A41" s="709">
        <v>24</v>
      </c>
      <c r="B41" s="542">
        <v>7000016907</v>
      </c>
      <c r="C41" s="542">
        <v>1050</v>
      </c>
      <c r="D41" s="542">
        <v>1410</v>
      </c>
      <c r="E41" s="542">
        <v>30</v>
      </c>
      <c r="F41" s="542" t="s">
        <v>521</v>
      </c>
      <c r="G41" s="542">
        <v>100000329</v>
      </c>
      <c r="H41" s="542">
        <v>998731</v>
      </c>
      <c r="I41" s="543"/>
      <c r="J41" s="542">
        <v>18</v>
      </c>
      <c r="K41" s="541"/>
      <c r="L41" s="540" t="s">
        <v>650</v>
      </c>
      <c r="M41" s="542" t="s">
        <v>300</v>
      </c>
      <c r="N41" s="542">
        <v>2</v>
      </c>
      <c r="O41" s="717"/>
      <c r="P41" s="539" t="str">
        <f t="shared" si="0"/>
        <v>INCLUDED</v>
      </c>
      <c r="Q41" s="723">
        <f t="shared" si="1"/>
        <v>0</v>
      </c>
      <c r="R41" s="446">
        <f t="shared" si="2"/>
        <v>0</v>
      </c>
      <c r="S41" s="612">
        <f>Discount!$J$36</f>
        <v>0</v>
      </c>
      <c r="T41" s="446">
        <f t="shared" si="3"/>
        <v>0</v>
      </c>
      <c r="U41" s="447">
        <f t="shared" si="4"/>
        <v>0</v>
      </c>
      <c r="V41" s="724">
        <f t="shared" si="5"/>
        <v>0</v>
      </c>
      <c r="W41" s="857">
        <f t="shared" si="6"/>
        <v>0</v>
      </c>
      <c r="X41" s="724">
        <f t="shared" si="7"/>
        <v>0</v>
      </c>
      <c r="Y41" s="725">
        <f t="shared" si="8"/>
        <v>0.18</v>
      </c>
      <c r="Z41" s="724">
        <f t="shared" si="9"/>
        <v>0</v>
      </c>
      <c r="AA41" s="725"/>
      <c r="AB41" s="726"/>
      <c r="AC41" s="726"/>
      <c r="AD41" s="726"/>
      <c r="AE41" s="726"/>
    </row>
    <row r="42" spans="1:40" s="727" customFormat="1" ht="31.5">
      <c r="A42" s="709">
        <v>25</v>
      </c>
      <c r="B42" s="542">
        <v>7000016907</v>
      </c>
      <c r="C42" s="542">
        <v>1050</v>
      </c>
      <c r="D42" s="542">
        <v>1410</v>
      </c>
      <c r="E42" s="542">
        <v>40</v>
      </c>
      <c r="F42" s="542" t="s">
        <v>521</v>
      </c>
      <c r="G42" s="542">
        <v>100000337</v>
      </c>
      <c r="H42" s="542">
        <v>998731</v>
      </c>
      <c r="I42" s="543"/>
      <c r="J42" s="542">
        <v>18</v>
      </c>
      <c r="K42" s="541"/>
      <c r="L42" s="540" t="s">
        <v>769</v>
      </c>
      <c r="M42" s="542" t="s">
        <v>300</v>
      </c>
      <c r="N42" s="542">
        <v>1</v>
      </c>
      <c r="O42" s="717"/>
      <c r="P42" s="539" t="str">
        <f t="shared" si="0"/>
        <v>INCLUDED</v>
      </c>
      <c r="Q42" s="723">
        <f t="shared" si="1"/>
        <v>0</v>
      </c>
      <c r="R42" s="446">
        <f t="shared" si="2"/>
        <v>0</v>
      </c>
      <c r="S42" s="612">
        <f>Discount!$J$36</f>
        <v>0</v>
      </c>
      <c r="T42" s="446">
        <f t="shared" si="3"/>
        <v>0</v>
      </c>
      <c r="U42" s="447">
        <f t="shared" si="4"/>
        <v>0</v>
      </c>
      <c r="V42" s="724">
        <f t="shared" si="5"/>
        <v>0</v>
      </c>
      <c r="W42" s="857">
        <f t="shared" si="6"/>
        <v>0</v>
      </c>
      <c r="X42" s="724">
        <f t="shared" si="7"/>
        <v>0</v>
      </c>
      <c r="Y42" s="725">
        <f t="shared" si="8"/>
        <v>0.18</v>
      </c>
      <c r="Z42" s="724">
        <f t="shared" si="9"/>
        <v>0</v>
      </c>
      <c r="AA42" s="725"/>
      <c r="AB42" s="726"/>
      <c r="AC42" s="726"/>
      <c r="AD42" s="726"/>
      <c r="AE42" s="726"/>
    </row>
    <row r="43" spans="1:40" s="727" customFormat="1" ht="47.25">
      <c r="A43" s="709">
        <v>26</v>
      </c>
      <c r="B43" s="542">
        <v>7000016907</v>
      </c>
      <c r="C43" s="542">
        <v>1060</v>
      </c>
      <c r="D43" s="542">
        <v>1421</v>
      </c>
      <c r="E43" s="542">
        <v>10</v>
      </c>
      <c r="F43" s="542" t="s">
        <v>522</v>
      </c>
      <c r="G43" s="542">
        <v>100017127</v>
      </c>
      <c r="H43" s="542">
        <v>998731</v>
      </c>
      <c r="I43" s="543"/>
      <c r="J43" s="542">
        <v>18</v>
      </c>
      <c r="K43" s="541"/>
      <c r="L43" s="540" t="s">
        <v>630</v>
      </c>
      <c r="M43" s="542" t="s">
        <v>299</v>
      </c>
      <c r="N43" s="542">
        <v>27</v>
      </c>
      <c r="O43" s="717"/>
      <c r="P43" s="539" t="str">
        <f t="shared" si="0"/>
        <v>INCLUDED</v>
      </c>
      <c r="Q43" s="723">
        <f t="shared" si="1"/>
        <v>0</v>
      </c>
      <c r="R43" s="446">
        <f t="shared" si="2"/>
        <v>0</v>
      </c>
      <c r="S43" s="612">
        <f>Discount!$J$36</f>
        <v>0</v>
      </c>
      <c r="T43" s="446">
        <f t="shared" si="3"/>
        <v>0</v>
      </c>
      <c r="U43" s="447">
        <f t="shared" si="4"/>
        <v>0</v>
      </c>
      <c r="V43" s="724">
        <f t="shared" si="5"/>
        <v>0</v>
      </c>
      <c r="W43" s="857">
        <f t="shared" si="6"/>
        <v>0</v>
      </c>
      <c r="X43" s="724">
        <f t="shared" si="7"/>
        <v>0</v>
      </c>
      <c r="Y43" s="725">
        <f t="shared" si="8"/>
        <v>0.18</v>
      </c>
      <c r="Z43" s="724">
        <f t="shared" si="9"/>
        <v>0</v>
      </c>
      <c r="AA43" s="725"/>
      <c r="AB43" s="726"/>
      <c r="AC43" s="726"/>
      <c r="AD43" s="726"/>
      <c r="AE43" s="726"/>
    </row>
    <row r="44" spans="1:40" s="727" customFormat="1" ht="47.25">
      <c r="A44" s="709">
        <v>27</v>
      </c>
      <c r="B44" s="542">
        <v>7000016907</v>
      </c>
      <c r="C44" s="542">
        <v>1060</v>
      </c>
      <c r="D44" s="542">
        <v>1421</v>
      </c>
      <c r="E44" s="542">
        <v>20</v>
      </c>
      <c r="F44" s="542" t="s">
        <v>522</v>
      </c>
      <c r="G44" s="542">
        <v>100017126</v>
      </c>
      <c r="H44" s="542">
        <v>998731</v>
      </c>
      <c r="I44" s="543"/>
      <c r="J44" s="542">
        <v>18</v>
      </c>
      <c r="K44" s="541"/>
      <c r="L44" s="540" t="s">
        <v>631</v>
      </c>
      <c r="M44" s="542" t="s">
        <v>299</v>
      </c>
      <c r="N44" s="542">
        <v>21</v>
      </c>
      <c r="O44" s="717"/>
      <c r="P44" s="539" t="str">
        <f t="shared" ref="P44:P68" si="10">IF(O44=0, "INCLUDED", IF(ISERROR(N44*O44), O44, N44*O44))</f>
        <v>INCLUDED</v>
      </c>
      <c r="Q44" s="723">
        <f t="shared" ref="Q44:Q68" si="11">IF(P44="Included",0,P44)</f>
        <v>0</v>
      </c>
      <c r="R44" s="446">
        <f t="shared" ref="R44:R68" si="12">IF( K44="",J44*(IF(P44="Included",0,P44))/100,K44*(IF(P44="Included",0,P44)))</f>
        <v>0</v>
      </c>
      <c r="S44" s="612">
        <f>Discount!$J$36</f>
        <v>0</v>
      </c>
      <c r="T44" s="446">
        <f t="shared" ref="T44:T68" si="13">S44*Q44</f>
        <v>0</v>
      </c>
      <c r="U44" s="447">
        <f t="shared" ref="U44:U68" si="14">IF(K44="",J44*T44/100,K44*T44)</f>
        <v>0</v>
      </c>
      <c r="V44" s="724">
        <f t="shared" ref="V44:V68" si="15">O44*N44</f>
        <v>0</v>
      </c>
      <c r="W44" s="857">
        <f t="shared" ref="W44:W68" si="16">ROUND(O44,2)</f>
        <v>0</v>
      </c>
      <c r="X44" s="724">
        <f t="shared" ref="X44:X68" si="17">N44*W44</f>
        <v>0</v>
      </c>
      <c r="Y44" s="725">
        <f t="shared" ref="Y44:Y68" si="18">IF(K44="",J44/100,K44)</f>
        <v>0.18</v>
      </c>
      <c r="Z44" s="724">
        <f t="shared" ref="Z44:Z68" si="19">X44*Y44</f>
        <v>0</v>
      </c>
      <c r="AA44" s="725"/>
      <c r="AB44" s="726"/>
      <c r="AC44" s="726"/>
      <c r="AD44" s="726"/>
      <c r="AE44" s="726"/>
    </row>
    <row r="45" spans="1:40" s="727" customFormat="1" ht="47.25">
      <c r="A45" s="709">
        <v>28</v>
      </c>
      <c r="B45" s="542">
        <v>7000016907</v>
      </c>
      <c r="C45" s="542">
        <v>1060</v>
      </c>
      <c r="D45" s="542">
        <v>1421</v>
      </c>
      <c r="E45" s="542">
        <v>30</v>
      </c>
      <c r="F45" s="542" t="s">
        <v>522</v>
      </c>
      <c r="G45" s="542">
        <v>100017133</v>
      </c>
      <c r="H45" s="542">
        <v>998731</v>
      </c>
      <c r="I45" s="543"/>
      <c r="J45" s="542">
        <v>18</v>
      </c>
      <c r="K45" s="541"/>
      <c r="L45" s="540" t="s">
        <v>632</v>
      </c>
      <c r="M45" s="542" t="s">
        <v>299</v>
      </c>
      <c r="N45" s="542">
        <v>24</v>
      </c>
      <c r="O45" s="717"/>
      <c r="P45" s="539" t="str">
        <f t="shared" si="10"/>
        <v>INCLUDED</v>
      </c>
      <c r="Q45" s="723">
        <f t="shared" si="11"/>
        <v>0</v>
      </c>
      <c r="R45" s="446">
        <f t="shared" si="12"/>
        <v>0</v>
      </c>
      <c r="S45" s="612">
        <f>Discount!$J$36</f>
        <v>0</v>
      </c>
      <c r="T45" s="446">
        <f t="shared" si="13"/>
        <v>0</v>
      </c>
      <c r="U45" s="447">
        <f t="shared" si="14"/>
        <v>0</v>
      </c>
      <c r="V45" s="724">
        <f t="shared" si="15"/>
        <v>0</v>
      </c>
      <c r="W45" s="857">
        <f t="shared" si="16"/>
        <v>0</v>
      </c>
      <c r="X45" s="724">
        <f t="shared" si="17"/>
        <v>0</v>
      </c>
      <c r="Y45" s="725">
        <f t="shared" si="18"/>
        <v>0.18</v>
      </c>
      <c r="Z45" s="724">
        <f t="shared" si="19"/>
        <v>0</v>
      </c>
      <c r="AA45" s="725"/>
      <c r="AB45" s="726"/>
      <c r="AC45" s="726"/>
      <c r="AD45" s="726"/>
      <c r="AE45" s="726"/>
    </row>
    <row r="46" spans="1:40" s="727" customFormat="1" ht="47.25">
      <c r="A46" s="709">
        <v>29</v>
      </c>
      <c r="B46" s="542">
        <v>7000016907</v>
      </c>
      <c r="C46" s="542">
        <v>1060</v>
      </c>
      <c r="D46" s="542">
        <v>1421</v>
      </c>
      <c r="E46" s="542">
        <v>40</v>
      </c>
      <c r="F46" s="542" t="s">
        <v>522</v>
      </c>
      <c r="G46" s="542">
        <v>100017132</v>
      </c>
      <c r="H46" s="542">
        <v>998731</v>
      </c>
      <c r="I46" s="543"/>
      <c r="J46" s="542">
        <v>18</v>
      </c>
      <c r="K46" s="541"/>
      <c r="L46" s="540" t="s">
        <v>770</v>
      </c>
      <c r="M46" s="542" t="s">
        <v>299</v>
      </c>
      <c r="N46" s="542">
        <v>6</v>
      </c>
      <c r="O46" s="717"/>
      <c r="P46" s="539" t="str">
        <f t="shared" si="10"/>
        <v>INCLUDED</v>
      </c>
      <c r="Q46" s="723">
        <f t="shared" si="11"/>
        <v>0</v>
      </c>
      <c r="R46" s="446">
        <f t="shared" si="12"/>
        <v>0</v>
      </c>
      <c r="S46" s="612">
        <f>Discount!$J$36</f>
        <v>0</v>
      </c>
      <c r="T46" s="446">
        <f t="shared" si="13"/>
        <v>0</v>
      </c>
      <c r="U46" s="447">
        <f t="shared" si="14"/>
        <v>0</v>
      </c>
      <c r="V46" s="724">
        <f t="shared" si="15"/>
        <v>0</v>
      </c>
      <c r="W46" s="857">
        <f t="shared" si="16"/>
        <v>0</v>
      </c>
      <c r="X46" s="724">
        <f t="shared" si="17"/>
        <v>0</v>
      </c>
      <c r="Y46" s="725">
        <f t="shared" si="18"/>
        <v>0.18</v>
      </c>
      <c r="Z46" s="724">
        <f t="shared" si="19"/>
        <v>0</v>
      </c>
      <c r="AA46" s="725"/>
      <c r="AB46" s="726"/>
      <c r="AC46" s="726"/>
      <c r="AD46" s="726"/>
      <c r="AE46" s="726"/>
    </row>
    <row r="47" spans="1:40" s="727" customFormat="1">
      <c r="A47" s="709">
        <v>30</v>
      </c>
      <c r="B47" s="542">
        <v>7000016907</v>
      </c>
      <c r="C47" s="542">
        <v>1070</v>
      </c>
      <c r="D47" s="542">
        <v>1452</v>
      </c>
      <c r="E47" s="542">
        <v>10</v>
      </c>
      <c r="F47" s="542" t="s">
        <v>582</v>
      </c>
      <c r="G47" s="542">
        <v>100000268</v>
      </c>
      <c r="H47" s="542">
        <v>998736</v>
      </c>
      <c r="I47" s="543"/>
      <c r="J47" s="542">
        <v>18</v>
      </c>
      <c r="K47" s="541"/>
      <c r="L47" s="540" t="s">
        <v>594</v>
      </c>
      <c r="M47" s="542" t="s">
        <v>299</v>
      </c>
      <c r="N47" s="542">
        <v>2</v>
      </c>
      <c r="O47" s="717"/>
      <c r="P47" s="539" t="str">
        <f t="shared" si="10"/>
        <v>INCLUDED</v>
      </c>
      <c r="Q47" s="723">
        <f t="shared" si="11"/>
        <v>0</v>
      </c>
      <c r="R47" s="446">
        <f t="shared" si="12"/>
        <v>0</v>
      </c>
      <c r="S47" s="612">
        <f>Discount!$J$36</f>
        <v>0</v>
      </c>
      <c r="T47" s="446">
        <f t="shared" si="13"/>
        <v>0</v>
      </c>
      <c r="U47" s="447">
        <f t="shared" si="14"/>
        <v>0</v>
      </c>
      <c r="V47" s="724">
        <f t="shared" si="15"/>
        <v>0</v>
      </c>
      <c r="W47" s="857">
        <f t="shared" si="16"/>
        <v>0</v>
      </c>
      <c r="X47" s="724">
        <f t="shared" si="17"/>
        <v>0</v>
      </c>
      <c r="Y47" s="725">
        <f t="shared" si="18"/>
        <v>0.18</v>
      </c>
      <c r="Z47" s="724">
        <f t="shared" si="19"/>
        <v>0</v>
      </c>
      <c r="AA47" s="725"/>
      <c r="AB47" s="726"/>
      <c r="AC47" s="726"/>
      <c r="AD47" s="726"/>
      <c r="AE47" s="726"/>
    </row>
    <row r="48" spans="1:40" s="727" customFormat="1">
      <c r="A48" s="709">
        <v>31</v>
      </c>
      <c r="B48" s="542">
        <v>7000016907</v>
      </c>
      <c r="C48" s="542">
        <v>1070</v>
      </c>
      <c r="D48" s="542">
        <v>1452</v>
      </c>
      <c r="E48" s="542">
        <v>20</v>
      </c>
      <c r="F48" s="542" t="s">
        <v>582</v>
      </c>
      <c r="G48" s="542">
        <v>100000136</v>
      </c>
      <c r="H48" s="542">
        <v>998736</v>
      </c>
      <c r="I48" s="543"/>
      <c r="J48" s="542">
        <v>18</v>
      </c>
      <c r="K48" s="541"/>
      <c r="L48" s="540" t="s">
        <v>695</v>
      </c>
      <c r="M48" s="542" t="s">
        <v>299</v>
      </c>
      <c r="N48" s="542">
        <v>1</v>
      </c>
      <c r="O48" s="717"/>
      <c r="P48" s="539" t="str">
        <f t="shared" si="10"/>
        <v>INCLUDED</v>
      </c>
      <c r="Q48" s="723">
        <f t="shared" si="11"/>
        <v>0</v>
      </c>
      <c r="R48" s="446">
        <f t="shared" si="12"/>
        <v>0</v>
      </c>
      <c r="S48" s="612">
        <f>Discount!$J$36</f>
        <v>0</v>
      </c>
      <c r="T48" s="446">
        <f t="shared" si="13"/>
        <v>0</v>
      </c>
      <c r="U48" s="447">
        <f t="shared" si="14"/>
        <v>0</v>
      </c>
      <c r="V48" s="724">
        <f t="shared" si="15"/>
        <v>0</v>
      </c>
      <c r="W48" s="857">
        <f t="shared" si="16"/>
        <v>0</v>
      </c>
      <c r="X48" s="724">
        <f t="shared" si="17"/>
        <v>0</v>
      </c>
      <c r="Y48" s="725">
        <f t="shared" si="18"/>
        <v>0.18</v>
      </c>
      <c r="Z48" s="724">
        <f t="shared" si="19"/>
        <v>0</v>
      </c>
      <c r="AA48" s="725"/>
      <c r="AB48" s="726"/>
      <c r="AC48" s="726"/>
      <c r="AD48" s="726"/>
      <c r="AE48" s="726"/>
    </row>
    <row r="49" spans="1:40" s="727" customFormat="1" ht="31.5">
      <c r="A49" s="709">
        <v>32</v>
      </c>
      <c r="B49" s="542">
        <v>7000016907</v>
      </c>
      <c r="C49" s="542">
        <v>1080</v>
      </c>
      <c r="D49" s="542">
        <v>1460</v>
      </c>
      <c r="E49" s="542">
        <v>10</v>
      </c>
      <c r="F49" s="542" t="s">
        <v>667</v>
      </c>
      <c r="G49" s="542">
        <v>100000720</v>
      </c>
      <c r="H49" s="542">
        <v>998736</v>
      </c>
      <c r="I49" s="543"/>
      <c r="J49" s="542">
        <v>18</v>
      </c>
      <c r="K49" s="541"/>
      <c r="L49" s="540" t="s">
        <v>771</v>
      </c>
      <c r="M49" s="542" t="s">
        <v>299</v>
      </c>
      <c r="N49" s="542">
        <v>1</v>
      </c>
      <c r="O49" s="717"/>
      <c r="P49" s="539" t="str">
        <f t="shared" si="10"/>
        <v>INCLUDED</v>
      </c>
      <c r="Q49" s="723">
        <f t="shared" si="11"/>
        <v>0</v>
      </c>
      <c r="R49" s="446">
        <f t="shared" si="12"/>
        <v>0</v>
      </c>
      <c r="S49" s="612">
        <f>Discount!$J$36</f>
        <v>0</v>
      </c>
      <c r="T49" s="446">
        <f t="shared" si="13"/>
        <v>0</v>
      </c>
      <c r="U49" s="447">
        <f t="shared" si="14"/>
        <v>0</v>
      </c>
      <c r="V49" s="724">
        <f t="shared" si="15"/>
        <v>0</v>
      </c>
      <c r="W49" s="857">
        <f t="shared" si="16"/>
        <v>0</v>
      </c>
      <c r="X49" s="724">
        <f t="shared" si="17"/>
        <v>0</v>
      </c>
      <c r="Y49" s="725">
        <f t="shared" si="18"/>
        <v>0.18</v>
      </c>
      <c r="Z49" s="724">
        <f t="shared" si="19"/>
        <v>0</v>
      </c>
      <c r="AA49" s="725"/>
      <c r="AB49" s="726"/>
      <c r="AC49" s="726"/>
      <c r="AD49" s="726"/>
      <c r="AE49" s="726"/>
    </row>
    <row r="50" spans="1:40" s="727" customFormat="1" ht="31.5">
      <c r="A50" s="709">
        <v>33</v>
      </c>
      <c r="B50" s="542">
        <v>7000016907</v>
      </c>
      <c r="C50" s="542">
        <v>1080</v>
      </c>
      <c r="D50" s="542">
        <v>1460</v>
      </c>
      <c r="E50" s="542">
        <v>20</v>
      </c>
      <c r="F50" s="542" t="s">
        <v>667</v>
      </c>
      <c r="G50" s="542">
        <v>100000723</v>
      </c>
      <c r="H50" s="542">
        <v>998736</v>
      </c>
      <c r="I50" s="543"/>
      <c r="J50" s="542">
        <v>18</v>
      </c>
      <c r="K50" s="541"/>
      <c r="L50" s="540" t="s">
        <v>772</v>
      </c>
      <c r="M50" s="542" t="s">
        <v>299</v>
      </c>
      <c r="N50" s="542">
        <v>1</v>
      </c>
      <c r="O50" s="717"/>
      <c r="P50" s="539" t="str">
        <f t="shared" si="10"/>
        <v>INCLUDED</v>
      </c>
      <c r="Q50" s="723">
        <f t="shared" si="11"/>
        <v>0</v>
      </c>
      <c r="R50" s="446">
        <f t="shared" si="12"/>
        <v>0</v>
      </c>
      <c r="S50" s="612">
        <f>Discount!$J$36</f>
        <v>0</v>
      </c>
      <c r="T50" s="446">
        <f t="shared" si="13"/>
        <v>0</v>
      </c>
      <c r="U50" s="447">
        <f t="shared" si="14"/>
        <v>0</v>
      </c>
      <c r="V50" s="724">
        <f t="shared" si="15"/>
        <v>0</v>
      </c>
      <c r="W50" s="857">
        <f t="shared" si="16"/>
        <v>0</v>
      </c>
      <c r="X50" s="724">
        <f t="shared" si="17"/>
        <v>0</v>
      </c>
      <c r="Y50" s="725">
        <f t="shared" si="18"/>
        <v>0.18</v>
      </c>
      <c r="Z50" s="724">
        <f t="shared" si="19"/>
        <v>0</v>
      </c>
      <c r="AA50" s="725"/>
      <c r="AB50" s="726"/>
      <c r="AC50" s="726"/>
      <c r="AD50" s="726"/>
      <c r="AE50" s="726"/>
    </row>
    <row r="51" spans="1:40" s="727" customFormat="1" ht="31.5">
      <c r="A51" s="709">
        <v>34</v>
      </c>
      <c r="B51" s="542">
        <v>7000016907</v>
      </c>
      <c r="C51" s="542">
        <v>1080</v>
      </c>
      <c r="D51" s="542">
        <v>1460</v>
      </c>
      <c r="E51" s="542">
        <v>30</v>
      </c>
      <c r="F51" s="542" t="s">
        <v>667</v>
      </c>
      <c r="G51" s="542">
        <v>100000727</v>
      </c>
      <c r="H51" s="542">
        <v>998736</v>
      </c>
      <c r="I51" s="543"/>
      <c r="J51" s="542">
        <v>18</v>
      </c>
      <c r="K51" s="541"/>
      <c r="L51" s="540" t="s">
        <v>773</v>
      </c>
      <c r="M51" s="542" t="s">
        <v>300</v>
      </c>
      <c r="N51" s="542">
        <v>1</v>
      </c>
      <c r="O51" s="717"/>
      <c r="P51" s="539" t="str">
        <f t="shared" si="10"/>
        <v>INCLUDED</v>
      </c>
      <c r="Q51" s="723">
        <f t="shared" si="11"/>
        <v>0</v>
      </c>
      <c r="R51" s="446">
        <f t="shared" si="12"/>
        <v>0</v>
      </c>
      <c r="S51" s="612">
        <f>Discount!$J$36</f>
        <v>0</v>
      </c>
      <c r="T51" s="446">
        <f t="shared" si="13"/>
        <v>0</v>
      </c>
      <c r="U51" s="447">
        <f t="shared" si="14"/>
        <v>0</v>
      </c>
      <c r="V51" s="724">
        <f t="shared" si="15"/>
        <v>0</v>
      </c>
      <c r="W51" s="857">
        <f t="shared" si="16"/>
        <v>0</v>
      </c>
      <c r="X51" s="724">
        <f t="shared" si="17"/>
        <v>0</v>
      </c>
      <c r="Y51" s="725">
        <f t="shared" si="18"/>
        <v>0.18</v>
      </c>
      <c r="Z51" s="724">
        <f t="shared" si="19"/>
        <v>0</v>
      </c>
      <c r="AA51" s="725"/>
      <c r="AB51" s="726"/>
      <c r="AC51" s="726"/>
      <c r="AD51" s="726"/>
      <c r="AE51" s="726"/>
    </row>
    <row r="52" spans="1:40" s="727" customFormat="1" ht="31.5">
      <c r="A52" s="709">
        <v>35</v>
      </c>
      <c r="B52" s="542">
        <v>7000016907</v>
      </c>
      <c r="C52" s="542">
        <v>1090</v>
      </c>
      <c r="D52" s="542">
        <v>1470</v>
      </c>
      <c r="E52" s="542">
        <v>10</v>
      </c>
      <c r="F52" s="542" t="s">
        <v>557</v>
      </c>
      <c r="G52" s="542">
        <v>100000728</v>
      </c>
      <c r="H52" s="542">
        <v>998736</v>
      </c>
      <c r="I52" s="543"/>
      <c r="J52" s="542">
        <v>18</v>
      </c>
      <c r="K52" s="541"/>
      <c r="L52" s="540" t="s">
        <v>595</v>
      </c>
      <c r="M52" s="542" t="s">
        <v>299</v>
      </c>
      <c r="N52" s="542">
        <v>5</v>
      </c>
      <c r="O52" s="717"/>
      <c r="P52" s="539" t="str">
        <f t="shared" si="10"/>
        <v>INCLUDED</v>
      </c>
      <c r="Q52" s="723">
        <f t="shared" si="11"/>
        <v>0</v>
      </c>
      <c r="R52" s="446">
        <f t="shared" si="12"/>
        <v>0</v>
      </c>
      <c r="S52" s="612">
        <f>Discount!$J$36</f>
        <v>0</v>
      </c>
      <c r="T52" s="446">
        <f t="shared" si="13"/>
        <v>0</v>
      </c>
      <c r="U52" s="447">
        <f t="shared" si="14"/>
        <v>0</v>
      </c>
      <c r="V52" s="724">
        <f t="shared" si="15"/>
        <v>0</v>
      </c>
      <c r="W52" s="857">
        <f t="shared" si="16"/>
        <v>0</v>
      </c>
      <c r="X52" s="724">
        <f t="shared" si="17"/>
        <v>0</v>
      </c>
      <c r="Y52" s="725">
        <f t="shared" si="18"/>
        <v>0.18</v>
      </c>
      <c r="Z52" s="724">
        <f t="shared" si="19"/>
        <v>0</v>
      </c>
      <c r="AA52" s="725"/>
      <c r="AB52" s="726"/>
      <c r="AC52" s="726"/>
      <c r="AD52" s="726"/>
      <c r="AE52" s="726"/>
    </row>
    <row r="53" spans="1:40" s="727" customFormat="1" ht="31.5">
      <c r="A53" s="709">
        <v>36</v>
      </c>
      <c r="B53" s="542">
        <v>7000016907</v>
      </c>
      <c r="C53" s="542">
        <v>1090</v>
      </c>
      <c r="D53" s="542">
        <v>1470</v>
      </c>
      <c r="E53" s="542">
        <v>20</v>
      </c>
      <c r="F53" s="542" t="s">
        <v>557</v>
      </c>
      <c r="G53" s="542">
        <v>100000730</v>
      </c>
      <c r="H53" s="542">
        <v>998736</v>
      </c>
      <c r="I53" s="543"/>
      <c r="J53" s="542">
        <v>18</v>
      </c>
      <c r="K53" s="541"/>
      <c r="L53" s="540" t="s">
        <v>698</v>
      </c>
      <c r="M53" s="542" t="s">
        <v>299</v>
      </c>
      <c r="N53" s="542">
        <v>2</v>
      </c>
      <c r="O53" s="717"/>
      <c r="P53" s="539" t="str">
        <f t="shared" si="10"/>
        <v>INCLUDED</v>
      </c>
      <c r="Q53" s="723">
        <f t="shared" si="11"/>
        <v>0</v>
      </c>
      <c r="R53" s="446">
        <f t="shared" si="12"/>
        <v>0</v>
      </c>
      <c r="S53" s="612">
        <f>Discount!$J$36</f>
        <v>0</v>
      </c>
      <c r="T53" s="446">
        <f t="shared" si="13"/>
        <v>0</v>
      </c>
      <c r="U53" s="447">
        <f t="shared" si="14"/>
        <v>0</v>
      </c>
      <c r="V53" s="724">
        <f t="shared" si="15"/>
        <v>0</v>
      </c>
      <c r="W53" s="857">
        <f t="shared" si="16"/>
        <v>0</v>
      </c>
      <c r="X53" s="724">
        <f t="shared" si="17"/>
        <v>0</v>
      </c>
      <c r="Y53" s="725">
        <f t="shared" si="18"/>
        <v>0.18</v>
      </c>
      <c r="Z53" s="724">
        <f t="shared" si="19"/>
        <v>0</v>
      </c>
      <c r="AA53" s="725"/>
      <c r="AB53" s="726"/>
      <c r="AC53" s="726"/>
      <c r="AD53" s="726"/>
      <c r="AE53" s="726"/>
    </row>
    <row r="54" spans="1:40" s="727" customFormat="1" ht="31.5">
      <c r="A54" s="709">
        <v>37</v>
      </c>
      <c r="B54" s="542">
        <v>7000016907</v>
      </c>
      <c r="C54" s="542">
        <v>1090</v>
      </c>
      <c r="D54" s="542">
        <v>1470</v>
      </c>
      <c r="E54" s="542">
        <v>30</v>
      </c>
      <c r="F54" s="542" t="s">
        <v>557</v>
      </c>
      <c r="G54" s="542">
        <v>100000735</v>
      </c>
      <c r="H54" s="542">
        <v>998736</v>
      </c>
      <c r="I54" s="543"/>
      <c r="J54" s="542">
        <v>18</v>
      </c>
      <c r="K54" s="541"/>
      <c r="L54" s="540" t="s">
        <v>559</v>
      </c>
      <c r="M54" s="542" t="s">
        <v>300</v>
      </c>
      <c r="N54" s="542">
        <v>1</v>
      </c>
      <c r="O54" s="717"/>
      <c r="P54" s="539" t="str">
        <f t="shared" si="10"/>
        <v>INCLUDED</v>
      </c>
      <c r="Q54" s="723">
        <f t="shared" si="11"/>
        <v>0</v>
      </c>
      <c r="R54" s="446">
        <f t="shared" si="12"/>
        <v>0</v>
      </c>
      <c r="S54" s="612">
        <f>Discount!$J$36</f>
        <v>0</v>
      </c>
      <c r="T54" s="446">
        <f t="shared" si="13"/>
        <v>0</v>
      </c>
      <c r="U54" s="447">
        <f t="shared" si="14"/>
        <v>0</v>
      </c>
      <c r="V54" s="724">
        <f t="shared" si="15"/>
        <v>0</v>
      </c>
      <c r="W54" s="857">
        <f t="shared" si="16"/>
        <v>0</v>
      </c>
      <c r="X54" s="724">
        <f t="shared" si="17"/>
        <v>0</v>
      </c>
      <c r="Y54" s="725">
        <f t="shared" si="18"/>
        <v>0.18</v>
      </c>
      <c r="Z54" s="724">
        <f t="shared" si="19"/>
        <v>0</v>
      </c>
      <c r="AA54" s="725"/>
      <c r="AB54" s="726"/>
      <c r="AC54" s="726"/>
      <c r="AD54" s="726"/>
      <c r="AE54" s="726"/>
    </row>
    <row r="55" spans="1:40" s="727" customFormat="1" ht="31.5">
      <c r="A55" s="709">
        <v>38</v>
      </c>
      <c r="B55" s="542">
        <v>7000016907</v>
      </c>
      <c r="C55" s="542">
        <v>1100</v>
      </c>
      <c r="D55" s="542">
        <v>1513</v>
      </c>
      <c r="E55" s="542">
        <v>10</v>
      </c>
      <c r="F55" s="542" t="s">
        <v>524</v>
      </c>
      <c r="G55" s="542">
        <v>100002068</v>
      </c>
      <c r="H55" s="542">
        <v>998736</v>
      </c>
      <c r="I55" s="543"/>
      <c r="J55" s="542">
        <v>18</v>
      </c>
      <c r="K55" s="541"/>
      <c r="L55" s="540" t="s">
        <v>774</v>
      </c>
      <c r="M55" s="542" t="s">
        <v>299</v>
      </c>
      <c r="N55" s="542">
        <v>1</v>
      </c>
      <c r="O55" s="717"/>
      <c r="P55" s="539" t="str">
        <f t="shared" si="10"/>
        <v>INCLUDED</v>
      </c>
      <c r="Q55" s="723">
        <f t="shared" si="11"/>
        <v>0</v>
      </c>
      <c r="R55" s="446">
        <f t="shared" si="12"/>
        <v>0</v>
      </c>
      <c r="S55" s="612">
        <f>Discount!$J$36</f>
        <v>0</v>
      </c>
      <c r="T55" s="446">
        <f t="shared" si="13"/>
        <v>0</v>
      </c>
      <c r="U55" s="447">
        <f t="shared" si="14"/>
        <v>0</v>
      </c>
      <c r="V55" s="724">
        <f t="shared" si="15"/>
        <v>0</v>
      </c>
      <c r="W55" s="857">
        <f t="shared" si="16"/>
        <v>0</v>
      </c>
      <c r="X55" s="724">
        <f t="shared" si="17"/>
        <v>0</v>
      </c>
      <c r="Y55" s="725">
        <f t="shared" si="18"/>
        <v>0.18</v>
      </c>
      <c r="Z55" s="724">
        <f t="shared" si="19"/>
        <v>0</v>
      </c>
      <c r="AA55" s="725"/>
      <c r="AB55" s="726"/>
      <c r="AC55" s="726"/>
      <c r="AD55" s="726"/>
      <c r="AE55" s="726"/>
    </row>
    <row r="56" spans="1:40" s="727" customFormat="1" ht="31.5">
      <c r="A56" s="709">
        <v>39</v>
      </c>
      <c r="B56" s="542">
        <v>7000016907</v>
      </c>
      <c r="C56" s="542">
        <v>1100</v>
      </c>
      <c r="D56" s="542">
        <v>1513</v>
      </c>
      <c r="E56" s="542">
        <v>20</v>
      </c>
      <c r="F56" s="542" t="s">
        <v>524</v>
      </c>
      <c r="G56" s="542">
        <v>100002069</v>
      </c>
      <c r="H56" s="542">
        <v>998736</v>
      </c>
      <c r="I56" s="543"/>
      <c r="J56" s="542">
        <v>18</v>
      </c>
      <c r="K56" s="541"/>
      <c r="L56" s="540" t="s">
        <v>653</v>
      </c>
      <c r="M56" s="542" t="s">
        <v>299</v>
      </c>
      <c r="N56" s="542">
        <v>3</v>
      </c>
      <c r="O56" s="717"/>
      <c r="P56" s="539" t="str">
        <f t="shared" si="10"/>
        <v>INCLUDED</v>
      </c>
      <c r="Q56" s="723">
        <f t="shared" si="11"/>
        <v>0</v>
      </c>
      <c r="R56" s="446">
        <f t="shared" si="12"/>
        <v>0</v>
      </c>
      <c r="S56" s="612">
        <f>Discount!$J$36</f>
        <v>0</v>
      </c>
      <c r="T56" s="446">
        <f t="shared" si="13"/>
        <v>0</v>
      </c>
      <c r="U56" s="447">
        <f t="shared" si="14"/>
        <v>0</v>
      </c>
      <c r="V56" s="724">
        <f t="shared" si="15"/>
        <v>0</v>
      </c>
      <c r="W56" s="857">
        <f t="shared" si="16"/>
        <v>0</v>
      </c>
      <c r="X56" s="724">
        <f t="shared" si="17"/>
        <v>0</v>
      </c>
      <c r="Y56" s="725">
        <f t="shared" si="18"/>
        <v>0.18</v>
      </c>
      <c r="Z56" s="724">
        <f t="shared" si="19"/>
        <v>0</v>
      </c>
      <c r="AA56" s="725"/>
      <c r="AB56" s="726"/>
      <c r="AC56" s="726"/>
      <c r="AD56" s="726"/>
      <c r="AE56" s="726"/>
    </row>
    <row r="57" spans="1:40" s="727" customFormat="1" ht="31.5">
      <c r="A57" s="709">
        <v>40</v>
      </c>
      <c r="B57" s="542">
        <v>7000016907</v>
      </c>
      <c r="C57" s="542">
        <v>1100</v>
      </c>
      <c r="D57" s="542">
        <v>1513</v>
      </c>
      <c r="E57" s="542">
        <v>30</v>
      </c>
      <c r="F57" s="542" t="s">
        <v>524</v>
      </c>
      <c r="G57" s="542">
        <v>100002075</v>
      </c>
      <c r="H57" s="542">
        <v>998736</v>
      </c>
      <c r="I57" s="543"/>
      <c r="J57" s="542">
        <v>18</v>
      </c>
      <c r="K57" s="541"/>
      <c r="L57" s="540" t="s">
        <v>652</v>
      </c>
      <c r="M57" s="542" t="s">
        <v>299</v>
      </c>
      <c r="N57" s="542">
        <v>2</v>
      </c>
      <c r="O57" s="717"/>
      <c r="P57" s="539" t="str">
        <f t="shared" si="10"/>
        <v>INCLUDED</v>
      </c>
      <c r="Q57" s="723">
        <f t="shared" si="11"/>
        <v>0</v>
      </c>
      <c r="R57" s="446">
        <f t="shared" si="12"/>
        <v>0</v>
      </c>
      <c r="S57" s="612">
        <f>Discount!$J$36</f>
        <v>0</v>
      </c>
      <c r="T57" s="446">
        <f t="shared" si="13"/>
        <v>0</v>
      </c>
      <c r="U57" s="447">
        <f t="shared" si="14"/>
        <v>0</v>
      </c>
      <c r="V57" s="724">
        <f t="shared" si="15"/>
        <v>0</v>
      </c>
      <c r="W57" s="857">
        <f t="shared" si="16"/>
        <v>0</v>
      </c>
      <c r="X57" s="724">
        <f t="shared" si="17"/>
        <v>0</v>
      </c>
      <c r="Y57" s="725">
        <f t="shared" si="18"/>
        <v>0.18</v>
      </c>
      <c r="Z57" s="724">
        <f t="shared" si="19"/>
        <v>0</v>
      </c>
      <c r="AA57" s="725"/>
      <c r="AB57" s="726"/>
      <c r="AC57" s="726"/>
      <c r="AD57" s="726"/>
      <c r="AE57" s="726"/>
    </row>
    <row r="58" spans="1:40" s="727" customFormat="1" ht="94.5">
      <c r="A58" s="709">
        <v>41</v>
      </c>
      <c r="B58" s="542">
        <v>7000016907</v>
      </c>
      <c r="C58" s="542">
        <v>1110</v>
      </c>
      <c r="D58" s="542">
        <v>1520</v>
      </c>
      <c r="E58" s="542">
        <v>10</v>
      </c>
      <c r="F58" s="542" t="s">
        <v>525</v>
      </c>
      <c r="G58" s="542">
        <v>100002500</v>
      </c>
      <c r="H58" s="542">
        <v>998731</v>
      </c>
      <c r="I58" s="543"/>
      <c r="J58" s="542">
        <v>18</v>
      </c>
      <c r="K58" s="541"/>
      <c r="L58" s="540" t="s">
        <v>560</v>
      </c>
      <c r="M58" s="542" t="s">
        <v>300</v>
      </c>
      <c r="N58" s="542">
        <v>1</v>
      </c>
      <c r="O58" s="717"/>
      <c r="P58" s="539" t="str">
        <f t="shared" si="10"/>
        <v>INCLUDED</v>
      </c>
      <c r="Q58" s="723">
        <f t="shared" si="11"/>
        <v>0</v>
      </c>
      <c r="R58" s="446">
        <f t="shared" si="12"/>
        <v>0</v>
      </c>
      <c r="S58" s="612">
        <f>Discount!$J$36</f>
        <v>0</v>
      </c>
      <c r="T58" s="446">
        <f t="shared" si="13"/>
        <v>0</v>
      </c>
      <c r="U58" s="447">
        <f t="shared" si="14"/>
        <v>0</v>
      </c>
      <c r="V58" s="724">
        <f t="shared" si="15"/>
        <v>0</v>
      </c>
      <c r="W58" s="857">
        <f t="shared" si="16"/>
        <v>0</v>
      </c>
      <c r="X58" s="724">
        <f t="shared" si="17"/>
        <v>0</v>
      </c>
      <c r="Y58" s="725">
        <f t="shared" si="18"/>
        <v>0.18</v>
      </c>
      <c r="Z58" s="724">
        <f t="shared" si="19"/>
        <v>0</v>
      </c>
      <c r="AA58" s="725"/>
      <c r="AB58" s="726"/>
      <c r="AC58" s="726"/>
      <c r="AD58" s="726"/>
      <c r="AE58" s="726"/>
    </row>
    <row r="59" spans="1:40" s="731" customFormat="1" ht="31.5">
      <c r="A59" s="709">
        <v>42</v>
      </c>
      <c r="B59" s="542">
        <v>7000016907</v>
      </c>
      <c r="C59" s="542">
        <v>1120</v>
      </c>
      <c r="D59" s="542">
        <v>1530</v>
      </c>
      <c r="E59" s="542">
        <v>10</v>
      </c>
      <c r="F59" s="542" t="s">
        <v>668</v>
      </c>
      <c r="G59" s="542">
        <v>100003517</v>
      </c>
      <c r="H59" s="542">
        <v>998734</v>
      </c>
      <c r="I59" s="543"/>
      <c r="J59" s="542">
        <v>18</v>
      </c>
      <c r="K59" s="541"/>
      <c r="L59" s="540" t="s">
        <v>775</v>
      </c>
      <c r="M59" s="542" t="s">
        <v>478</v>
      </c>
      <c r="N59" s="542">
        <v>1.5</v>
      </c>
      <c r="O59" s="717"/>
      <c r="P59" s="539" t="str">
        <f t="shared" si="10"/>
        <v>INCLUDED</v>
      </c>
      <c r="Q59" s="723">
        <f t="shared" si="11"/>
        <v>0</v>
      </c>
      <c r="R59" s="446">
        <f t="shared" si="12"/>
        <v>0</v>
      </c>
      <c r="S59" s="612">
        <f>Discount!$J$36</f>
        <v>0</v>
      </c>
      <c r="T59" s="446">
        <f t="shared" si="13"/>
        <v>0</v>
      </c>
      <c r="U59" s="447">
        <f t="shared" si="14"/>
        <v>0</v>
      </c>
      <c r="V59" s="724">
        <f t="shared" si="15"/>
        <v>0</v>
      </c>
      <c r="W59" s="857">
        <f t="shared" si="16"/>
        <v>0</v>
      </c>
      <c r="X59" s="724">
        <f t="shared" si="17"/>
        <v>0</v>
      </c>
      <c r="Y59" s="725">
        <f t="shared" si="18"/>
        <v>0.18</v>
      </c>
      <c r="Z59" s="724">
        <f t="shared" si="19"/>
        <v>0</v>
      </c>
      <c r="AA59" s="725"/>
      <c r="AB59" s="726"/>
      <c r="AC59" s="726"/>
      <c r="AD59" s="726"/>
      <c r="AE59" s="726"/>
      <c r="AF59" s="727"/>
      <c r="AG59" s="727"/>
      <c r="AH59" s="727"/>
      <c r="AI59" s="727"/>
      <c r="AJ59" s="727"/>
      <c r="AK59" s="727"/>
      <c r="AL59" s="727"/>
      <c r="AM59" s="727"/>
      <c r="AN59" s="727"/>
    </row>
    <row r="60" spans="1:40" s="731" customFormat="1" ht="31.5">
      <c r="A60" s="709">
        <v>43</v>
      </c>
      <c r="B60" s="542">
        <v>7000016907</v>
      </c>
      <c r="C60" s="542">
        <v>1120</v>
      </c>
      <c r="D60" s="542">
        <v>1530</v>
      </c>
      <c r="E60" s="542">
        <v>20</v>
      </c>
      <c r="F60" s="542" t="s">
        <v>668</v>
      </c>
      <c r="G60" s="542">
        <v>100000891</v>
      </c>
      <c r="H60" s="542">
        <v>998734</v>
      </c>
      <c r="I60" s="543"/>
      <c r="J60" s="542">
        <v>18</v>
      </c>
      <c r="K60" s="541"/>
      <c r="L60" s="540" t="s">
        <v>703</v>
      </c>
      <c r="M60" s="542" t="s">
        <v>299</v>
      </c>
      <c r="N60" s="542">
        <v>2</v>
      </c>
      <c r="O60" s="717"/>
      <c r="P60" s="539" t="str">
        <f t="shared" si="10"/>
        <v>INCLUDED</v>
      </c>
      <c r="Q60" s="723">
        <f t="shared" si="11"/>
        <v>0</v>
      </c>
      <c r="R60" s="446">
        <f t="shared" si="12"/>
        <v>0</v>
      </c>
      <c r="S60" s="612">
        <f>Discount!$J$36</f>
        <v>0</v>
      </c>
      <c r="T60" s="446">
        <f t="shared" si="13"/>
        <v>0</v>
      </c>
      <c r="U60" s="447">
        <f t="shared" si="14"/>
        <v>0</v>
      </c>
      <c r="V60" s="724">
        <f t="shared" si="15"/>
        <v>0</v>
      </c>
      <c r="W60" s="857">
        <f t="shared" si="16"/>
        <v>0</v>
      </c>
      <c r="X60" s="724">
        <f t="shared" si="17"/>
        <v>0</v>
      </c>
      <c r="Y60" s="725">
        <f t="shared" si="18"/>
        <v>0.18</v>
      </c>
      <c r="Z60" s="724">
        <f t="shared" si="19"/>
        <v>0</v>
      </c>
      <c r="AA60" s="725"/>
      <c r="AB60" s="726"/>
      <c r="AC60" s="726"/>
      <c r="AD60" s="726"/>
      <c r="AE60" s="726"/>
      <c r="AF60" s="727"/>
      <c r="AG60" s="727"/>
      <c r="AH60" s="727"/>
      <c r="AI60" s="727"/>
      <c r="AJ60" s="727"/>
      <c r="AK60" s="727"/>
      <c r="AL60" s="727"/>
      <c r="AM60" s="727"/>
      <c r="AN60" s="727"/>
    </row>
    <row r="61" spans="1:40" s="731" customFormat="1" ht="31.5">
      <c r="A61" s="709">
        <v>44</v>
      </c>
      <c r="B61" s="542">
        <v>7000016907</v>
      </c>
      <c r="C61" s="542">
        <v>1120</v>
      </c>
      <c r="D61" s="542">
        <v>1530</v>
      </c>
      <c r="E61" s="542">
        <v>30</v>
      </c>
      <c r="F61" s="542" t="s">
        <v>668</v>
      </c>
      <c r="G61" s="542">
        <v>100000890</v>
      </c>
      <c r="H61" s="542">
        <v>998734</v>
      </c>
      <c r="I61" s="543"/>
      <c r="J61" s="542">
        <v>18</v>
      </c>
      <c r="K61" s="541"/>
      <c r="L61" s="540" t="s">
        <v>776</v>
      </c>
      <c r="M61" s="542" t="s">
        <v>299</v>
      </c>
      <c r="N61" s="542">
        <v>2</v>
      </c>
      <c r="O61" s="717"/>
      <c r="P61" s="539" t="str">
        <f t="shared" si="10"/>
        <v>INCLUDED</v>
      </c>
      <c r="Q61" s="723">
        <f t="shared" si="11"/>
        <v>0</v>
      </c>
      <c r="R61" s="446">
        <f t="shared" si="12"/>
        <v>0</v>
      </c>
      <c r="S61" s="612">
        <f>Discount!$J$36</f>
        <v>0</v>
      </c>
      <c r="T61" s="446">
        <f t="shared" si="13"/>
        <v>0</v>
      </c>
      <c r="U61" s="447">
        <f t="shared" si="14"/>
        <v>0</v>
      </c>
      <c r="V61" s="724">
        <f t="shared" si="15"/>
        <v>0</v>
      </c>
      <c r="W61" s="857">
        <f t="shared" si="16"/>
        <v>0</v>
      </c>
      <c r="X61" s="724">
        <f t="shared" si="17"/>
        <v>0</v>
      </c>
      <c r="Y61" s="725">
        <f t="shared" si="18"/>
        <v>0.18</v>
      </c>
      <c r="Z61" s="724">
        <f t="shared" si="19"/>
        <v>0</v>
      </c>
      <c r="AA61" s="725"/>
      <c r="AB61" s="726"/>
      <c r="AC61" s="726"/>
      <c r="AD61" s="726"/>
      <c r="AE61" s="726"/>
      <c r="AF61" s="727"/>
      <c r="AG61" s="727"/>
      <c r="AH61" s="727"/>
      <c r="AI61" s="727"/>
      <c r="AJ61" s="727"/>
      <c r="AK61" s="727"/>
      <c r="AL61" s="727"/>
      <c r="AM61" s="727"/>
      <c r="AN61" s="727"/>
    </row>
    <row r="62" spans="1:40" s="727" customFormat="1" ht="31.5">
      <c r="A62" s="709">
        <v>45</v>
      </c>
      <c r="B62" s="542">
        <v>7000016907</v>
      </c>
      <c r="C62" s="542">
        <v>1120</v>
      </c>
      <c r="D62" s="542">
        <v>1530</v>
      </c>
      <c r="E62" s="542">
        <v>50</v>
      </c>
      <c r="F62" s="542" t="s">
        <v>668</v>
      </c>
      <c r="G62" s="542">
        <v>100000888</v>
      </c>
      <c r="H62" s="542">
        <v>998734</v>
      </c>
      <c r="I62" s="543"/>
      <c r="J62" s="542">
        <v>18</v>
      </c>
      <c r="K62" s="541"/>
      <c r="L62" s="540" t="s">
        <v>701</v>
      </c>
      <c r="M62" s="542" t="s">
        <v>299</v>
      </c>
      <c r="N62" s="542">
        <v>2</v>
      </c>
      <c r="O62" s="717"/>
      <c r="P62" s="539" t="str">
        <f t="shared" si="10"/>
        <v>INCLUDED</v>
      </c>
      <c r="Q62" s="723">
        <f t="shared" si="11"/>
        <v>0</v>
      </c>
      <c r="R62" s="446">
        <f t="shared" si="12"/>
        <v>0</v>
      </c>
      <c r="S62" s="612">
        <f>Discount!$J$36</f>
        <v>0</v>
      </c>
      <c r="T62" s="446">
        <f t="shared" si="13"/>
        <v>0</v>
      </c>
      <c r="U62" s="447">
        <f t="shared" si="14"/>
        <v>0</v>
      </c>
      <c r="V62" s="724">
        <f t="shared" si="15"/>
        <v>0</v>
      </c>
      <c r="W62" s="857">
        <f t="shared" si="16"/>
        <v>0</v>
      </c>
      <c r="X62" s="724">
        <f t="shared" si="17"/>
        <v>0</v>
      </c>
      <c r="Y62" s="725">
        <f t="shared" si="18"/>
        <v>0.18</v>
      </c>
      <c r="Z62" s="724">
        <f t="shared" si="19"/>
        <v>0</v>
      </c>
      <c r="AA62" s="725"/>
      <c r="AB62" s="726"/>
      <c r="AC62" s="726"/>
      <c r="AD62" s="726"/>
      <c r="AE62" s="726"/>
    </row>
    <row r="63" spans="1:40" s="727" customFormat="1" ht="31.5">
      <c r="A63" s="709">
        <v>46</v>
      </c>
      <c r="B63" s="542">
        <v>7000016907</v>
      </c>
      <c r="C63" s="542">
        <v>1120</v>
      </c>
      <c r="D63" s="542">
        <v>1530</v>
      </c>
      <c r="E63" s="542">
        <v>60</v>
      </c>
      <c r="F63" s="542" t="s">
        <v>668</v>
      </c>
      <c r="G63" s="542">
        <v>100000886</v>
      </c>
      <c r="H63" s="542">
        <v>998734</v>
      </c>
      <c r="I63" s="543"/>
      <c r="J63" s="542">
        <v>18</v>
      </c>
      <c r="K63" s="541"/>
      <c r="L63" s="540" t="s">
        <v>700</v>
      </c>
      <c r="M63" s="542" t="s">
        <v>299</v>
      </c>
      <c r="N63" s="542">
        <v>2</v>
      </c>
      <c r="O63" s="717"/>
      <c r="P63" s="539" t="str">
        <f t="shared" si="10"/>
        <v>INCLUDED</v>
      </c>
      <c r="Q63" s="723">
        <f t="shared" si="11"/>
        <v>0</v>
      </c>
      <c r="R63" s="446">
        <f t="shared" si="12"/>
        <v>0</v>
      </c>
      <c r="S63" s="612">
        <f>Discount!$J$36</f>
        <v>0</v>
      </c>
      <c r="T63" s="446">
        <f t="shared" si="13"/>
        <v>0</v>
      </c>
      <c r="U63" s="447">
        <f t="shared" si="14"/>
        <v>0</v>
      </c>
      <c r="V63" s="724">
        <f t="shared" si="15"/>
        <v>0</v>
      </c>
      <c r="W63" s="857">
        <f t="shared" si="16"/>
        <v>0</v>
      </c>
      <c r="X63" s="724">
        <f t="shared" si="17"/>
        <v>0</v>
      </c>
      <c r="Y63" s="725">
        <f t="shared" si="18"/>
        <v>0.18</v>
      </c>
      <c r="Z63" s="724">
        <f t="shared" si="19"/>
        <v>0</v>
      </c>
      <c r="AA63" s="725"/>
      <c r="AB63" s="726"/>
      <c r="AC63" s="726"/>
      <c r="AD63" s="726"/>
      <c r="AE63" s="726"/>
    </row>
    <row r="64" spans="1:40" s="727" customFormat="1" ht="31.5">
      <c r="A64" s="709">
        <v>47</v>
      </c>
      <c r="B64" s="542">
        <v>7000016907</v>
      </c>
      <c r="C64" s="542">
        <v>1120</v>
      </c>
      <c r="D64" s="542">
        <v>1530</v>
      </c>
      <c r="E64" s="542">
        <v>70</v>
      </c>
      <c r="F64" s="542" t="s">
        <v>668</v>
      </c>
      <c r="G64" s="542">
        <v>100002042</v>
      </c>
      <c r="H64" s="542">
        <v>998734</v>
      </c>
      <c r="I64" s="543"/>
      <c r="J64" s="542">
        <v>18</v>
      </c>
      <c r="K64" s="541"/>
      <c r="L64" s="540" t="s">
        <v>599</v>
      </c>
      <c r="M64" s="542" t="s">
        <v>299</v>
      </c>
      <c r="N64" s="542">
        <v>4</v>
      </c>
      <c r="O64" s="717"/>
      <c r="P64" s="539" t="str">
        <f t="shared" si="10"/>
        <v>INCLUDED</v>
      </c>
      <c r="Q64" s="723">
        <f t="shared" si="11"/>
        <v>0</v>
      </c>
      <c r="R64" s="446">
        <f t="shared" si="12"/>
        <v>0</v>
      </c>
      <c r="S64" s="612">
        <f>Discount!$J$36</f>
        <v>0</v>
      </c>
      <c r="T64" s="446">
        <f t="shared" si="13"/>
        <v>0</v>
      </c>
      <c r="U64" s="447">
        <f t="shared" si="14"/>
        <v>0</v>
      </c>
      <c r="V64" s="724">
        <f t="shared" si="15"/>
        <v>0</v>
      </c>
      <c r="W64" s="857">
        <f t="shared" si="16"/>
        <v>0</v>
      </c>
      <c r="X64" s="724">
        <f t="shared" si="17"/>
        <v>0</v>
      </c>
      <c r="Y64" s="725">
        <f t="shared" si="18"/>
        <v>0.18</v>
      </c>
      <c r="Z64" s="724">
        <f t="shared" si="19"/>
        <v>0</v>
      </c>
      <c r="AA64" s="725"/>
      <c r="AB64" s="726"/>
      <c r="AC64" s="726"/>
      <c r="AD64" s="726"/>
      <c r="AE64" s="726"/>
    </row>
    <row r="65" spans="1:31" s="727" customFormat="1" ht="31.5">
      <c r="A65" s="709">
        <v>48</v>
      </c>
      <c r="B65" s="542">
        <v>7000016907</v>
      </c>
      <c r="C65" s="542">
        <v>1120</v>
      </c>
      <c r="D65" s="542">
        <v>1530</v>
      </c>
      <c r="E65" s="542">
        <v>80</v>
      </c>
      <c r="F65" s="542" t="s">
        <v>668</v>
      </c>
      <c r="G65" s="542">
        <v>100000883</v>
      </c>
      <c r="H65" s="542">
        <v>998734</v>
      </c>
      <c r="I65" s="543"/>
      <c r="J65" s="542">
        <v>18</v>
      </c>
      <c r="K65" s="541"/>
      <c r="L65" s="540" t="s">
        <v>588</v>
      </c>
      <c r="M65" s="542" t="s">
        <v>299</v>
      </c>
      <c r="N65" s="542">
        <v>12</v>
      </c>
      <c r="O65" s="717"/>
      <c r="P65" s="539" t="str">
        <f t="shared" si="10"/>
        <v>INCLUDED</v>
      </c>
      <c r="Q65" s="723">
        <f t="shared" si="11"/>
        <v>0</v>
      </c>
      <c r="R65" s="446">
        <f t="shared" si="12"/>
        <v>0</v>
      </c>
      <c r="S65" s="612">
        <f>Discount!$J$36</f>
        <v>0</v>
      </c>
      <c r="T65" s="446">
        <f t="shared" si="13"/>
        <v>0</v>
      </c>
      <c r="U65" s="447">
        <f t="shared" si="14"/>
        <v>0</v>
      </c>
      <c r="V65" s="724">
        <f t="shared" si="15"/>
        <v>0</v>
      </c>
      <c r="W65" s="857">
        <f t="shared" si="16"/>
        <v>0</v>
      </c>
      <c r="X65" s="724">
        <f t="shared" si="17"/>
        <v>0</v>
      </c>
      <c r="Y65" s="725">
        <f t="shared" si="18"/>
        <v>0.18</v>
      </c>
      <c r="Z65" s="724">
        <f t="shared" si="19"/>
        <v>0</v>
      </c>
      <c r="AA65" s="725"/>
      <c r="AB65" s="726"/>
      <c r="AC65" s="726"/>
      <c r="AD65" s="726"/>
      <c r="AE65" s="726"/>
    </row>
    <row r="66" spans="1:31" s="727" customFormat="1" ht="31.5">
      <c r="A66" s="709">
        <v>49</v>
      </c>
      <c r="B66" s="542">
        <v>7000016907</v>
      </c>
      <c r="C66" s="542">
        <v>1130</v>
      </c>
      <c r="D66" s="542">
        <v>1590</v>
      </c>
      <c r="E66" s="542">
        <v>120</v>
      </c>
      <c r="F66" s="542" t="s">
        <v>526</v>
      </c>
      <c r="G66" s="542">
        <v>100002182</v>
      </c>
      <c r="H66" s="542">
        <v>998736</v>
      </c>
      <c r="I66" s="543"/>
      <c r="J66" s="542">
        <v>18</v>
      </c>
      <c r="K66" s="541"/>
      <c r="L66" s="540" t="s">
        <v>564</v>
      </c>
      <c r="M66" s="542" t="s">
        <v>552</v>
      </c>
      <c r="N66" s="542">
        <v>1</v>
      </c>
      <c r="O66" s="717"/>
      <c r="P66" s="539" t="str">
        <f t="shared" si="10"/>
        <v>INCLUDED</v>
      </c>
      <c r="Q66" s="723">
        <f t="shared" si="11"/>
        <v>0</v>
      </c>
      <c r="R66" s="446">
        <f t="shared" si="12"/>
        <v>0</v>
      </c>
      <c r="S66" s="612">
        <f>Discount!$J$36</f>
        <v>0</v>
      </c>
      <c r="T66" s="446">
        <f t="shared" si="13"/>
        <v>0</v>
      </c>
      <c r="U66" s="447">
        <f t="shared" si="14"/>
        <v>0</v>
      </c>
      <c r="V66" s="724">
        <f t="shared" si="15"/>
        <v>0</v>
      </c>
      <c r="W66" s="857">
        <f t="shared" si="16"/>
        <v>0</v>
      </c>
      <c r="X66" s="724">
        <f t="shared" si="17"/>
        <v>0</v>
      </c>
      <c r="Y66" s="725">
        <f t="shared" si="18"/>
        <v>0.18</v>
      </c>
      <c r="Z66" s="724">
        <f t="shared" si="19"/>
        <v>0</v>
      </c>
      <c r="AA66" s="725"/>
      <c r="AB66" s="726"/>
      <c r="AC66" s="726"/>
      <c r="AD66" s="726"/>
      <c r="AE66" s="726"/>
    </row>
    <row r="67" spans="1:31" s="727" customFormat="1" ht="31.5">
      <c r="A67" s="709">
        <v>50</v>
      </c>
      <c r="B67" s="542">
        <v>7000016907</v>
      </c>
      <c r="C67" s="542">
        <v>1130</v>
      </c>
      <c r="D67" s="542">
        <v>1590</v>
      </c>
      <c r="E67" s="542">
        <v>130</v>
      </c>
      <c r="F67" s="542" t="s">
        <v>526</v>
      </c>
      <c r="G67" s="542">
        <v>100002181</v>
      </c>
      <c r="H67" s="542">
        <v>998736</v>
      </c>
      <c r="I67" s="543"/>
      <c r="J67" s="542">
        <v>18</v>
      </c>
      <c r="K67" s="541"/>
      <c r="L67" s="540" t="s">
        <v>563</v>
      </c>
      <c r="M67" s="542" t="s">
        <v>552</v>
      </c>
      <c r="N67" s="542">
        <v>1</v>
      </c>
      <c r="O67" s="717"/>
      <c r="P67" s="539" t="str">
        <f t="shared" si="10"/>
        <v>INCLUDED</v>
      </c>
      <c r="Q67" s="723">
        <f t="shared" si="11"/>
        <v>0</v>
      </c>
      <c r="R67" s="446">
        <f t="shared" si="12"/>
        <v>0</v>
      </c>
      <c r="S67" s="612">
        <f>Discount!$J$36</f>
        <v>0</v>
      </c>
      <c r="T67" s="446">
        <f t="shared" si="13"/>
        <v>0</v>
      </c>
      <c r="U67" s="447">
        <f t="shared" si="14"/>
        <v>0</v>
      </c>
      <c r="V67" s="724">
        <f t="shared" si="15"/>
        <v>0</v>
      </c>
      <c r="W67" s="857">
        <f t="shared" si="16"/>
        <v>0</v>
      </c>
      <c r="X67" s="724">
        <f t="shared" si="17"/>
        <v>0</v>
      </c>
      <c r="Y67" s="725">
        <f t="shared" si="18"/>
        <v>0.18</v>
      </c>
      <c r="Z67" s="724">
        <f t="shared" si="19"/>
        <v>0</v>
      </c>
      <c r="AA67" s="725"/>
      <c r="AB67" s="726"/>
      <c r="AC67" s="726"/>
      <c r="AD67" s="726"/>
      <c r="AE67" s="726"/>
    </row>
    <row r="68" spans="1:31" s="727" customFormat="1" ht="47.25">
      <c r="A68" s="709">
        <v>51</v>
      </c>
      <c r="B68" s="542">
        <v>7000016907</v>
      </c>
      <c r="C68" s="542">
        <v>1140</v>
      </c>
      <c r="D68" s="542">
        <v>1600</v>
      </c>
      <c r="E68" s="542">
        <v>10</v>
      </c>
      <c r="F68" s="542" t="s">
        <v>627</v>
      </c>
      <c r="G68" s="542">
        <v>100001882</v>
      </c>
      <c r="H68" s="542">
        <v>995463</v>
      </c>
      <c r="I68" s="543"/>
      <c r="J68" s="542">
        <v>18</v>
      </c>
      <c r="K68" s="541"/>
      <c r="L68" s="540" t="s">
        <v>628</v>
      </c>
      <c r="M68" s="542" t="s">
        <v>300</v>
      </c>
      <c r="N68" s="542">
        <v>2</v>
      </c>
      <c r="O68" s="717"/>
      <c r="P68" s="539" t="str">
        <f t="shared" si="10"/>
        <v>INCLUDED</v>
      </c>
      <c r="Q68" s="723">
        <f t="shared" si="11"/>
        <v>0</v>
      </c>
      <c r="R68" s="446">
        <f t="shared" si="12"/>
        <v>0</v>
      </c>
      <c r="S68" s="612">
        <f>Discount!$J$36</f>
        <v>0</v>
      </c>
      <c r="T68" s="446">
        <f t="shared" si="13"/>
        <v>0</v>
      </c>
      <c r="U68" s="447">
        <f t="shared" si="14"/>
        <v>0</v>
      </c>
      <c r="V68" s="724">
        <f t="shared" si="15"/>
        <v>0</v>
      </c>
      <c r="W68" s="857">
        <f t="shared" si="16"/>
        <v>0</v>
      </c>
      <c r="X68" s="724">
        <f t="shared" si="17"/>
        <v>0</v>
      </c>
      <c r="Y68" s="725">
        <f t="shared" si="18"/>
        <v>0.18</v>
      </c>
      <c r="Z68" s="724">
        <f t="shared" si="19"/>
        <v>0</v>
      </c>
      <c r="AA68" s="725"/>
      <c r="AB68" s="726"/>
      <c r="AC68" s="726"/>
      <c r="AD68" s="726"/>
      <c r="AE68" s="726"/>
    </row>
    <row r="69" spans="1:31" s="727" customFormat="1" ht="63">
      <c r="A69" s="709">
        <v>52</v>
      </c>
      <c r="B69" s="542">
        <v>7000016907</v>
      </c>
      <c r="C69" s="542">
        <v>1150</v>
      </c>
      <c r="D69" s="542">
        <v>1610</v>
      </c>
      <c r="E69" s="542">
        <v>10</v>
      </c>
      <c r="F69" s="542" t="s">
        <v>527</v>
      </c>
      <c r="G69" s="542">
        <v>100000981</v>
      </c>
      <c r="H69" s="542">
        <v>998736</v>
      </c>
      <c r="I69" s="543"/>
      <c r="J69" s="542">
        <v>18</v>
      </c>
      <c r="K69" s="541"/>
      <c r="L69" s="540" t="s">
        <v>777</v>
      </c>
      <c r="M69" s="542" t="s">
        <v>300</v>
      </c>
      <c r="N69" s="542">
        <v>3</v>
      </c>
      <c r="O69" s="717"/>
      <c r="P69" s="539" t="str">
        <f t="shared" si="0"/>
        <v>INCLUDED</v>
      </c>
      <c r="Q69" s="723">
        <f t="shared" si="1"/>
        <v>0</v>
      </c>
      <c r="R69" s="446">
        <f t="shared" si="2"/>
        <v>0</v>
      </c>
      <c r="S69" s="612">
        <f>Discount!$J$36</f>
        <v>0</v>
      </c>
      <c r="T69" s="446">
        <f t="shared" si="3"/>
        <v>0</v>
      </c>
      <c r="U69" s="447">
        <f t="shared" si="4"/>
        <v>0</v>
      </c>
      <c r="V69" s="724">
        <f t="shared" si="5"/>
        <v>0</v>
      </c>
      <c r="W69" s="857">
        <f t="shared" si="6"/>
        <v>0</v>
      </c>
      <c r="X69" s="724">
        <f t="shared" si="7"/>
        <v>0</v>
      </c>
      <c r="Y69" s="725">
        <f t="shared" si="8"/>
        <v>0.18</v>
      </c>
      <c r="Z69" s="724">
        <f t="shared" si="9"/>
        <v>0</v>
      </c>
      <c r="AA69" s="725"/>
      <c r="AB69" s="726"/>
      <c r="AC69" s="726"/>
      <c r="AD69" s="726"/>
      <c r="AE69" s="726"/>
    </row>
    <row r="70" spans="1:31" s="727" customFormat="1" ht="31.5">
      <c r="A70" s="709">
        <v>53</v>
      </c>
      <c r="B70" s="542">
        <v>7000016907</v>
      </c>
      <c r="C70" s="542">
        <v>1150</v>
      </c>
      <c r="D70" s="542">
        <v>1610</v>
      </c>
      <c r="E70" s="542">
        <v>20</v>
      </c>
      <c r="F70" s="542" t="s">
        <v>527</v>
      </c>
      <c r="G70" s="542">
        <v>100002062</v>
      </c>
      <c r="H70" s="542">
        <v>995461</v>
      </c>
      <c r="I70" s="543"/>
      <c r="J70" s="542">
        <v>18</v>
      </c>
      <c r="K70" s="541"/>
      <c r="L70" s="540" t="s">
        <v>633</v>
      </c>
      <c r="M70" s="542" t="s">
        <v>300</v>
      </c>
      <c r="N70" s="542">
        <v>2</v>
      </c>
      <c r="O70" s="717"/>
      <c r="P70" s="539" t="str">
        <f t="shared" si="0"/>
        <v>INCLUDED</v>
      </c>
      <c r="Q70" s="723">
        <f t="shared" si="1"/>
        <v>0</v>
      </c>
      <c r="R70" s="446">
        <f t="shared" si="2"/>
        <v>0</v>
      </c>
      <c r="S70" s="612">
        <f>Discount!$J$36</f>
        <v>0</v>
      </c>
      <c r="T70" s="446">
        <f t="shared" si="3"/>
        <v>0</v>
      </c>
      <c r="U70" s="447">
        <f t="shared" si="4"/>
        <v>0</v>
      </c>
      <c r="V70" s="724">
        <f t="shared" si="5"/>
        <v>0</v>
      </c>
      <c r="W70" s="857">
        <f t="shared" si="6"/>
        <v>0</v>
      </c>
      <c r="X70" s="724">
        <f t="shared" si="7"/>
        <v>0</v>
      </c>
      <c r="Y70" s="725">
        <f t="shared" si="8"/>
        <v>0.18</v>
      </c>
      <c r="Z70" s="724">
        <f t="shared" si="9"/>
        <v>0</v>
      </c>
      <c r="AA70" s="725"/>
      <c r="AB70" s="726"/>
      <c r="AC70" s="726"/>
      <c r="AD70" s="726"/>
      <c r="AE70" s="726"/>
    </row>
    <row r="71" spans="1:31" s="727" customFormat="1" ht="31.5">
      <c r="A71" s="709">
        <v>54</v>
      </c>
      <c r="B71" s="542">
        <v>7000016907</v>
      </c>
      <c r="C71" s="542">
        <v>1150</v>
      </c>
      <c r="D71" s="542">
        <v>1610</v>
      </c>
      <c r="E71" s="542">
        <v>30</v>
      </c>
      <c r="F71" s="542" t="s">
        <v>527</v>
      </c>
      <c r="G71" s="542">
        <v>100000975</v>
      </c>
      <c r="H71" s="542">
        <v>995461</v>
      </c>
      <c r="I71" s="543"/>
      <c r="J71" s="542">
        <v>18</v>
      </c>
      <c r="K71" s="541"/>
      <c r="L71" s="540" t="s">
        <v>602</v>
      </c>
      <c r="M71" s="542" t="s">
        <v>299</v>
      </c>
      <c r="N71" s="542">
        <v>2</v>
      </c>
      <c r="O71" s="717"/>
      <c r="P71" s="539" t="str">
        <f t="shared" si="0"/>
        <v>INCLUDED</v>
      </c>
      <c r="Q71" s="723">
        <f t="shared" si="1"/>
        <v>0</v>
      </c>
      <c r="R71" s="446">
        <f t="shared" si="2"/>
        <v>0</v>
      </c>
      <c r="S71" s="612">
        <f>Discount!$J$36</f>
        <v>0</v>
      </c>
      <c r="T71" s="446">
        <f t="shared" si="3"/>
        <v>0</v>
      </c>
      <c r="U71" s="447">
        <f t="shared" si="4"/>
        <v>0</v>
      </c>
      <c r="V71" s="724">
        <f t="shared" si="5"/>
        <v>0</v>
      </c>
      <c r="W71" s="857">
        <f t="shared" si="6"/>
        <v>0</v>
      </c>
      <c r="X71" s="724">
        <f t="shared" si="7"/>
        <v>0</v>
      </c>
      <c r="Y71" s="725">
        <f t="shared" si="8"/>
        <v>0.18</v>
      </c>
      <c r="Z71" s="724">
        <f t="shared" si="9"/>
        <v>0</v>
      </c>
      <c r="AA71" s="725"/>
      <c r="AB71" s="726"/>
      <c r="AC71" s="726"/>
      <c r="AD71" s="726"/>
      <c r="AE71" s="726"/>
    </row>
    <row r="72" spans="1:31" s="727" customFormat="1" ht="31.5">
      <c r="A72" s="709">
        <v>55</v>
      </c>
      <c r="B72" s="542">
        <v>7000016907</v>
      </c>
      <c r="C72" s="542">
        <v>1160</v>
      </c>
      <c r="D72" s="542">
        <v>1620</v>
      </c>
      <c r="E72" s="542">
        <v>10</v>
      </c>
      <c r="F72" s="542" t="s">
        <v>528</v>
      </c>
      <c r="G72" s="542">
        <v>100001116</v>
      </c>
      <c r="H72" s="542">
        <v>998739</v>
      </c>
      <c r="I72" s="543"/>
      <c r="J72" s="542">
        <v>18</v>
      </c>
      <c r="K72" s="541"/>
      <c r="L72" s="540" t="s">
        <v>604</v>
      </c>
      <c r="M72" s="542" t="s">
        <v>300</v>
      </c>
      <c r="N72" s="542">
        <v>2</v>
      </c>
      <c r="O72" s="717"/>
      <c r="P72" s="539" t="str">
        <f t="shared" si="0"/>
        <v>INCLUDED</v>
      </c>
      <c r="Q72" s="723">
        <f t="shared" si="1"/>
        <v>0</v>
      </c>
      <c r="R72" s="446">
        <f t="shared" si="2"/>
        <v>0</v>
      </c>
      <c r="S72" s="612">
        <f>Discount!$J$36</f>
        <v>0</v>
      </c>
      <c r="T72" s="446">
        <f t="shared" si="3"/>
        <v>0</v>
      </c>
      <c r="U72" s="447">
        <f t="shared" si="4"/>
        <v>0</v>
      </c>
      <c r="V72" s="724">
        <f t="shared" si="5"/>
        <v>0</v>
      </c>
      <c r="W72" s="857">
        <f t="shared" si="6"/>
        <v>0</v>
      </c>
      <c r="X72" s="724">
        <f t="shared" si="7"/>
        <v>0</v>
      </c>
      <c r="Y72" s="725">
        <f t="shared" si="8"/>
        <v>0.18</v>
      </c>
      <c r="Z72" s="724">
        <f t="shared" si="9"/>
        <v>0</v>
      </c>
      <c r="AA72" s="725"/>
      <c r="AB72" s="726"/>
      <c r="AC72" s="726"/>
      <c r="AD72" s="726"/>
      <c r="AE72" s="726"/>
    </row>
    <row r="73" spans="1:31" s="727" customFormat="1" ht="31.5">
      <c r="A73" s="709">
        <v>56</v>
      </c>
      <c r="B73" s="542">
        <v>7000016907</v>
      </c>
      <c r="C73" s="542">
        <v>1160</v>
      </c>
      <c r="D73" s="542">
        <v>1620</v>
      </c>
      <c r="E73" s="542">
        <v>20</v>
      </c>
      <c r="F73" s="542" t="s">
        <v>528</v>
      </c>
      <c r="G73" s="542">
        <v>100004926</v>
      </c>
      <c r="H73" s="542">
        <v>998731</v>
      </c>
      <c r="I73" s="543"/>
      <c r="J73" s="542">
        <v>18</v>
      </c>
      <c r="K73" s="541"/>
      <c r="L73" s="540" t="s">
        <v>562</v>
      </c>
      <c r="M73" s="542" t="s">
        <v>299</v>
      </c>
      <c r="N73" s="542">
        <v>15</v>
      </c>
      <c r="O73" s="717"/>
      <c r="P73" s="539" t="str">
        <f t="shared" si="0"/>
        <v>INCLUDED</v>
      </c>
      <c r="Q73" s="723">
        <f t="shared" si="1"/>
        <v>0</v>
      </c>
      <c r="R73" s="446">
        <f t="shared" si="2"/>
        <v>0</v>
      </c>
      <c r="S73" s="612">
        <f>Discount!$J$36</f>
        <v>0</v>
      </c>
      <c r="T73" s="446">
        <f t="shared" si="3"/>
        <v>0</v>
      </c>
      <c r="U73" s="447">
        <f t="shared" si="4"/>
        <v>0</v>
      </c>
      <c r="V73" s="724">
        <f t="shared" si="5"/>
        <v>0</v>
      </c>
      <c r="W73" s="857">
        <f t="shared" si="6"/>
        <v>0</v>
      </c>
      <c r="X73" s="724">
        <f t="shared" si="7"/>
        <v>0</v>
      </c>
      <c r="Y73" s="725">
        <f t="shared" si="8"/>
        <v>0.18</v>
      </c>
      <c r="Z73" s="724">
        <f t="shared" si="9"/>
        <v>0</v>
      </c>
      <c r="AA73" s="725"/>
      <c r="AB73" s="726"/>
      <c r="AC73" s="726"/>
      <c r="AD73" s="726"/>
      <c r="AE73" s="726"/>
    </row>
    <row r="74" spans="1:31" s="727" customFormat="1" ht="31.5">
      <c r="A74" s="709">
        <v>57</v>
      </c>
      <c r="B74" s="542">
        <v>7000016907</v>
      </c>
      <c r="C74" s="542">
        <v>1160</v>
      </c>
      <c r="D74" s="542">
        <v>1620</v>
      </c>
      <c r="E74" s="542">
        <v>30</v>
      </c>
      <c r="F74" s="542" t="s">
        <v>528</v>
      </c>
      <c r="G74" s="542">
        <v>100004852</v>
      </c>
      <c r="H74" s="542">
        <v>998731</v>
      </c>
      <c r="I74" s="543"/>
      <c r="J74" s="542">
        <v>18</v>
      </c>
      <c r="K74" s="541"/>
      <c r="L74" s="540" t="s">
        <v>561</v>
      </c>
      <c r="M74" s="542" t="s">
        <v>299</v>
      </c>
      <c r="N74" s="542">
        <v>20</v>
      </c>
      <c r="O74" s="717"/>
      <c r="P74" s="539" t="str">
        <f t="shared" si="0"/>
        <v>INCLUDED</v>
      </c>
      <c r="Q74" s="723">
        <f t="shared" si="1"/>
        <v>0</v>
      </c>
      <c r="R74" s="446">
        <f t="shared" si="2"/>
        <v>0</v>
      </c>
      <c r="S74" s="612">
        <f>Discount!$J$36</f>
        <v>0</v>
      </c>
      <c r="T74" s="446">
        <f t="shared" si="3"/>
        <v>0</v>
      </c>
      <c r="U74" s="447">
        <f t="shared" si="4"/>
        <v>0</v>
      </c>
      <c r="V74" s="724">
        <f t="shared" si="5"/>
        <v>0</v>
      </c>
      <c r="W74" s="857">
        <f t="shared" si="6"/>
        <v>0</v>
      </c>
      <c r="X74" s="724">
        <f t="shared" si="7"/>
        <v>0</v>
      </c>
      <c r="Y74" s="725">
        <f t="shared" si="8"/>
        <v>0.18</v>
      </c>
      <c r="Z74" s="724">
        <f t="shared" si="9"/>
        <v>0</v>
      </c>
      <c r="AA74" s="725"/>
      <c r="AB74" s="726"/>
      <c r="AC74" s="726"/>
      <c r="AD74" s="726"/>
      <c r="AE74" s="726"/>
    </row>
    <row r="75" spans="1:31" s="727" customFormat="1" ht="31.5">
      <c r="A75" s="709">
        <v>58</v>
      </c>
      <c r="B75" s="542">
        <v>7000016907</v>
      </c>
      <c r="C75" s="542">
        <v>1160</v>
      </c>
      <c r="D75" s="542">
        <v>1620</v>
      </c>
      <c r="E75" s="542">
        <v>40</v>
      </c>
      <c r="F75" s="542" t="s">
        <v>528</v>
      </c>
      <c r="G75" s="542">
        <v>100001885</v>
      </c>
      <c r="H75" s="542">
        <v>998739</v>
      </c>
      <c r="I75" s="543"/>
      <c r="J75" s="542">
        <v>18</v>
      </c>
      <c r="K75" s="541"/>
      <c r="L75" s="540" t="s">
        <v>708</v>
      </c>
      <c r="M75" s="542" t="s">
        <v>299</v>
      </c>
      <c r="N75" s="542">
        <v>1</v>
      </c>
      <c r="O75" s="717"/>
      <c r="P75" s="539" t="str">
        <f t="shared" si="0"/>
        <v>INCLUDED</v>
      </c>
      <c r="Q75" s="723">
        <f t="shared" si="1"/>
        <v>0</v>
      </c>
      <c r="R75" s="446">
        <f t="shared" si="2"/>
        <v>0</v>
      </c>
      <c r="S75" s="612">
        <f>Discount!$J$36</f>
        <v>0</v>
      </c>
      <c r="T75" s="446">
        <f t="shared" si="3"/>
        <v>0</v>
      </c>
      <c r="U75" s="447">
        <f t="shared" si="4"/>
        <v>0</v>
      </c>
      <c r="V75" s="724">
        <f t="shared" si="5"/>
        <v>0</v>
      </c>
      <c r="W75" s="857">
        <f t="shared" si="6"/>
        <v>0</v>
      </c>
      <c r="X75" s="724">
        <f t="shared" si="7"/>
        <v>0</v>
      </c>
      <c r="Y75" s="725">
        <f t="shared" si="8"/>
        <v>0.18</v>
      </c>
      <c r="Z75" s="724">
        <f t="shared" si="9"/>
        <v>0</v>
      </c>
      <c r="AA75" s="725"/>
      <c r="AB75" s="726"/>
      <c r="AC75" s="726"/>
      <c r="AD75" s="726"/>
      <c r="AE75" s="726"/>
    </row>
    <row r="76" spans="1:31" s="727" customFormat="1" ht="31.5">
      <c r="A76" s="709">
        <v>59</v>
      </c>
      <c r="B76" s="542">
        <v>7000016907</v>
      </c>
      <c r="C76" s="542">
        <v>1160</v>
      </c>
      <c r="D76" s="542">
        <v>1620</v>
      </c>
      <c r="E76" s="542">
        <v>50</v>
      </c>
      <c r="F76" s="542" t="s">
        <v>528</v>
      </c>
      <c r="G76" s="542">
        <v>100001052</v>
      </c>
      <c r="H76" s="542">
        <v>998731</v>
      </c>
      <c r="I76" s="543"/>
      <c r="J76" s="542">
        <v>18</v>
      </c>
      <c r="K76" s="541"/>
      <c r="L76" s="540" t="s">
        <v>778</v>
      </c>
      <c r="M76" s="542" t="s">
        <v>299</v>
      </c>
      <c r="N76" s="542">
        <v>1</v>
      </c>
      <c r="O76" s="717"/>
      <c r="P76" s="539" t="str">
        <f t="shared" si="0"/>
        <v>INCLUDED</v>
      </c>
      <c r="Q76" s="723">
        <f t="shared" si="1"/>
        <v>0</v>
      </c>
      <c r="R76" s="446">
        <f t="shared" si="2"/>
        <v>0</v>
      </c>
      <c r="S76" s="612">
        <f>Discount!$J$36</f>
        <v>0</v>
      </c>
      <c r="T76" s="446">
        <f t="shared" si="3"/>
        <v>0</v>
      </c>
      <c r="U76" s="447">
        <f t="shared" si="4"/>
        <v>0</v>
      </c>
      <c r="V76" s="724">
        <f t="shared" si="5"/>
        <v>0</v>
      </c>
      <c r="W76" s="857">
        <f t="shared" si="6"/>
        <v>0</v>
      </c>
      <c r="X76" s="724">
        <f t="shared" si="7"/>
        <v>0</v>
      </c>
      <c r="Y76" s="725">
        <f t="shared" si="8"/>
        <v>0.18</v>
      </c>
      <c r="Z76" s="724">
        <f t="shared" si="9"/>
        <v>0</v>
      </c>
      <c r="AA76" s="725"/>
      <c r="AB76" s="726"/>
      <c r="AC76" s="726"/>
      <c r="AD76" s="726"/>
      <c r="AE76" s="726"/>
    </row>
    <row r="77" spans="1:31" s="727" customFormat="1" ht="31.5">
      <c r="A77" s="709">
        <v>60</v>
      </c>
      <c r="B77" s="542">
        <v>7000016907</v>
      </c>
      <c r="C77" s="542">
        <v>1160</v>
      </c>
      <c r="D77" s="542">
        <v>1620</v>
      </c>
      <c r="E77" s="542">
        <v>60</v>
      </c>
      <c r="F77" s="542" t="s">
        <v>528</v>
      </c>
      <c r="G77" s="542">
        <v>100001024</v>
      </c>
      <c r="H77" s="542">
        <v>998731</v>
      </c>
      <c r="I77" s="543"/>
      <c r="J77" s="542">
        <v>18</v>
      </c>
      <c r="K77" s="541"/>
      <c r="L77" s="540" t="s">
        <v>779</v>
      </c>
      <c r="M77" s="542" t="s">
        <v>299</v>
      </c>
      <c r="N77" s="542">
        <v>3</v>
      </c>
      <c r="O77" s="717"/>
      <c r="P77" s="539" t="str">
        <f t="shared" si="0"/>
        <v>INCLUDED</v>
      </c>
      <c r="Q77" s="723">
        <f t="shared" si="1"/>
        <v>0</v>
      </c>
      <c r="R77" s="446">
        <f t="shared" si="2"/>
        <v>0</v>
      </c>
      <c r="S77" s="612">
        <f>Discount!$J$36</f>
        <v>0</v>
      </c>
      <c r="T77" s="446">
        <f t="shared" si="3"/>
        <v>0</v>
      </c>
      <c r="U77" s="447">
        <f t="shared" si="4"/>
        <v>0</v>
      </c>
      <c r="V77" s="724">
        <f t="shared" si="5"/>
        <v>0</v>
      </c>
      <c r="W77" s="857">
        <f t="shared" si="6"/>
        <v>0</v>
      </c>
      <c r="X77" s="724">
        <f t="shared" si="7"/>
        <v>0</v>
      </c>
      <c r="Y77" s="725">
        <f t="shared" si="8"/>
        <v>0.18</v>
      </c>
      <c r="Z77" s="724">
        <f t="shared" si="9"/>
        <v>0</v>
      </c>
      <c r="AA77" s="725"/>
      <c r="AB77" s="726"/>
      <c r="AC77" s="726"/>
      <c r="AD77" s="726"/>
      <c r="AE77" s="726"/>
    </row>
    <row r="78" spans="1:31" s="727" customFormat="1" ht="31.5">
      <c r="A78" s="709">
        <v>61</v>
      </c>
      <c r="B78" s="542">
        <v>7000016907</v>
      </c>
      <c r="C78" s="542">
        <v>1160</v>
      </c>
      <c r="D78" s="542">
        <v>1620</v>
      </c>
      <c r="E78" s="542">
        <v>70</v>
      </c>
      <c r="F78" s="542" t="s">
        <v>528</v>
      </c>
      <c r="G78" s="542">
        <v>100001021</v>
      </c>
      <c r="H78" s="542">
        <v>995461</v>
      </c>
      <c r="I78" s="543"/>
      <c r="J78" s="542">
        <v>18</v>
      </c>
      <c r="K78" s="541"/>
      <c r="L78" s="540" t="s">
        <v>603</v>
      </c>
      <c r="M78" s="542" t="s">
        <v>299</v>
      </c>
      <c r="N78" s="542">
        <v>1</v>
      </c>
      <c r="O78" s="717"/>
      <c r="P78" s="539" t="str">
        <f t="shared" si="0"/>
        <v>INCLUDED</v>
      </c>
      <c r="Q78" s="723">
        <f t="shared" si="1"/>
        <v>0</v>
      </c>
      <c r="R78" s="446">
        <f t="shared" si="2"/>
        <v>0</v>
      </c>
      <c r="S78" s="612">
        <f>Discount!$J$36</f>
        <v>0</v>
      </c>
      <c r="T78" s="446">
        <f t="shared" si="3"/>
        <v>0</v>
      </c>
      <c r="U78" s="447">
        <f t="shared" si="4"/>
        <v>0</v>
      </c>
      <c r="V78" s="724">
        <f t="shared" si="5"/>
        <v>0</v>
      </c>
      <c r="W78" s="857">
        <f t="shared" si="6"/>
        <v>0</v>
      </c>
      <c r="X78" s="724">
        <f t="shared" si="7"/>
        <v>0</v>
      </c>
      <c r="Y78" s="725">
        <f t="shared" si="8"/>
        <v>0.18</v>
      </c>
      <c r="Z78" s="724">
        <f t="shared" si="9"/>
        <v>0</v>
      </c>
      <c r="AA78" s="725"/>
      <c r="AB78" s="726"/>
      <c r="AC78" s="726"/>
      <c r="AD78" s="726"/>
      <c r="AE78" s="726"/>
    </row>
    <row r="79" spans="1:31" s="727" customFormat="1" ht="47.25">
      <c r="A79" s="709">
        <v>62</v>
      </c>
      <c r="B79" s="542">
        <v>7000016907</v>
      </c>
      <c r="C79" s="542">
        <v>1170</v>
      </c>
      <c r="D79" s="542">
        <v>1650</v>
      </c>
      <c r="E79" s="542">
        <v>10</v>
      </c>
      <c r="F79" s="542" t="s">
        <v>669</v>
      </c>
      <c r="G79" s="542">
        <v>100001153</v>
      </c>
      <c r="H79" s="542">
        <v>995455</v>
      </c>
      <c r="I79" s="543"/>
      <c r="J79" s="542">
        <v>18</v>
      </c>
      <c r="K79" s="541"/>
      <c r="L79" s="540" t="s">
        <v>780</v>
      </c>
      <c r="M79" s="542" t="s">
        <v>299</v>
      </c>
      <c r="N79" s="542">
        <v>2</v>
      </c>
      <c r="O79" s="717"/>
      <c r="P79" s="539" t="str">
        <f t="shared" si="0"/>
        <v>INCLUDED</v>
      </c>
      <c r="Q79" s="723">
        <f t="shared" si="1"/>
        <v>0</v>
      </c>
      <c r="R79" s="446">
        <f t="shared" si="2"/>
        <v>0</v>
      </c>
      <c r="S79" s="612">
        <f>Discount!$J$36</f>
        <v>0</v>
      </c>
      <c r="T79" s="446">
        <f t="shared" si="3"/>
        <v>0</v>
      </c>
      <c r="U79" s="447">
        <f t="shared" si="4"/>
        <v>0</v>
      </c>
      <c r="V79" s="724">
        <f t="shared" si="5"/>
        <v>0</v>
      </c>
      <c r="W79" s="857">
        <f t="shared" si="6"/>
        <v>0</v>
      </c>
      <c r="X79" s="724">
        <f t="shared" si="7"/>
        <v>0</v>
      </c>
      <c r="Y79" s="725">
        <f t="shared" si="8"/>
        <v>0.18</v>
      </c>
      <c r="Z79" s="724">
        <f t="shared" si="9"/>
        <v>0</v>
      </c>
      <c r="AA79" s="725"/>
      <c r="AB79" s="726"/>
      <c r="AC79" s="726"/>
      <c r="AD79" s="726"/>
      <c r="AE79" s="726"/>
    </row>
    <row r="80" spans="1:31" s="727" customFormat="1" ht="47.25">
      <c r="A80" s="709">
        <v>63</v>
      </c>
      <c r="B80" s="542">
        <v>7000016907</v>
      </c>
      <c r="C80" s="542">
        <v>1170</v>
      </c>
      <c r="D80" s="542">
        <v>1650</v>
      </c>
      <c r="E80" s="542">
        <v>20</v>
      </c>
      <c r="F80" s="542" t="s">
        <v>669</v>
      </c>
      <c r="G80" s="542">
        <v>100001158</v>
      </c>
      <c r="H80" s="542">
        <v>995455</v>
      </c>
      <c r="I80" s="543"/>
      <c r="J80" s="542">
        <v>18</v>
      </c>
      <c r="K80" s="541"/>
      <c r="L80" s="540" t="s">
        <v>781</v>
      </c>
      <c r="M80" s="542" t="s">
        <v>299</v>
      </c>
      <c r="N80" s="542">
        <v>2</v>
      </c>
      <c r="O80" s="717"/>
      <c r="P80" s="539" t="str">
        <f t="shared" si="0"/>
        <v>INCLUDED</v>
      </c>
      <c r="Q80" s="723">
        <f t="shared" si="1"/>
        <v>0</v>
      </c>
      <c r="R80" s="446">
        <f t="shared" si="2"/>
        <v>0</v>
      </c>
      <c r="S80" s="612">
        <f>Discount!$J$36</f>
        <v>0</v>
      </c>
      <c r="T80" s="446">
        <f t="shared" si="3"/>
        <v>0</v>
      </c>
      <c r="U80" s="447">
        <f t="shared" si="4"/>
        <v>0</v>
      </c>
      <c r="V80" s="724">
        <f t="shared" si="5"/>
        <v>0</v>
      </c>
      <c r="W80" s="857">
        <f t="shared" si="6"/>
        <v>0</v>
      </c>
      <c r="X80" s="724">
        <f t="shared" si="7"/>
        <v>0</v>
      </c>
      <c r="Y80" s="725">
        <f t="shared" si="8"/>
        <v>0.18</v>
      </c>
      <c r="Z80" s="724">
        <f t="shared" si="9"/>
        <v>0</v>
      </c>
      <c r="AA80" s="725"/>
      <c r="AB80" s="726"/>
      <c r="AC80" s="726"/>
      <c r="AD80" s="726"/>
      <c r="AE80" s="726"/>
    </row>
    <row r="81" spans="1:40" s="727" customFormat="1" ht="47.25">
      <c r="A81" s="709">
        <v>64</v>
      </c>
      <c r="B81" s="542">
        <v>7000016907</v>
      </c>
      <c r="C81" s="542">
        <v>1170</v>
      </c>
      <c r="D81" s="542">
        <v>1650</v>
      </c>
      <c r="E81" s="542">
        <v>30</v>
      </c>
      <c r="F81" s="542" t="s">
        <v>669</v>
      </c>
      <c r="G81" s="542">
        <v>100001160</v>
      </c>
      <c r="H81" s="542">
        <v>995455</v>
      </c>
      <c r="I81" s="543"/>
      <c r="J81" s="542">
        <v>18</v>
      </c>
      <c r="K81" s="541"/>
      <c r="L81" s="540" t="s">
        <v>782</v>
      </c>
      <c r="M81" s="542" t="s">
        <v>299</v>
      </c>
      <c r="N81" s="542">
        <v>3</v>
      </c>
      <c r="O81" s="717"/>
      <c r="P81" s="539" t="str">
        <f t="shared" si="0"/>
        <v>INCLUDED</v>
      </c>
      <c r="Q81" s="723">
        <f t="shared" si="1"/>
        <v>0</v>
      </c>
      <c r="R81" s="446">
        <f t="shared" si="2"/>
        <v>0</v>
      </c>
      <c r="S81" s="612">
        <f>Discount!$J$36</f>
        <v>0</v>
      </c>
      <c r="T81" s="446">
        <f t="shared" si="3"/>
        <v>0</v>
      </c>
      <c r="U81" s="447">
        <f t="shared" si="4"/>
        <v>0</v>
      </c>
      <c r="V81" s="724">
        <f t="shared" si="5"/>
        <v>0</v>
      </c>
      <c r="W81" s="857">
        <f t="shared" si="6"/>
        <v>0</v>
      </c>
      <c r="X81" s="724">
        <f t="shared" si="7"/>
        <v>0</v>
      </c>
      <c r="Y81" s="725">
        <f t="shared" si="8"/>
        <v>0.18</v>
      </c>
      <c r="Z81" s="724">
        <f t="shared" si="9"/>
        <v>0</v>
      </c>
      <c r="AA81" s="725"/>
      <c r="AB81" s="726"/>
      <c r="AC81" s="726"/>
      <c r="AD81" s="726"/>
      <c r="AE81" s="726"/>
    </row>
    <row r="82" spans="1:40" s="727" customFormat="1" ht="47.25">
      <c r="A82" s="709">
        <v>65</v>
      </c>
      <c r="B82" s="542">
        <v>7000016907</v>
      </c>
      <c r="C82" s="542">
        <v>1170</v>
      </c>
      <c r="D82" s="542">
        <v>1650</v>
      </c>
      <c r="E82" s="542">
        <v>40</v>
      </c>
      <c r="F82" s="542" t="s">
        <v>669</v>
      </c>
      <c r="G82" s="542">
        <v>100001626</v>
      </c>
      <c r="H82" s="542">
        <v>995455</v>
      </c>
      <c r="I82" s="543"/>
      <c r="J82" s="542">
        <v>18</v>
      </c>
      <c r="K82" s="541"/>
      <c r="L82" s="540" t="s">
        <v>783</v>
      </c>
      <c r="M82" s="542" t="s">
        <v>299</v>
      </c>
      <c r="N82" s="542">
        <v>2</v>
      </c>
      <c r="O82" s="717"/>
      <c r="P82" s="539" t="str">
        <f t="shared" si="0"/>
        <v>INCLUDED</v>
      </c>
      <c r="Q82" s="723">
        <f t="shared" si="1"/>
        <v>0</v>
      </c>
      <c r="R82" s="446">
        <f t="shared" si="2"/>
        <v>0</v>
      </c>
      <c r="S82" s="612">
        <f>Discount!$J$36</f>
        <v>0</v>
      </c>
      <c r="T82" s="446">
        <f t="shared" si="3"/>
        <v>0</v>
      </c>
      <c r="U82" s="447">
        <f t="shared" si="4"/>
        <v>0</v>
      </c>
      <c r="V82" s="724">
        <f t="shared" si="5"/>
        <v>0</v>
      </c>
      <c r="W82" s="857">
        <f t="shared" si="6"/>
        <v>0</v>
      </c>
      <c r="X82" s="724">
        <f t="shared" si="7"/>
        <v>0</v>
      </c>
      <c r="Y82" s="725">
        <f t="shared" si="8"/>
        <v>0.18</v>
      </c>
      <c r="Z82" s="724">
        <f t="shared" si="9"/>
        <v>0</v>
      </c>
      <c r="AA82" s="725"/>
      <c r="AB82" s="726"/>
      <c r="AC82" s="726"/>
      <c r="AD82" s="726"/>
      <c r="AE82" s="726"/>
    </row>
    <row r="83" spans="1:40" s="727" customFormat="1" ht="47.25">
      <c r="A83" s="709">
        <v>66</v>
      </c>
      <c r="B83" s="542">
        <v>7000016907</v>
      </c>
      <c r="C83" s="542">
        <v>1170</v>
      </c>
      <c r="D83" s="542">
        <v>1650</v>
      </c>
      <c r="E83" s="542">
        <v>50</v>
      </c>
      <c r="F83" s="542" t="s">
        <v>669</v>
      </c>
      <c r="G83" s="542">
        <v>100001628</v>
      </c>
      <c r="H83" s="542">
        <v>995455</v>
      </c>
      <c r="I83" s="543"/>
      <c r="J83" s="542">
        <v>18</v>
      </c>
      <c r="K83" s="541"/>
      <c r="L83" s="540" t="s">
        <v>784</v>
      </c>
      <c r="M83" s="542" t="s">
        <v>299</v>
      </c>
      <c r="N83" s="542">
        <v>2</v>
      </c>
      <c r="O83" s="717"/>
      <c r="P83" s="539" t="str">
        <f t="shared" si="0"/>
        <v>INCLUDED</v>
      </c>
      <c r="Q83" s="723">
        <f t="shared" si="1"/>
        <v>0</v>
      </c>
      <c r="R83" s="446">
        <f t="shared" si="2"/>
        <v>0</v>
      </c>
      <c r="S83" s="612">
        <f>Discount!$J$36</f>
        <v>0</v>
      </c>
      <c r="T83" s="446">
        <f t="shared" si="3"/>
        <v>0</v>
      </c>
      <c r="U83" s="447">
        <f t="shared" si="4"/>
        <v>0</v>
      </c>
      <c r="V83" s="724">
        <f t="shared" si="5"/>
        <v>0</v>
      </c>
      <c r="W83" s="857">
        <f t="shared" si="6"/>
        <v>0</v>
      </c>
      <c r="X83" s="724">
        <f t="shared" si="7"/>
        <v>0</v>
      </c>
      <c r="Y83" s="725">
        <f t="shared" si="8"/>
        <v>0.18</v>
      </c>
      <c r="Z83" s="724">
        <f t="shared" si="9"/>
        <v>0</v>
      </c>
      <c r="AA83" s="725"/>
      <c r="AB83" s="726"/>
      <c r="AC83" s="726"/>
      <c r="AD83" s="726"/>
      <c r="AE83" s="726"/>
    </row>
    <row r="84" spans="1:40" s="727" customFormat="1" ht="47.25">
      <c r="A84" s="709">
        <v>67</v>
      </c>
      <c r="B84" s="542">
        <v>7000016907</v>
      </c>
      <c r="C84" s="542">
        <v>1170</v>
      </c>
      <c r="D84" s="542">
        <v>1650</v>
      </c>
      <c r="E84" s="542">
        <v>60</v>
      </c>
      <c r="F84" s="542" t="s">
        <v>669</v>
      </c>
      <c r="G84" s="542">
        <v>100001629</v>
      </c>
      <c r="H84" s="542">
        <v>995455</v>
      </c>
      <c r="I84" s="543"/>
      <c r="J84" s="542">
        <v>18</v>
      </c>
      <c r="K84" s="541"/>
      <c r="L84" s="540" t="s">
        <v>785</v>
      </c>
      <c r="M84" s="542" t="s">
        <v>299</v>
      </c>
      <c r="N84" s="542">
        <v>1</v>
      </c>
      <c r="O84" s="717"/>
      <c r="P84" s="539" t="str">
        <f t="shared" si="0"/>
        <v>INCLUDED</v>
      </c>
      <c r="Q84" s="723">
        <f t="shared" si="1"/>
        <v>0</v>
      </c>
      <c r="R84" s="446">
        <f t="shared" si="2"/>
        <v>0</v>
      </c>
      <c r="S84" s="612">
        <f>Discount!$J$36</f>
        <v>0</v>
      </c>
      <c r="T84" s="446">
        <f t="shared" si="3"/>
        <v>0</v>
      </c>
      <c r="U84" s="447">
        <f t="shared" si="4"/>
        <v>0</v>
      </c>
      <c r="V84" s="724">
        <f t="shared" si="5"/>
        <v>0</v>
      </c>
      <c r="W84" s="857">
        <f t="shared" si="6"/>
        <v>0</v>
      </c>
      <c r="X84" s="724">
        <f t="shared" si="7"/>
        <v>0</v>
      </c>
      <c r="Y84" s="725">
        <f t="shared" si="8"/>
        <v>0.18</v>
      </c>
      <c r="Z84" s="724">
        <f t="shared" si="9"/>
        <v>0</v>
      </c>
      <c r="AA84" s="725"/>
      <c r="AB84" s="726"/>
      <c r="AC84" s="726"/>
      <c r="AD84" s="726"/>
      <c r="AE84" s="726"/>
    </row>
    <row r="85" spans="1:40" s="731" customFormat="1" ht="47.25">
      <c r="A85" s="709">
        <v>68</v>
      </c>
      <c r="B85" s="542">
        <v>7000016907</v>
      </c>
      <c r="C85" s="542">
        <v>1170</v>
      </c>
      <c r="D85" s="542">
        <v>1650</v>
      </c>
      <c r="E85" s="542">
        <v>70</v>
      </c>
      <c r="F85" s="542" t="s">
        <v>669</v>
      </c>
      <c r="G85" s="542">
        <v>100001171</v>
      </c>
      <c r="H85" s="542">
        <v>995455</v>
      </c>
      <c r="I85" s="543"/>
      <c r="J85" s="542">
        <v>18</v>
      </c>
      <c r="K85" s="541"/>
      <c r="L85" s="540" t="s">
        <v>786</v>
      </c>
      <c r="M85" s="542" t="s">
        <v>299</v>
      </c>
      <c r="N85" s="542">
        <v>4</v>
      </c>
      <c r="O85" s="717"/>
      <c r="P85" s="539" t="str">
        <f t="shared" si="0"/>
        <v>INCLUDED</v>
      </c>
      <c r="Q85" s="723">
        <f t="shared" si="1"/>
        <v>0</v>
      </c>
      <c r="R85" s="446">
        <f t="shared" si="2"/>
        <v>0</v>
      </c>
      <c r="S85" s="612">
        <f>Discount!$J$36</f>
        <v>0</v>
      </c>
      <c r="T85" s="446">
        <f t="shared" si="3"/>
        <v>0</v>
      </c>
      <c r="U85" s="447">
        <f t="shared" si="4"/>
        <v>0</v>
      </c>
      <c r="V85" s="724">
        <f t="shared" si="5"/>
        <v>0</v>
      </c>
      <c r="W85" s="857">
        <f t="shared" si="6"/>
        <v>0</v>
      </c>
      <c r="X85" s="724">
        <f t="shared" si="7"/>
        <v>0</v>
      </c>
      <c r="Y85" s="725">
        <f t="shared" si="8"/>
        <v>0.18</v>
      </c>
      <c r="Z85" s="724">
        <f t="shared" si="9"/>
        <v>0</v>
      </c>
      <c r="AA85" s="725"/>
      <c r="AB85" s="726"/>
      <c r="AC85" s="726"/>
      <c r="AD85" s="726"/>
      <c r="AE85" s="726"/>
      <c r="AF85" s="727"/>
      <c r="AG85" s="727"/>
      <c r="AH85" s="727"/>
      <c r="AI85" s="727"/>
      <c r="AJ85" s="727"/>
      <c r="AK85" s="727"/>
      <c r="AL85" s="727"/>
      <c r="AM85" s="727"/>
      <c r="AN85" s="727"/>
    </row>
    <row r="86" spans="1:40" s="731" customFormat="1" ht="47.25">
      <c r="A86" s="709">
        <v>69</v>
      </c>
      <c r="B86" s="542">
        <v>7000016907</v>
      </c>
      <c r="C86" s="542">
        <v>1170</v>
      </c>
      <c r="D86" s="542">
        <v>1650</v>
      </c>
      <c r="E86" s="542">
        <v>80</v>
      </c>
      <c r="F86" s="542" t="s">
        <v>669</v>
      </c>
      <c r="G86" s="542">
        <v>100001172</v>
      </c>
      <c r="H86" s="542">
        <v>995455</v>
      </c>
      <c r="I86" s="543"/>
      <c r="J86" s="542">
        <v>18</v>
      </c>
      <c r="K86" s="541"/>
      <c r="L86" s="540" t="s">
        <v>787</v>
      </c>
      <c r="M86" s="542" t="s">
        <v>299</v>
      </c>
      <c r="N86" s="542">
        <v>6</v>
      </c>
      <c r="O86" s="717"/>
      <c r="P86" s="539" t="str">
        <f t="shared" si="0"/>
        <v>INCLUDED</v>
      </c>
      <c r="Q86" s="723">
        <f t="shared" si="1"/>
        <v>0</v>
      </c>
      <c r="R86" s="446">
        <f t="shared" si="2"/>
        <v>0</v>
      </c>
      <c r="S86" s="612">
        <f>Discount!$J$36</f>
        <v>0</v>
      </c>
      <c r="T86" s="446">
        <f t="shared" si="3"/>
        <v>0</v>
      </c>
      <c r="U86" s="447">
        <f t="shared" si="4"/>
        <v>0</v>
      </c>
      <c r="V86" s="724">
        <f t="shared" si="5"/>
        <v>0</v>
      </c>
      <c r="W86" s="857">
        <f t="shared" si="6"/>
        <v>0</v>
      </c>
      <c r="X86" s="724">
        <f t="shared" si="7"/>
        <v>0</v>
      </c>
      <c r="Y86" s="725">
        <f t="shared" si="8"/>
        <v>0.18</v>
      </c>
      <c r="Z86" s="724">
        <f t="shared" si="9"/>
        <v>0</v>
      </c>
      <c r="AA86" s="725"/>
      <c r="AB86" s="726"/>
      <c r="AC86" s="726"/>
      <c r="AD86" s="726"/>
      <c r="AE86" s="726"/>
      <c r="AF86" s="727"/>
      <c r="AG86" s="727"/>
      <c r="AH86" s="727"/>
      <c r="AI86" s="727"/>
      <c r="AJ86" s="727"/>
      <c r="AK86" s="727"/>
      <c r="AL86" s="727"/>
      <c r="AM86" s="727"/>
      <c r="AN86" s="727"/>
    </row>
    <row r="87" spans="1:40" s="731" customFormat="1" ht="47.25">
      <c r="A87" s="709">
        <v>70</v>
      </c>
      <c r="B87" s="542">
        <v>7000016907</v>
      </c>
      <c r="C87" s="542">
        <v>1170</v>
      </c>
      <c r="D87" s="542">
        <v>1650</v>
      </c>
      <c r="E87" s="542">
        <v>90</v>
      </c>
      <c r="F87" s="542" t="s">
        <v>669</v>
      </c>
      <c r="G87" s="542">
        <v>100001173</v>
      </c>
      <c r="H87" s="542">
        <v>995455</v>
      </c>
      <c r="I87" s="543"/>
      <c r="J87" s="542">
        <v>18</v>
      </c>
      <c r="K87" s="541"/>
      <c r="L87" s="540" t="s">
        <v>788</v>
      </c>
      <c r="M87" s="542" t="s">
        <v>299</v>
      </c>
      <c r="N87" s="542">
        <v>2</v>
      </c>
      <c r="O87" s="717"/>
      <c r="P87" s="539" t="str">
        <f t="shared" si="0"/>
        <v>INCLUDED</v>
      </c>
      <c r="Q87" s="723">
        <f t="shared" si="1"/>
        <v>0</v>
      </c>
      <c r="R87" s="446">
        <f t="shared" si="2"/>
        <v>0</v>
      </c>
      <c r="S87" s="612">
        <f>Discount!$J$36</f>
        <v>0</v>
      </c>
      <c r="T87" s="446">
        <f t="shared" si="3"/>
        <v>0</v>
      </c>
      <c r="U87" s="447">
        <f t="shared" si="4"/>
        <v>0</v>
      </c>
      <c r="V87" s="724">
        <f t="shared" si="5"/>
        <v>0</v>
      </c>
      <c r="W87" s="857">
        <f t="shared" si="6"/>
        <v>0</v>
      </c>
      <c r="X87" s="724">
        <f t="shared" si="7"/>
        <v>0</v>
      </c>
      <c r="Y87" s="725">
        <f t="shared" si="8"/>
        <v>0.18</v>
      </c>
      <c r="Z87" s="724">
        <f t="shared" si="9"/>
        <v>0</v>
      </c>
      <c r="AA87" s="725"/>
      <c r="AB87" s="726"/>
      <c r="AC87" s="726"/>
      <c r="AD87" s="726"/>
      <c r="AE87" s="726"/>
      <c r="AF87" s="727"/>
      <c r="AG87" s="727"/>
      <c r="AH87" s="727"/>
      <c r="AI87" s="727"/>
      <c r="AJ87" s="727"/>
      <c r="AK87" s="727"/>
      <c r="AL87" s="727"/>
      <c r="AM87" s="727"/>
      <c r="AN87" s="727"/>
    </row>
    <row r="88" spans="1:40" s="727" customFormat="1" ht="63">
      <c r="A88" s="709">
        <v>71</v>
      </c>
      <c r="B88" s="542">
        <v>7000016907</v>
      </c>
      <c r="C88" s="542">
        <v>1180</v>
      </c>
      <c r="D88" s="542">
        <v>1660</v>
      </c>
      <c r="E88" s="542">
        <v>10</v>
      </c>
      <c r="F88" s="542" t="s">
        <v>529</v>
      </c>
      <c r="G88" s="542">
        <v>100001217</v>
      </c>
      <c r="H88" s="542">
        <v>995455</v>
      </c>
      <c r="I88" s="543"/>
      <c r="J88" s="542">
        <v>18</v>
      </c>
      <c r="K88" s="541"/>
      <c r="L88" s="540" t="s">
        <v>789</v>
      </c>
      <c r="M88" s="542" t="s">
        <v>299</v>
      </c>
      <c r="N88" s="542">
        <v>60</v>
      </c>
      <c r="O88" s="717"/>
      <c r="P88" s="539" t="str">
        <f t="shared" si="0"/>
        <v>INCLUDED</v>
      </c>
      <c r="Q88" s="723">
        <f t="shared" si="1"/>
        <v>0</v>
      </c>
      <c r="R88" s="446">
        <f t="shared" si="2"/>
        <v>0</v>
      </c>
      <c r="S88" s="612">
        <f>Discount!$J$36</f>
        <v>0</v>
      </c>
      <c r="T88" s="446">
        <f t="shared" si="3"/>
        <v>0</v>
      </c>
      <c r="U88" s="447">
        <f t="shared" si="4"/>
        <v>0</v>
      </c>
      <c r="V88" s="724">
        <f t="shared" si="5"/>
        <v>0</v>
      </c>
      <c r="W88" s="857">
        <f t="shared" si="6"/>
        <v>0</v>
      </c>
      <c r="X88" s="724">
        <f t="shared" si="7"/>
        <v>0</v>
      </c>
      <c r="Y88" s="725">
        <f t="shared" si="8"/>
        <v>0.18</v>
      </c>
      <c r="Z88" s="724">
        <f t="shared" si="9"/>
        <v>0</v>
      </c>
      <c r="AA88" s="725"/>
      <c r="AB88" s="726"/>
      <c r="AC88" s="726"/>
      <c r="AD88" s="726"/>
      <c r="AE88" s="726"/>
    </row>
    <row r="89" spans="1:40" s="727" customFormat="1" ht="47.25">
      <c r="A89" s="709">
        <v>72</v>
      </c>
      <c r="B89" s="542">
        <v>7000016907</v>
      </c>
      <c r="C89" s="542">
        <v>1180</v>
      </c>
      <c r="D89" s="542">
        <v>1660</v>
      </c>
      <c r="E89" s="542">
        <v>20</v>
      </c>
      <c r="F89" s="542" t="s">
        <v>529</v>
      </c>
      <c r="G89" s="542">
        <v>100001212</v>
      </c>
      <c r="H89" s="542">
        <v>995455</v>
      </c>
      <c r="I89" s="543"/>
      <c r="J89" s="542">
        <v>18</v>
      </c>
      <c r="K89" s="541"/>
      <c r="L89" s="540" t="s">
        <v>790</v>
      </c>
      <c r="M89" s="542" t="s">
        <v>299</v>
      </c>
      <c r="N89" s="542">
        <v>15</v>
      </c>
      <c r="O89" s="717"/>
      <c r="P89" s="539" t="str">
        <f t="shared" si="0"/>
        <v>INCLUDED</v>
      </c>
      <c r="Q89" s="723">
        <f t="shared" si="1"/>
        <v>0</v>
      </c>
      <c r="R89" s="446">
        <f t="shared" si="2"/>
        <v>0</v>
      </c>
      <c r="S89" s="612">
        <f>Discount!$J$36</f>
        <v>0</v>
      </c>
      <c r="T89" s="446">
        <f t="shared" si="3"/>
        <v>0</v>
      </c>
      <c r="U89" s="447">
        <f t="shared" si="4"/>
        <v>0</v>
      </c>
      <c r="V89" s="724">
        <f t="shared" si="5"/>
        <v>0</v>
      </c>
      <c r="W89" s="857">
        <f t="shared" si="6"/>
        <v>0</v>
      </c>
      <c r="X89" s="724">
        <f t="shared" si="7"/>
        <v>0</v>
      </c>
      <c r="Y89" s="725">
        <f t="shared" si="8"/>
        <v>0.18</v>
      </c>
      <c r="Z89" s="724">
        <f t="shared" si="9"/>
        <v>0</v>
      </c>
      <c r="AA89" s="725"/>
      <c r="AB89" s="726"/>
      <c r="AC89" s="726"/>
      <c r="AD89" s="726"/>
      <c r="AE89" s="726"/>
    </row>
    <row r="90" spans="1:40" s="727" customFormat="1" ht="47.25">
      <c r="A90" s="709">
        <v>73</v>
      </c>
      <c r="B90" s="542">
        <v>7000016907</v>
      </c>
      <c r="C90" s="542">
        <v>1180</v>
      </c>
      <c r="D90" s="542">
        <v>1660</v>
      </c>
      <c r="E90" s="542">
        <v>30</v>
      </c>
      <c r="F90" s="542" t="s">
        <v>529</v>
      </c>
      <c r="G90" s="542">
        <v>100001213</v>
      </c>
      <c r="H90" s="542">
        <v>995455</v>
      </c>
      <c r="I90" s="543"/>
      <c r="J90" s="542">
        <v>18</v>
      </c>
      <c r="K90" s="541"/>
      <c r="L90" s="540" t="s">
        <v>791</v>
      </c>
      <c r="M90" s="542" t="s">
        <v>299</v>
      </c>
      <c r="N90" s="542">
        <v>6</v>
      </c>
      <c r="O90" s="717"/>
      <c r="P90" s="539" t="str">
        <f t="shared" si="0"/>
        <v>INCLUDED</v>
      </c>
      <c r="Q90" s="723">
        <f t="shared" si="1"/>
        <v>0</v>
      </c>
      <c r="R90" s="446">
        <f t="shared" si="2"/>
        <v>0</v>
      </c>
      <c r="S90" s="612">
        <f>Discount!$J$36</f>
        <v>0</v>
      </c>
      <c r="T90" s="446">
        <f t="shared" si="3"/>
        <v>0</v>
      </c>
      <c r="U90" s="447">
        <f t="shared" si="4"/>
        <v>0</v>
      </c>
      <c r="V90" s="724">
        <f t="shared" si="5"/>
        <v>0</v>
      </c>
      <c r="W90" s="857">
        <f t="shared" si="6"/>
        <v>0</v>
      </c>
      <c r="X90" s="724">
        <f t="shared" si="7"/>
        <v>0</v>
      </c>
      <c r="Y90" s="725">
        <f t="shared" si="8"/>
        <v>0.18</v>
      </c>
      <c r="Z90" s="724">
        <f t="shared" si="9"/>
        <v>0</v>
      </c>
      <c r="AA90" s="725"/>
      <c r="AB90" s="726"/>
      <c r="AC90" s="726"/>
      <c r="AD90" s="726"/>
      <c r="AE90" s="726"/>
    </row>
    <row r="91" spans="1:40" s="727" customFormat="1" ht="47.25">
      <c r="A91" s="709">
        <v>74</v>
      </c>
      <c r="B91" s="542">
        <v>7000016907</v>
      </c>
      <c r="C91" s="542">
        <v>1180</v>
      </c>
      <c r="D91" s="542">
        <v>1660</v>
      </c>
      <c r="E91" s="542">
        <v>40</v>
      </c>
      <c r="F91" s="542" t="s">
        <v>529</v>
      </c>
      <c r="G91" s="542">
        <v>100001214</v>
      </c>
      <c r="H91" s="542">
        <v>995455</v>
      </c>
      <c r="I91" s="543"/>
      <c r="J91" s="542">
        <v>18</v>
      </c>
      <c r="K91" s="541"/>
      <c r="L91" s="540" t="s">
        <v>792</v>
      </c>
      <c r="M91" s="542" t="s">
        <v>299</v>
      </c>
      <c r="N91" s="542">
        <v>13</v>
      </c>
      <c r="O91" s="717"/>
      <c r="P91" s="539" t="str">
        <f t="shared" si="0"/>
        <v>INCLUDED</v>
      </c>
      <c r="Q91" s="723">
        <f t="shared" si="1"/>
        <v>0</v>
      </c>
      <c r="R91" s="446">
        <f t="shared" si="2"/>
        <v>0</v>
      </c>
      <c r="S91" s="612">
        <f>Discount!$J$36</f>
        <v>0</v>
      </c>
      <c r="T91" s="446">
        <f t="shared" si="3"/>
        <v>0</v>
      </c>
      <c r="U91" s="447">
        <f t="shared" si="4"/>
        <v>0</v>
      </c>
      <c r="V91" s="724">
        <f t="shared" si="5"/>
        <v>0</v>
      </c>
      <c r="W91" s="857">
        <f t="shared" si="6"/>
        <v>0</v>
      </c>
      <c r="X91" s="724">
        <f t="shared" si="7"/>
        <v>0</v>
      </c>
      <c r="Y91" s="725">
        <f t="shared" si="8"/>
        <v>0.18</v>
      </c>
      <c r="Z91" s="724">
        <f t="shared" si="9"/>
        <v>0</v>
      </c>
      <c r="AA91" s="725"/>
      <c r="AB91" s="726"/>
      <c r="AC91" s="726"/>
      <c r="AD91" s="726"/>
      <c r="AE91" s="726"/>
    </row>
    <row r="92" spans="1:40" s="727" customFormat="1" ht="47.25">
      <c r="A92" s="709">
        <v>75</v>
      </c>
      <c r="B92" s="542">
        <v>7000016907</v>
      </c>
      <c r="C92" s="542">
        <v>1180</v>
      </c>
      <c r="D92" s="542">
        <v>1660</v>
      </c>
      <c r="E92" s="542">
        <v>50</v>
      </c>
      <c r="F92" s="542" t="s">
        <v>529</v>
      </c>
      <c r="G92" s="542">
        <v>100001216</v>
      </c>
      <c r="H92" s="542">
        <v>995455</v>
      </c>
      <c r="I92" s="543"/>
      <c r="J92" s="542">
        <v>18</v>
      </c>
      <c r="K92" s="541"/>
      <c r="L92" s="540" t="s">
        <v>793</v>
      </c>
      <c r="M92" s="542" t="s">
        <v>299</v>
      </c>
      <c r="N92" s="542">
        <v>9</v>
      </c>
      <c r="O92" s="717"/>
      <c r="P92" s="539" t="str">
        <f t="shared" si="0"/>
        <v>INCLUDED</v>
      </c>
      <c r="Q92" s="723">
        <f t="shared" si="1"/>
        <v>0</v>
      </c>
      <c r="R92" s="446">
        <f t="shared" si="2"/>
        <v>0</v>
      </c>
      <c r="S92" s="612">
        <f>Discount!$J$36</f>
        <v>0</v>
      </c>
      <c r="T92" s="446">
        <f t="shared" si="3"/>
        <v>0</v>
      </c>
      <c r="U92" s="447">
        <f t="shared" si="4"/>
        <v>0</v>
      </c>
      <c r="V92" s="724">
        <f t="shared" si="5"/>
        <v>0</v>
      </c>
      <c r="W92" s="857">
        <f t="shared" si="6"/>
        <v>0</v>
      </c>
      <c r="X92" s="724">
        <f t="shared" si="7"/>
        <v>0</v>
      </c>
      <c r="Y92" s="725">
        <f t="shared" si="8"/>
        <v>0.18</v>
      </c>
      <c r="Z92" s="724">
        <f t="shared" si="9"/>
        <v>0</v>
      </c>
      <c r="AA92" s="725"/>
      <c r="AB92" s="726"/>
      <c r="AC92" s="726"/>
      <c r="AD92" s="726"/>
      <c r="AE92" s="726"/>
    </row>
    <row r="93" spans="1:40" s="727" customFormat="1" ht="47.25">
      <c r="A93" s="709">
        <v>76</v>
      </c>
      <c r="B93" s="542">
        <v>7000016907</v>
      </c>
      <c r="C93" s="542">
        <v>1180</v>
      </c>
      <c r="D93" s="542">
        <v>1660</v>
      </c>
      <c r="E93" s="542">
        <v>60</v>
      </c>
      <c r="F93" s="542" t="s">
        <v>529</v>
      </c>
      <c r="G93" s="542">
        <v>100001215</v>
      </c>
      <c r="H93" s="542">
        <v>995455</v>
      </c>
      <c r="I93" s="543"/>
      <c r="J93" s="542">
        <v>18</v>
      </c>
      <c r="K93" s="541"/>
      <c r="L93" s="540" t="s">
        <v>794</v>
      </c>
      <c r="M93" s="542" t="s">
        <v>299</v>
      </c>
      <c r="N93" s="542">
        <v>12</v>
      </c>
      <c r="O93" s="717"/>
      <c r="P93" s="539" t="str">
        <f t="shared" si="0"/>
        <v>INCLUDED</v>
      </c>
      <c r="Q93" s="723">
        <f t="shared" si="1"/>
        <v>0</v>
      </c>
      <c r="R93" s="446">
        <f t="shared" si="2"/>
        <v>0</v>
      </c>
      <c r="S93" s="612">
        <f>Discount!$J$36</f>
        <v>0</v>
      </c>
      <c r="T93" s="446">
        <f t="shared" si="3"/>
        <v>0</v>
      </c>
      <c r="U93" s="447">
        <f t="shared" si="4"/>
        <v>0</v>
      </c>
      <c r="V93" s="724">
        <f t="shared" si="5"/>
        <v>0</v>
      </c>
      <c r="W93" s="857">
        <f t="shared" si="6"/>
        <v>0</v>
      </c>
      <c r="X93" s="724">
        <f t="shared" si="7"/>
        <v>0</v>
      </c>
      <c r="Y93" s="725">
        <f t="shared" si="8"/>
        <v>0.18</v>
      </c>
      <c r="Z93" s="724">
        <f t="shared" si="9"/>
        <v>0</v>
      </c>
      <c r="AA93" s="725"/>
      <c r="AB93" s="726"/>
      <c r="AC93" s="726"/>
      <c r="AD93" s="726"/>
      <c r="AE93" s="726"/>
    </row>
    <row r="94" spans="1:40" s="727" customFormat="1" ht="63">
      <c r="A94" s="709">
        <v>77</v>
      </c>
      <c r="B94" s="542">
        <v>7000016907</v>
      </c>
      <c r="C94" s="542">
        <v>1190</v>
      </c>
      <c r="D94" s="542">
        <v>1670</v>
      </c>
      <c r="E94" s="542">
        <v>10</v>
      </c>
      <c r="F94" s="542" t="s">
        <v>756</v>
      </c>
      <c r="G94" s="542">
        <v>100004518</v>
      </c>
      <c r="H94" s="542">
        <v>995433</v>
      </c>
      <c r="I94" s="543"/>
      <c r="J94" s="542">
        <v>18</v>
      </c>
      <c r="K94" s="541"/>
      <c r="L94" s="540" t="s">
        <v>565</v>
      </c>
      <c r="M94" s="542" t="s">
        <v>479</v>
      </c>
      <c r="N94" s="542">
        <v>16270</v>
      </c>
      <c r="O94" s="717"/>
      <c r="P94" s="539" t="str">
        <f t="shared" si="0"/>
        <v>INCLUDED</v>
      </c>
      <c r="Q94" s="723">
        <f t="shared" si="1"/>
        <v>0</v>
      </c>
      <c r="R94" s="446">
        <f t="shared" si="2"/>
        <v>0</v>
      </c>
      <c r="S94" s="612">
        <f>Discount!$J$36</f>
        <v>0</v>
      </c>
      <c r="T94" s="446">
        <f t="shared" si="3"/>
        <v>0</v>
      </c>
      <c r="U94" s="447">
        <f t="shared" si="4"/>
        <v>0</v>
      </c>
      <c r="V94" s="724">
        <f t="shared" si="5"/>
        <v>0</v>
      </c>
      <c r="W94" s="857">
        <f t="shared" si="6"/>
        <v>0</v>
      </c>
      <c r="X94" s="724">
        <f t="shared" si="7"/>
        <v>0</v>
      </c>
      <c r="Y94" s="725">
        <f t="shared" si="8"/>
        <v>0.18</v>
      </c>
      <c r="Z94" s="724">
        <f t="shared" si="9"/>
        <v>0</v>
      </c>
      <c r="AA94" s="725"/>
      <c r="AB94" s="726"/>
      <c r="AC94" s="726"/>
      <c r="AD94" s="726"/>
      <c r="AE94" s="726"/>
    </row>
    <row r="95" spans="1:40" s="727" customFormat="1">
      <c r="A95" s="709">
        <v>78</v>
      </c>
      <c r="B95" s="542">
        <v>7000016907</v>
      </c>
      <c r="C95" s="542">
        <v>1190</v>
      </c>
      <c r="D95" s="542">
        <v>1670</v>
      </c>
      <c r="E95" s="542">
        <v>20</v>
      </c>
      <c r="F95" s="542" t="s">
        <v>756</v>
      </c>
      <c r="G95" s="542">
        <v>100001325</v>
      </c>
      <c r="H95" s="542">
        <v>995454</v>
      </c>
      <c r="I95" s="543"/>
      <c r="J95" s="542">
        <v>18</v>
      </c>
      <c r="K95" s="541"/>
      <c r="L95" s="540" t="s">
        <v>566</v>
      </c>
      <c r="M95" s="542" t="s">
        <v>479</v>
      </c>
      <c r="N95" s="542">
        <v>505</v>
      </c>
      <c r="O95" s="717"/>
      <c r="P95" s="539" t="str">
        <f t="shared" si="0"/>
        <v>INCLUDED</v>
      </c>
      <c r="Q95" s="723">
        <f t="shared" si="1"/>
        <v>0</v>
      </c>
      <c r="R95" s="446">
        <f t="shared" si="2"/>
        <v>0</v>
      </c>
      <c r="S95" s="612">
        <f>Discount!$J$36</f>
        <v>0</v>
      </c>
      <c r="T95" s="446">
        <f t="shared" si="3"/>
        <v>0</v>
      </c>
      <c r="U95" s="447">
        <f t="shared" si="4"/>
        <v>0</v>
      </c>
      <c r="V95" s="724">
        <f t="shared" si="5"/>
        <v>0</v>
      </c>
      <c r="W95" s="857">
        <f t="shared" si="6"/>
        <v>0</v>
      </c>
      <c r="X95" s="724">
        <f t="shared" si="7"/>
        <v>0</v>
      </c>
      <c r="Y95" s="725">
        <f t="shared" si="8"/>
        <v>0.18</v>
      </c>
      <c r="Z95" s="724">
        <f t="shared" si="9"/>
        <v>0</v>
      </c>
      <c r="AA95" s="725"/>
      <c r="AB95" s="726"/>
      <c r="AC95" s="726"/>
      <c r="AD95" s="726"/>
      <c r="AE95" s="726"/>
    </row>
    <row r="96" spans="1:40" s="727" customFormat="1">
      <c r="A96" s="709">
        <v>79</v>
      </c>
      <c r="B96" s="542">
        <v>7000016907</v>
      </c>
      <c r="C96" s="542">
        <v>1190</v>
      </c>
      <c r="D96" s="542">
        <v>1670</v>
      </c>
      <c r="E96" s="542">
        <v>30</v>
      </c>
      <c r="F96" s="542" t="s">
        <v>756</v>
      </c>
      <c r="G96" s="542">
        <v>100001326</v>
      </c>
      <c r="H96" s="542">
        <v>995454</v>
      </c>
      <c r="I96" s="543"/>
      <c r="J96" s="542">
        <v>18</v>
      </c>
      <c r="K96" s="541"/>
      <c r="L96" s="540" t="s">
        <v>574</v>
      </c>
      <c r="M96" s="542" t="s">
        <v>479</v>
      </c>
      <c r="N96" s="542">
        <v>40</v>
      </c>
      <c r="O96" s="717"/>
      <c r="P96" s="539" t="str">
        <f t="shared" si="0"/>
        <v>INCLUDED</v>
      </c>
      <c r="Q96" s="723">
        <f t="shared" si="1"/>
        <v>0</v>
      </c>
      <c r="R96" s="446">
        <f t="shared" si="2"/>
        <v>0</v>
      </c>
      <c r="S96" s="612">
        <f>Discount!$J$36</f>
        <v>0</v>
      </c>
      <c r="T96" s="446">
        <f t="shared" si="3"/>
        <v>0</v>
      </c>
      <c r="U96" s="447">
        <f t="shared" si="4"/>
        <v>0</v>
      </c>
      <c r="V96" s="724">
        <f t="shared" si="5"/>
        <v>0</v>
      </c>
      <c r="W96" s="857">
        <f t="shared" si="6"/>
        <v>0</v>
      </c>
      <c r="X96" s="724">
        <f t="shared" si="7"/>
        <v>0</v>
      </c>
      <c r="Y96" s="725">
        <f t="shared" si="8"/>
        <v>0.18</v>
      </c>
      <c r="Z96" s="724">
        <f t="shared" si="9"/>
        <v>0</v>
      </c>
      <c r="AA96" s="725"/>
      <c r="AB96" s="726"/>
      <c r="AC96" s="726"/>
      <c r="AD96" s="726"/>
      <c r="AE96" s="726"/>
    </row>
    <row r="97" spans="1:40" s="727" customFormat="1" ht="31.5">
      <c r="A97" s="709">
        <v>80</v>
      </c>
      <c r="B97" s="542">
        <v>7000016907</v>
      </c>
      <c r="C97" s="542">
        <v>1190</v>
      </c>
      <c r="D97" s="542">
        <v>1670</v>
      </c>
      <c r="E97" s="542">
        <v>40</v>
      </c>
      <c r="F97" s="542" t="s">
        <v>756</v>
      </c>
      <c r="G97" s="542">
        <v>100001328</v>
      </c>
      <c r="H97" s="542">
        <v>995454</v>
      </c>
      <c r="I97" s="543"/>
      <c r="J97" s="542">
        <v>18</v>
      </c>
      <c r="K97" s="541"/>
      <c r="L97" s="540" t="s">
        <v>567</v>
      </c>
      <c r="M97" s="542" t="s">
        <v>479</v>
      </c>
      <c r="N97" s="542">
        <v>2025</v>
      </c>
      <c r="O97" s="717"/>
      <c r="P97" s="539" t="str">
        <f t="shared" si="0"/>
        <v>INCLUDED</v>
      </c>
      <c r="Q97" s="723">
        <f t="shared" si="1"/>
        <v>0</v>
      </c>
      <c r="R97" s="446">
        <f t="shared" si="2"/>
        <v>0</v>
      </c>
      <c r="S97" s="612">
        <f>Discount!$J$36</f>
        <v>0</v>
      </c>
      <c r="T97" s="446">
        <f t="shared" si="3"/>
        <v>0</v>
      </c>
      <c r="U97" s="447">
        <f t="shared" si="4"/>
        <v>0</v>
      </c>
      <c r="V97" s="724">
        <f t="shared" si="5"/>
        <v>0</v>
      </c>
      <c r="W97" s="857">
        <f t="shared" si="6"/>
        <v>0</v>
      </c>
      <c r="X97" s="724">
        <f t="shared" si="7"/>
        <v>0</v>
      </c>
      <c r="Y97" s="725">
        <f t="shared" si="8"/>
        <v>0.18</v>
      </c>
      <c r="Z97" s="724">
        <f t="shared" si="9"/>
        <v>0</v>
      </c>
      <c r="AA97" s="725"/>
      <c r="AB97" s="726"/>
      <c r="AC97" s="726"/>
      <c r="AD97" s="726"/>
      <c r="AE97" s="726"/>
    </row>
    <row r="98" spans="1:40" s="727" customFormat="1" ht="47.25">
      <c r="A98" s="709">
        <v>81</v>
      </c>
      <c r="B98" s="542">
        <v>7000016907</v>
      </c>
      <c r="C98" s="542">
        <v>1190</v>
      </c>
      <c r="D98" s="542">
        <v>1670</v>
      </c>
      <c r="E98" s="542">
        <v>50</v>
      </c>
      <c r="F98" s="542" t="s">
        <v>756</v>
      </c>
      <c r="G98" s="542">
        <v>100001327</v>
      </c>
      <c r="H98" s="542">
        <v>995454</v>
      </c>
      <c r="I98" s="543"/>
      <c r="J98" s="542">
        <v>18</v>
      </c>
      <c r="K98" s="541"/>
      <c r="L98" s="540" t="s">
        <v>568</v>
      </c>
      <c r="M98" s="542" t="s">
        <v>479</v>
      </c>
      <c r="N98" s="542">
        <v>3302</v>
      </c>
      <c r="O98" s="717"/>
      <c r="P98" s="539" t="str">
        <f t="shared" si="0"/>
        <v>INCLUDED</v>
      </c>
      <c r="Q98" s="723">
        <f t="shared" si="1"/>
        <v>0</v>
      </c>
      <c r="R98" s="446">
        <f t="shared" si="2"/>
        <v>0</v>
      </c>
      <c r="S98" s="612">
        <f>Discount!$J$36</f>
        <v>0</v>
      </c>
      <c r="T98" s="446">
        <f t="shared" si="3"/>
        <v>0</v>
      </c>
      <c r="U98" s="447">
        <f t="shared" si="4"/>
        <v>0</v>
      </c>
      <c r="V98" s="724">
        <f t="shared" si="5"/>
        <v>0</v>
      </c>
      <c r="W98" s="857">
        <f t="shared" si="6"/>
        <v>0</v>
      </c>
      <c r="X98" s="724">
        <f t="shared" si="7"/>
        <v>0</v>
      </c>
      <c r="Y98" s="725">
        <f t="shared" si="8"/>
        <v>0.18</v>
      </c>
      <c r="Z98" s="724">
        <f t="shared" si="9"/>
        <v>0</v>
      </c>
      <c r="AA98" s="725"/>
      <c r="AB98" s="726"/>
      <c r="AC98" s="726"/>
      <c r="AD98" s="726"/>
      <c r="AE98" s="726"/>
    </row>
    <row r="99" spans="1:40" s="727" customFormat="1">
      <c r="A99" s="709">
        <v>82</v>
      </c>
      <c r="B99" s="542">
        <v>7000016907</v>
      </c>
      <c r="C99" s="542">
        <v>1190</v>
      </c>
      <c r="D99" s="542">
        <v>1670</v>
      </c>
      <c r="E99" s="542">
        <v>60</v>
      </c>
      <c r="F99" s="542" t="s">
        <v>756</v>
      </c>
      <c r="G99" s="542">
        <v>100001329</v>
      </c>
      <c r="H99" s="542">
        <v>995454</v>
      </c>
      <c r="I99" s="543"/>
      <c r="J99" s="542">
        <v>18</v>
      </c>
      <c r="K99" s="541"/>
      <c r="L99" s="540" t="s">
        <v>569</v>
      </c>
      <c r="M99" s="542" t="s">
        <v>554</v>
      </c>
      <c r="N99" s="542">
        <v>237</v>
      </c>
      <c r="O99" s="717"/>
      <c r="P99" s="539" t="str">
        <f t="shared" si="0"/>
        <v>INCLUDED</v>
      </c>
      <c r="Q99" s="723">
        <f t="shared" si="1"/>
        <v>0</v>
      </c>
      <c r="R99" s="446">
        <f t="shared" si="2"/>
        <v>0</v>
      </c>
      <c r="S99" s="612">
        <f>Discount!$J$36</f>
        <v>0</v>
      </c>
      <c r="T99" s="446">
        <f t="shared" si="3"/>
        <v>0</v>
      </c>
      <c r="U99" s="447">
        <f t="shared" si="4"/>
        <v>0</v>
      </c>
      <c r="V99" s="724">
        <f t="shared" si="5"/>
        <v>0</v>
      </c>
      <c r="W99" s="857">
        <f t="shared" si="6"/>
        <v>0</v>
      </c>
      <c r="X99" s="724">
        <f t="shared" si="7"/>
        <v>0</v>
      </c>
      <c r="Y99" s="725">
        <f t="shared" si="8"/>
        <v>0.18</v>
      </c>
      <c r="Z99" s="724">
        <f t="shared" si="9"/>
        <v>0</v>
      </c>
      <c r="AA99" s="725"/>
      <c r="AB99" s="726"/>
      <c r="AC99" s="726"/>
      <c r="AD99" s="726"/>
      <c r="AE99" s="726"/>
    </row>
    <row r="100" spans="1:40" s="727" customFormat="1" ht="31.5">
      <c r="A100" s="709">
        <v>83</v>
      </c>
      <c r="B100" s="542">
        <v>7000016907</v>
      </c>
      <c r="C100" s="542">
        <v>1190</v>
      </c>
      <c r="D100" s="542">
        <v>1670</v>
      </c>
      <c r="E100" s="542">
        <v>70</v>
      </c>
      <c r="F100" s="542" t="s">
        <v>756</v>
      </c>
      <c r="G100" s="542">
        <v>100001330</v>
      </c>
      <c r="H100" s="542">
        <v>995428</v>
      </c>
      <c r="I100" s="543"/>
      <c r="J100" s="542">
        <v>18</v>
      </c>
      <c r="K100" s="541"/>
      <c r="L100" s="540" t="s">
        <v>795</v>
      </c>
      <c r="M100" s="542" t="s">
        <v>479</v>
      </c>
      <c r="N100" s="542">
        <v>62</v>
      </c>
      <c r="O100" s="717"/>
      <c r="P100" s="539" t="str">
        <f t="shared" si="0"/>
        <v>INCLUDED</v>
      </c>
      <c r="Q100" s="723">
        <f t="shared" si="1"/>
        <v>0</v>
      </c>
      <c r="R100" s="446">
        <f t="shared" si="2"/>
        <v>0</v>
      </c>
      <c r="S100" s="612">
        <f>Discount!$J$36</f>
        <v>0</v>
      </c>
      <c r="T100" s="446">
        <f t="shared" si="3"/>
        <v>0</v>
      </c>
      <c r="U100" s="447">
        <f t="shared" si="4"/>
        <v>0</v>
      </c>
      <c r="V100" s="724">
        <f t="shared" si="5"/>
        <v>0</v>
      </c>
      <c r="W100" s="857">
        <f t="shared" si="6"/>
        <v>0</v>
      </c>
      <c r="X100" s="724">
        <f t="shared" si="7"/>
        <v>0</v>
      </c>
      <c r="Y100" s="725">
        <f t="shared" si="8"/>
        <v>0.18</v>
      </c>
      <c r="Z100" s="724">
        <f t="shared" si="9"/>
        <v>0</v>
      </c>
      <c r="AA100" s="725"/>
      <c r="AB100" s="726"/>
      <c r="AC100" s="726"/>
      <c r="AD100" s="726"/>
      <c r="AE100" s="726"/>
    </row>
    <row r="101" spans="1:40" s="727" customFormat="1" ht="47.25">
      <c r="A101" s="709">
        <v>84</v>
      </c>
      <c r="B101" s="542">
        <v>7000016907</v>
      </c>
      <c r="C101" s="542">
        <v>1190</v>
      </c>
      <c r="D101" s="542">
        <v>1670</v>
      </c>
      <c r="E101" s="542">
        <v>80</v>
      </c>
      <c r="F101" s="542" t="s">
        <v>756</v>
      </c>
      <c r="G101" s="542">
        <v>100001331</v>
      </c>
      <c r="H101" s="542">
        <v>995455</v>
      </c>
      <c r="I101" s="543"/>
      <c r="J101" s="542">
        <v>18</v>
      </c>
      <c r="K101" s="541"/>
      <c r="L101" s="540" t="s">
        <v>570</v>
      </c>
      <c r="M101" s="542" t="s">
        <v>554</v>
      </c>
      <c r="N101" s="542">
        <v>99</v>
      </c>
      <c r="O101" s="717"/>
      <c r="P101" s="539" t="str">
        <f t="shared" si="0"/>
        <v>INCLUDED</v>
      </c>
      <c r="Q101" s="723">
        <f t="shared" si="1"/>
        <v>0</v>
      </c>
      <c r="R101" s="446">
        <f t="shared" si="2"/>
        <v>0</v>
      </c>
      <c r="S101" s="612">
        <f>Discount!$J$36</f>
        <v>0</v>
      </c>
      <c r="T101" s="446">
        <f t="shared" si="3"/>
        <v>0</v>
      </c>
      <c r="U101" s="447">
        <f t="shared" si="4"/>
        <v>0</v>
      </c>
      <c r="V101" s="724">
        <f t="shared" si="5"/>
        <v>0</v>
      </c>
      <c r="W101" s="857">
        <f t="shared" si="6"/>
        <v>0</v>
      </c>
      <c r="X101" s="724">
        <f t="shared" si="7"/>
        <v>0</v>
      </c>
      <c r="Y101" s="725">
        <f t="shared" si="8"/>
        <v>0.18</v>
      </c>
      <c r="Z101" s="724">
        <f t="shared" si="9"/>
        <v>0</v>
      </c>
      <c r="AA101" s="725"/>
      <c r="AB101" s="726"/>
      <c r="AC101" s="726"/>
      <c r="AD101" s="726"/>
      <c r="AE101" s="726"/>
    </row>
    <row r="102" spans="1:40" s="727" customFormat="1">
      <c r="A102" s="709">
        <v>85</v>
      </c>
      <c r="B102" s="542">
        <v>7000016907</v>
      </c>
      <c r="C102" s="542">
        <v>1190</v>
      </c>
      <c r="D102" s="542">
        <v>1670</v>
      </c>
      <c r="E102" s="542">
        <v>90</v>
      </c>
      <c r="F102" s="542" t="s">
        <v>756</v>
      </c>
      <c r="G102" s="542">
        <v>100001714</v>
      </c>
      <c r="H102" s="542">
        <v>995428</v>
      </c>
      <c r="I102" s="543"/>
      <c r="J102" s="542">
        <v>18</v>
      </c>
      <c r="K102" s="541"/>
      <c r="L102" s="540" t="s">
        <v>571</v>
      </c>
      <c r="M102" s="542" t="s">
        <v>573</v>
      </c>
      <c r="N102" s="542">
        <v>27000</v>
      </c>
      <c r="O102" s="717"/>
      <c r="P102" s="539" t="str">
        <f t="shared" si="0"/>
        <v>INCLUDED</v>
      </c>
      <c r="Q102" s="723">
        <f t="shared" si="1"/>
        <v>0</v>
      </c>
      <c r="R102" s="446">
        <f t="shared" si="2"/>
        <v>0</v>
      </c>
      <c r="S102" s="612">
        <f>Discount!$J$36</f>
        <v>0</v>
      </c>
      <c r="T102" s="446">
        <f t="shared" si="3"/>
        <v>0</v>
      </c>
      <c r="U102" s="447">
        <f t="shared" si="4"/>
        <v>0</v>
      </c>
      <c r="V102" s="724">
        <f t="shared" si="5"/>
        <v>0</v>
      </c>
      <c r="W102" s="857">
        <f t="shared" si="6"/>
        <v>0</v>
      </c>
      <c r="X102" s="724">
        <f t="shared" si="7"/>
        <v>0</v>
      </c>
      <c r="Y102" s="725">
        <f t="shared" si="8"/>
        <v>0.18</v>
      </c>
      <c r="Z102" s="724">
        <f t="shared" si="9"/>
        <v>0</v>
      </c>
      <c r="AA102" s="725"/>
      <c r="AB102" s="726"/>
      <c r="AC102" s="726"/>
      <c r="AD102" s="726"/>
      <c r="AE102" s="726"/>
    </row>
    <row r="103" spans="1:40" s="727" customFormat="1">
      <c r="A103" s="709">
        <v>86</v>
      </c>
      <c r="B103" s="542">
        <v>7000016907</v>
      </c>
      <c r="C103" s="542">
        <v>1190</v>
      </c>
      <c r="D103" s="542">
        <v>1670</v>
      </c>
      <c r="E103" s="542">
        <v>100</v>
      </c>
      <c r="F103" s="542" t="s">
        <v>756</v>
      </c>
      <c r="G103" s="542">
        <v>100001713</v>
      </c>
      <c r="H103" s="542">
        <v>995424</v>
      </c>
      <c r="I103" s="543"/>
      <c r="J103" s="542">
        <v>18</v>
      </c>
      <c r="K103" s="541"/>
      <c r="L103" s="540" t="s">
        <v>572</v>
      </c>
      <c r="M103" s="542" t="s">
        <v>573</v>
      </c>
      <c r="N103" s="542">
        <v>27000</v>
      </c>
      <c r="O103" s="717"/>
      <c r="P103" s="539" t="str">
        <f t="shared" si="0"/>
        <v>INCLUDED</v>
      </c>
      <c r="Q103" s="723">
        <f t="shared" si="1"/>
        <v>0</v>
      </c>
      <c r="R103" s="446">
        <f t="shared" si="2"/>
        <v>0</v>
      </c>
      <c r="S103" s="612">
        <f>Discount!$J$36</f>
        <v>0</v>
      </c>
      <c r="T103" s="446">
        <f t="shared" si="3"/>
        <v>0</v>
      </c>
      <c r="U103" s="447">
        <f t="shared" si="4"/>
        <v>0</v>
      </c>
      <c r="V103" s="724">
        <f t="shared" si="5"/>
        <v>0</v>
      </c>
      <c r="W103" s="857">
        <f t="shared" si="6"/>
        <v>0</v>
      </c>
      <c r="X103" s="724">
        <f t="shared" si="7"/>
        <v>0</v>
      </c>
      <c r="Y103" s="725">
        <f t="shared" si="8"/>
        <v>0.18</v>
      </c>
      <c r="Z103" s="724">
        <f t="shared" si="9"/>
        <v>0</v>
      </c>
      <c r="AA103" s="725"/>
      <c r="AB103" s="726"/>
      <c r="AC103" s="726"/>
      <c r="AD103" s="726"/>
      <c r="AE103" s="726"/>
    </row>
    <row r="104" spans="1:40" s="727" customFormat="1" ht="31.5">
      <c r="A104" s="709">
        <v>87</v>
      </c>
      <c r="B104" s="542">
        <v>7000016907</v>
      </c>
      <c r="C104" s="542">
        <v>1190</v>
      </c>
      <c r="D104" s="542">
        <v>1670</v>
      </c>
      <c r="E104" s="542">
        <v>110</v>
      </c>
      <c r="F104" s="542" t="s">
        <v>756</v>
      </c>
      <c r="G104" s="542">
        <v>100003114</v>
      </c>
      <c r="H104" s="542">
        <v>995454</v>
      </c>
      <c r="I104" s="543"/>
      <c r="J104" s="542">
        <v>18</v>
      </c>
      <c r="K104" s="541"/>
      <c r="L104" s="540" t="s">
        <v>796</v>
      </c>
      <c r="M104" s="542" t="s">
        <v>573</v>
      </c>
      <c r="N104" s="542">
        <v>720</v>
      </c>
      <c r="O104" s="717"/>
      <c r="P104" s="539" t="str">
        <f t="shared" si="0"/>
        <v>INCLUDED</v>
      </c>
      <c r="Q104" s="723">
        <f t="shared" si="1"/>
        <v>0</v>
      </c>
      <c r="R104" s="446">
        <f t="shared" si="2"/>
        <v>0</v>
      </c>
      <c r="S104" s="612">
        <f>Discount!$J$36</f>
        <v>0</v>
      </c>
      <c r="T104" s="446">
        <f t="shared" si="3"/>
        <v>0</v>
      </c>
      <c r="U104" s="447">
        <f t="shared" si="4"/>
        <v>0</v>
      </c>
      <c r="V104" s="724">
        <f t="shared" si="5"/>
        <v>0</v>
      </c>
      <c r="W104" s="857">
        <f t="shared" si="6"/>
        <v>0</v>
      </c>
      <c r="X104" s="724">
        <f t="shared" si="7"/>
        <v>0</v>
      </c>
      <c r="Y104" s="725">
        <f t="shared" si="8"/>
        <v>0.18</v>
      </c>
      <c r="Z104" s="724">
        <f t="shared" si="9"/>
        <v>0</v>
      </c>
      <c r="AA104" s="725"/>
      <c r="AB104" s="726"/>
      <c r="AC104" s="726"/>
      <c r="AD104" s="726"/>
      <c r="AE104" s="726"/>
    </row>
    <row r="105" spans="1:40" s="727" customFormat="1" ht="63">
      <c r="A105" s="709">
        <v>88</v>
      </c>
      <c r="B105" s="542">
        <v>7000016907</v>
      </c>
      <c r="C105" s="542">
        <v>1190</v>
      </c>
      <c r="D105" s="542">
        <v>1670</v>
      </c>
      <c r="E105" s="542">
        <v>120</v>
      </c>
      <c r="F105" s="542" t="s">
        <v>756</v>
      </c>
      <c r="G105" s="542">
        <v>100001457</v>
      </c>
      <c r="H105" s="542">
        <v>995421</v>
      </c>
      <c r="I105" s="543"/>
      <c r="J105" s="542">
        <v>18</v>
      </c>
      <c r="K105" s="541"/>
      <c r="L105" s="540" t="s">
        <v>797</v>
      </c>
      <c r="M105" s="542" t="s">
        <v>573</v>
      </c>
      <c r="N105" s="542">
        <v>258</v>
      </c>
      <c r="O105" s="717"/>
      <c r="P105" s="539" t="str">
        <f t="shared" si="0"/>
        <v>INCLUDED</v>
      </c>
      <c r="Q105" s="723">
        <f t="shared" si="1"/>
        <v>0</v>
      </c>
      <c r="R105" s="446">
        <f t="shared" si="2"/>
        <v>0</v>
      </c>
      <c r="S105" s="612">
        <f>Discount!$J$36</f>
        <v>0</v>
      </c>
      <c r="T105" s="446">
        <f t="shared" si="3"/>
        <v>0</v>
      </c>
      <c r="U105" s="447">
        <f t="shared" si="4"/>
        <v>0</v>
      </c>
      <c r="V105" s="724">
        <f t="shared" si="5"/>
        <v>0</v>
      </c>
      <c r="W105" s="857">
        <f t="shared" si="6"/>
        <v>0</v>
      </c>
      <c r="X105" s="724">
        <f t="shared" si="7"/>
        <v>0</v>
      </c>
      <c r="Y105" s="725">
        <f t="shared" si="8"/>
        <v>0.18</v>
      </c>
      <c r="Z105" s="724">
        <f t="shared" si="9"/>
        <v>0</v>
      </c>
      <c r="AA105" s="725"/>
      <c r="AB105" s="726"/>
      <c r="AC105" s="726"/>
      <c r="AD105" s="726"/>
      <c r="AE105" s="726"/>
    </row>
    <row r="106" spans="1:40" s="727" customFormat="1" ht="78.75">
      <c r="A106" s="709">
        <v>89</v>
      </c>
      <c r="B106" s="542">
        <v>7000016907</v>
      </c>
      <c r="C106" s="542">
        <v>1190</v>
      </c>
      <c r="D106" s="542">
        <v>1670</v>
      </c>
      <c r="E106" s="542">
        <v>130</v>
      </c>
      <c r="F106" s="542" t="s">
        <v>756</v>
      </c>
      <c r="G106" s="542">
        <v>130000762</v>
      </c>
      <c r="H106" s="542">
        <v>995428</v>
      </c>
      <c r="I106" s="543"/>
      <c r="J106" s="542">
        <v>18</v>
      </c>
      <c r="K106" s="541"/>
      <c r="L106" s="540" t="s">
        <v>798</v>
      </c>
      <c r="M106" s="542" t="s">
        <v>480</v>
      </c>
      <c r="N106" s="542">
        <v>100</v>
      </c>
      <c r="O106" s="717"/>
      <c r="P106" s="539" t="str">
        <f t="shared" si="0"/>
        <v>INCLUDED</v>
      </c>
      <c r="Q106" s="723">
        <f t="shared" si="1"/>
        <v>0</v>
      </c>
      <c r="R106" s="446">
        <f t="shared" si="2"/>
        <v>0</v>
      </c>
      <c r="S106" s="612">
        <f>Discount!$J$36</f>
        <v>0</v>
      </c>
      <c r="T106" s="446">
        <f t="shared" si="3"/>
        <v>0</v>
      </c>
      <c r="U106" s="447">
        <f t="shared" si="4"/>
        <v>0</v>
      </c>
      <c r="V106" s="724">
        <f t="shared" si="5"/>
        <v>0</v>
      </c>
      <c r="W106" s="857">
        <f t="shared" si="6"/>
        <v>0</v>
      </c>
      <c r="X106" s="724">
        <f t="shared" si="7"/>
        <v>0</v>
      </c>
      <c r="Y106" s="725">
        <f t="shared" si="8"/>
        <v>0.18</v>
      </c>
      <c r="Z106" s="724">
        <f t="shared" si="9"/>
        <v>0</v>
      </c>
      <c r="AA106" s="725"/>
      <c r="AB106" s="726"/>
      <c r="AC106" s="726"/>
      <c r="AD106" s="726"/>
      <c r="AE106" s="726"/>
    </row>
    <row r="107" spans="1:40" s="727" customFormat="1" ht="47.25">
      <c r="A107" s="709">
        <v>90</v>
      </c>
      <c r="B107" s="542">
        <v>7000016907</v>
      </c>
      <c r="C107" s="542">
        <v>1190</v>
      </c>
      <c r="D107" s="542">
        <v>1670</v>
      </c>
      <c r="E107" s="542">
        <v>140</v>
      </c>
      <c r="F107" s="542" t="s">
        <v>756</v>
      </c>
      <c r="G107" s="542">
        <v>100001735</v>
      </c>
      <c r="H107" s="542">
        <v>995462</v>
      </c>
      <c r="I107" s="543"/>
      <c r="J107" s="542">
        <v>18</v>
      </c>
      <c r="K107" s="541"/>
      <c r="L107" s="540" t="s">
        <v>575</v>
      </c>
      <c r="M107" s="542" t="s">
        <v>480</v>
      </c>
      <c r="N107" s="542">
        <v>20</v>
      </c>
      <c r="O107" s="717"/>
      <c r="P107" s="539" t="str">
        <f t="shared" si="0"/>
        <v>INCLUDED</v>
      </c>
      <c r="Q107" s="723">
        <f t="shared" si="1"/>
        <v>0</v>
      </c>
      <c r="R107" s="446">
        <f t="shared" si="2"/>
        <v>0</v>
      </c>
      <c r="S107" s="612">
        <f>Discount!$J$36</f>
        <v>0</v>
      </c>
      <c r="T107" s="446">
        <f t="shared" si="3"/>
        <v>0</v>
      </c>
      <c r="U107" s="447">
        <f t="shared" si="4"/>
        <v>0</v>
      </c>
      <c r="V107" s="724">
        <f t="shared" si="5"/>
        <v>0</v>
      </c>
      <c r="W107" s="857">
        <f t="shared" si="6"/>
        <v>0</v>
      </c>
      <c r="X107" s="724">
        <f t="shared" si="7"/>
        <v>0</v>
      </c>
      <c r="Y107" s="725">
        <f t="shared" si="8"/>
        <v>0.18</v>
      </c>
      <c r="Z107" s="724">
        <f t="shared" si="9"/>
        <v>0</v>
      </c>
      <c r="AA107" s="725"/>
      <c r="AB107" s="726"/>
      <c r="AC107" s="726"/>
      <c r="AD107" s="726"/>
      <c r="AE107" s="726"/>
    </row>
    <row r="108" spans="1:40" s="727" customFormat="1" ht="47.25">
      <c r="A108" s="709">
        <v>91</v>
      </c>
      <c r="B108" s="542">
        <v>7000016907</v>
      </c>
      <c r="C108" s="542">
        <v>1190</v>
      </c>
      <c r="D108" s="542">
        <v>1670</v>
      </c>
      <c r="E108" s="542">
        <v>150</v>
      </c>
      <c r="F108" s="542" t="s">
        <v>756</v>
      </c>
      <c r="G108" s="542">
        <v>100001736</v>
      </c>
      <c r="H108" s="542">
        <v>995462</v>
      </c>
      <c r="I108" s="543"/>
      <c r="J108" s="542">
        <v>18</v>
      </c>
      <c r="K108" s="541"/>
      <c r="L108" s="540" t="s">
        <v>636</v>
      </c>
      <c r="M108" s="542" t="s">
        <v>480</v>
      </c>
      <c r="N108" s="542">
        <v>20</v>
      </c>
      <c r="O108" s="717"/>
      <c r="P108" s="539" t="str">
        <f t="shared" si="0"/>
        <v>INCLUDED</v>
      </c>
      <c r="Q108" s="723">
        <f t="shared" si="1"/>
        <v>0</v>
      </c>
      <c r="R108" s="446">
        <f t="shared" si="2"/>
        <v>0</v>
      </c>
      <c r="S108" s="612">
        <f>Discount!$J$36</f>
        <v>0</v>
      </c>
      <c r="T108" s="446">
        <f t="shared" si="3"/>
        <v>0</v>
      </c>
      <c r="U108" s="447">
        <f t="shared" si="4"/>
        <v>0</v>
      </c>
      <c r="V108" s="724">
        <f t="shared" si="5"/>
        <v>0</v>
      </c>
      <c r="W108" s="857">
        <f t="shared" si="6"/>
        <v>0</v>
      </c>
      <c r="X108" s="724">
        <f t="shared" si="7"/>
        <v>0</v>
      </c>
      <c r="Y108" s="725">
        <f t="shared" si="8"/>
        <v>0.18</v>
      </c>
      <c r="Z108" s="724">
        <f t="shared" si="9"/>
        <v>0</v>
      </c>
      <c r="AA108" s="725"/>
      <c r="AB108" s="726"/>
      <c r="AC108" s="726"/>
      <c r="AD108" s="726"/>
      <c r="AE108" s="726"/>
    </row>
    <row r="109" spans="1:40" s="727" customFormat="1" ht="47.25">
      <c r="A109" s="709">
        <v>92</v>
      </c>
      <c r="B109" s="542">
        <v>7000016907</v>
      </c>
      <c r="C109" s="542">
        <v>1190</v>
      </c>
      <c r="D109" s="542">
        <v>1670</v>
      </c>
      <c r="E109" s="542">
        <v>160</v>
      </c>
      <c r="F109" s="542" t="s">
        <v>756</v>
      </c>
      <c r="G109" s="542">
        <v>100001737</v>
      </c>
      <c r="H109" s="542">
        <v>995462</v>
      </c>
      <c r="I109" s="543"/>
      <c r="J109" s="542">
        <v>18</v>
      </c>
      <c r="K109" s="541"/>
      <c r="L109" s="540" t="s">
        <v>576</v>
      </c>
      <c r="M109" s="542" t="s">
        <v>480</v>
      </c>
      <c r="N109" s="542">
        <v>20</v>
      </c>
      <c r="O109" s="717"/>
      <c r="P109" s="539" t="str">
        <f t="shared" si="0"/>
        <v>INCLUDED</v>
      </c>
      <c r="Q109" s="723">
        <f t="shared" si="1"/>
        <v>0</v>
      </c>
      <c r="R109" s="446">
        <f t="shared" si="2"/>
        <v>0</v>
      </c>
      <c r="S109" s="612">
        <f>Discount!$J$36</f>
        <v>0</v>
      </c>
      <c r="T109" s="446">
        <f t="shared" si="3"/>
        <v>0</v>
      </c>
      <c r="U109" s="447">
        <f t="shared" si="4"/>
        <v>0</v>
      </c>
      <c r="V109" s="724">
        <f t="shared" si="5"/>
        <v>0</v>
      </c>
      <c r="W109" s="857">
        <f t="shared" si="6"/>
        <v>0</v>
      </c>
      <c r="X109" s="724">
        <f t="shared" si="7"/>
        <v>0</v>
      </c>
      <c r="Y109" s="725">
        <f t="shared" si="8"/>
        <v>0.18</v>
      </c>
      <c r="Z109" s="724">
        <f t="shared" si="9"/>
        <v>0</v>
      </c>
      <c r="AA109" s="725"/>
      <c r="AB109" s="726"/>
      <c r="AC109" s="726"/>
      <c r="AD109" s="726"/>
      <c r="AE109" s="726"/>
    </row>
    <row r="110" spans="1:40" s="731" customFormat="1" ht="78.75">
      <c r="A110" s="709">
        <v>93</v>
      </c>
      <c r="B110" s="542">
        <v>7000016907</v>
      </c>
      <c r="C110" s="542">
        <v>1190</v>
      </c>
      <c r="D110" s="542">
        <v>1670</v>
      </c>
      <c r="E110" s="542">
        <v>170</v>
      </c>
      <c r="F110" s="542" t="s">
        <v>756</v>
      </c>
      <c r="G110" s="542">
        <v>100003437</v>
      </c>
      <c r="H110" s="542">
        <v>995454</v>
      </c>
      <c r="I110" s="543"/>
      <c r="J110" s="542">
        <v>18</v>
      </c>
      <c r="K110" s="541"/>
      <c r="L110" s="540" t="s">
        <v>637</v>
      </c>
      <c r="M110" s="542" t="s">
        <v>573</v>
      </c>
      <c r="N110" s="542">
        <v>54</v>
      </c>
      <c r="O110" s="717"/>
      <c r="P110" s="539" t="str">
        <f t="shared" si="0"/>
        <v>INCLUDED</v>
      </c>
      <c r="Q110" s="723">
        <f t="shared" si="1"/>
        <v>0</v>
      </c>
      <c r="R110" s="446">
        <f t="shared" si="2"/>
        <v>0</v>
      </c>
      <c r="S110" s="612">
        <f>Discount!$J$36</f>
        <v>0</v>
      </c>
      <c r="T110" s="446">
        <f t="shared" si="3"/>
        <v>0</v>
      </c>
      <c r="U110" s="447">
        <f t="shared" si="4"/>
        <v>0</v>
      </c>
      <c r="V110" s="724">
        <f t="shared" si="5"/>
        <v>0</v>
      </c>
      <c r="W110" s="857">
        <f t="shared" si="6"/>
        <v>0</v>
      </c>
      <c r="X110" s="724">
        <f t="shared" si="7"/>
        <v>0</v>
      </c>
      <c r="Y110" s="725">
        <f t="shared" si="8"/>
        <v>0.18</v>
      </c>
      <c r="Z110" s="724">
        <f t="shared" si="9"/>
        <v>0</v>
      </c>
      <c r="AA110" s="725"/>
      <c r="AB110" s="726"/>
      <c r="AC110" s="726"/>
      <c r="AD110" s="726"/>
      <c r="AE110" s="726"/>
      <c r="AF110" s="727"/>
      <c r="AG110" s="727"/>
      <c r="AH110" s="727"/>
      <c r="AI110" s="727"/>
      <c r="AJ110" s="727"/>
      <c r="AK110" s="727"/>
      <c r="AL110" s="727"/>
      <c r="AM110" s="727"/>
      <c r="AN110" s="727"/>
    </row>
    <row r="111" spans="1:40" s="731" customFormat="1" ht="78.75">
      <c r="A111" s="709">
        <v>94</v>
      </c>
      <c r="B111" s="542">
        <v>7000016907</v>
      </c>
      <c r="C111" s="542">
        <v>1190</v>
      </c>
      <c r="D111" s="542">
        <v>1670</v>
      </c>
      <c r="E111" s="542">
        <v>180</v>
      </c>
      <c r="F111" s="542" t="s">
        <v>756</v>
      </c>
      <c r="G111" s="542">
        <v>100001210</v>
      </c>
      <c r="H111" s="542">
        <v>995455</v>
      </c>
      <c r="I111" s="543"/>
      <c r="J111" s="542">
        <v>18</v>
      </c>
      <c r="K111" s="541"/>
      <c r="L111" s="540" t="s">
        <v>577</v>
      </c>
      <c r="M111" s="542" t="s">
        <v>554</v>
      </c>
      <c r="N111" s="542">
        <v>5</v>
      </c>
      <c r="O111" s="717"/>
      <c r="P111" s="539" t="str">
        <f t="shared" si="0"/>
        <v>INCLUDED</v>
      </c>
      <c r="Q111" s="723">
        <f t="shared" si="1"/>
        <v>0</v>
      </c>
      <c r="R111" s="446">
        <f t="shared" si="2"/>
        <v>0</v>
      </c>
      <c r="S111" s="612">
        <f>Discount!$J$36</f>
        <v>0</v>
      </c>
      <c r="T111" s="446">
        <f t="shared" si="3"/>
        <v>0</v>
      </c>
      <c r="U111" s="447">
        <f t="shared" si="4"/>
        <v>0</v>
      </c>
      <c r="V111" s="724">
        <f t="shared" si="5"/>
        <v>0</v>
      </c>
      <c r="W111" s="857">
        <f t="shared" si="6"/>
        <v>0</v>
      </c>
      <c r="X111" s="724">
        <f t="shared" si="7"/>
        <v>0</v>
      </c>
      <c r="Y111" s="725">
        <f t="shared" si="8"/>
        <v>0.18</v>
      </c>
      <c r="Z111" s="724">
        <f t="shared" si="9"/>
        <v>0</v>
      </c>
      <c r="AA111" s="725"/>
      <c r="AB111" s="726"/>
      <c r="AC111" s="726"/>
      <c r="AD111" s="726"/>
      <c r="AE111" s="726"/>
      <c r="AF111" s="727"/>
      <c r="AG111" s="727"/>
      <c r="AH111" s="727"/>
      <c r="AI111" s="727"/>
      <c r="AJ111" s="727"/>
      <c r="AK111" s="727"/>
      <c r="AL111" s="727"/>
      <c r="AM111" s="727"/>
      <c r="AN111" s="727"/>
    </row>
    <row r="112" spans="1:40" s="731" customFormat="1" ht="47.25">
      <c r="A112" s="709">
        <v>95</v>
      </c>
      <c r="B112" s="542">
        <v>7000016907</v>
      </c>
      <c r="C112" s="542">
        <v>1190</v>
      </c>
      <c r="D112" s="542">
        <v>1670</v>
      </c>
      <c r="E112" s="542">
        <v>190</v>
      </c>
      <c r="F112" s="542" t="s">
        <v>756</v>
      </c>
      <c r="G112" s="542">
        <v>100001241</v>
      </c>
      <c r="H112" s="542">
        <v>995455</v>
      </c>
      <c r="I112" s="543"/>
      <c r="J112" s="542">
        <v>18</v>
      </c>
      <c r="K112" s="541"/>
      <c r="L112" s="540" t="s">
        <v>799</v>
      </c>
      <c r="M112" s="542" t="s">
        <v>554</v>
      </c>
      <c r="N112" s="542">
        <v>5</v>
      </c>
      <c r="O112" s="717"/>
      <c r="P112" s="539" t="str">
        <f t="shared" si="0"/>
        <v>INCLUDED</v>
      </c>
      <c r="Q112" s="723">
        <f t="shared" si="1"/>
        <v>0</v>
      </c>
      <c r="R112" s="446">
        <f t="shared" si="2"/>
        <v>0</v>
      </c>
      <c r="S112" s="612">
        <f>Discount!$J$36</f>
        <v>0</v>
      </c>
      <c r="T112" s="446">
        <f t="shared" si="3"/>
        <v>0</v>
      </c>
      <c r="U112" s="447">
        <f t="shared" si="4"/>
        <v>0</v>
      </c>
      <c r="V112" s="724">
        <f t="shared" si="5"/>
        <v>0</v>
      </c>
      <c r="W112" s="857">
        <f t="shared" si="6"/>
        <v>0</v>
      </c>
      <c r="X112" s="724">
        <f t="shared" si="7"/>
        <v>0</v>
      </c>
      <c r="Y112" s="725">
        <f t="shared" si="8"/>
        <v>0.18</v>
      </c>
      <c r="Z112" s="724">
        <f t="shared" si="9"/>
        <v>0</v>
      </c>
      <c r="AA112" s="725"/>
      <c r="AB112" s="726"/>
      <c r="AC112" s="726"/>
      <c r="AD112" s="726"/>
      <c r="AE112" s="726"/>
      <c r="AF112" s="727"/>
      <c r="AG112" s="727"/>
      <c r="AH112" s="727"/>
      <c r="AI112" s="727"/>
      <c r="AJ112" s="727"/>
      <c r="AK112" s="727"/>
      <c r="AL112" s="727"/>
      <c r="AM112" s="727"/>
      <c r="AN112" s="727"/>
    </row>
    <row r="113" spans="1:40" s="727" customFormat="1" ht="47.25">
      <c r="A113" s="709">
        <v>96</v>
      </c>
      <c r="B113" s="542">
        <v>7000016907</v>
      </c>
      <c r="C113" s="542">
        <v>1190</v>
      </c>
      <c r="D113" s="542">
        <v>1670</v>
      </c>
      <c r="E113" s="542">
        <v>200</v>
      </c>
      <c r="F113" s="542" t="s">
        <v>756</v>
      </c>
      <c r="G113" s="542">
        <v>100001680</v>
      </c>
      <c r="H113" s="542">
        <v>995455</v>
      </c>
      <c r="I113" s="543"/>
      <c r="J113" s="542">
        <v>18</v>
      </c>
      <c r="K113" s="541"/>
      <c r="L113" s="540" t="s">
        <v>578</v>
      </c>
      <c r="M113" s="542" t="s">
        <v>554</v>
      </c>
      <c r="N113" s="542">
        <v>1</v>
      </c>
      <c r="O113" s="717"/>
      <c r="P113" s="539" t="str">
        <f t="shared" si="0"/>
        <v>INCLUDED</v>
      </c>
      <c r="Q113" s="723">
        <f t="shared" si="1"/>
        <v>0</v>
      </c>
      <c r="R113" s="446">
        <f t="shared" si="2"/>
        <v>0</v>
      </c>
      <c r="S113" s="612">
        <f>Discount!$J$36</f>
        <v>0</v>
      </c>
      <c r="T113" s="446">
        <f t="shared" si="3"/>
        <v>0</v>
      </c>
      <c r="U113" s="447">
        <f t="shared" si="4"/>
        <v>0</v>
      </c>
      <c r="V113" s="724">
        <f t="shared" si="5"/>
        <v>0</v>
      </c>
      <c r="W113" s="857">
        <f t="shared" si="6"/>
        <v>0</v>
      </c>
      <c r="X113" s="724">
        <f t="shared" si="7"/>
        <v>0</v>
      </c>
      <c r="Y113" s="725">
        <f t="shared" si="8"/>
        <v>0.18</v>
      </c>
      <c r="Z113" s="724">
        <f t="shared" si="9"/>
        <v>0</v>
      </c>
      <c r="AA113" s="725"/>
      <c r="AB113" s="726"/>
      <c r="AC113" s="726"/>
      <c r="AD113" s="726"/>
      <c r="AE113" s="726"/>
    </row>
    <row r="114" spans="1:40" s="727" customFormat="1" ht="47.25">
      <c r="A114" s="709">
        <v>97</v>
      </c>
      <c r="B114" s="542">
        <v>7000016907</v>
      </c>
      <c r="C114" s="542">
        <v>1190</v>
      </c>
      <c r="D114" s="542">
        <v>1670</v>
      </c>
      <c r="E114" s="542">
        <v>210</v>
      </c>
      <c r="F114" s="542" t="s">
        <v>756</v>
      </c>
      <c r="G114" s="542">
        <v>100001681</v>
      </c>
      <c r="H114" s="542">
        <v>995455</v>
      </c>
      <c r="I114" s="543"/>
      <c r="J114" s="542">
        <v>18</v>
      </c>
      <c r="K114" s="541"/>
      <c r="L114" s="540" t="s">
        <v>579</v>
      </c>
      <c r="M114" s="542" t="s">
        <v>554</v>
      </c>
      <c r="N114" s="542">
        <v>1</v>
      </c>
      <c r="O114" s="717"/>
      <c r="P114" s="539" t="str">
        <f t="shared" si="0"/>
        <v>INCLUDED</v>
      </c>
      <c r="Q114" s="723">
        <f t="shared" si="1"/>
        <v>0</v>
      </c>
      <c r="R114" s="446">
        <f t="shared" si="2"/>
        <v>0</v>
      </c>
      <c r="S114" s="612">
        <f>Discount!$J$36</f>
        <v>0</v>
      </c>
      <c r="T114" s="446">
        <f t="shared" si="3"/>
        <v>0</v>
      </c>
      <c r="U114" s="447">
        <f t="shared" si="4"/>
        <v>0</v>
      </c>
      <c r="V114" s="724">
        <f t="shared" si="5"/>
        <v>0</v>
      </c>
      <c r="W114" s="857">
        <f t="shared" si="6"/>
        <v>0</v>
      </c>
      <c r="X114" s="724">
        <f t="shared" si="7"/>
        <v>0</v>
      </c>
      <c r="Y114" s="725">
        <f t="shared" si="8"/>
        <v>0.18</v>
      </c>
      <c r="Z114" s="724">
        <f t="shared" si="9"/>
        <v>0</v>
      </c>
      <c r="AA114" s="725"/>
      <c r="AB114" s="726"/>
      <c r="AC114" s="726"/>
      <c r="AD114" s="726"/>
      <c r="AE114" s="726"/>
    </row>
    <row r="115" spans="1:40" s="727" customFormat="1" ht="31.5">
      <c r="A115" s="709">
        <v>98</v>
      </c>
      <c r="B115" s="542">
        <v>7000016907</v>
      </c>
      <c r="C115" s="542">
        <v>1200</v>
      </c>
      <c r="D115" s="542">
        <v>1680</v>
      </c>
      <c r="E115" s="542">
        <v>10</v>
      </c>
      <c r="F115" s="542" t="s">
        <v>757</v>
      </c>
      <c r="G115" s="542">
        <v>100001674</v>
      </c>
      <c r="H115" s="542">
        <v>995455</v>
      </c>
      <c r="I115" s="543"/>
      <c r="J115" s="542">
        <v>18</v>
      </c>
      <c r="K115" s="541"/>
      <c r="L115" s="540" t="s">
        <v>800</v>
      </c>
      <c r="M115" s="542" t="s">
        <v>299</v>
      </c>
      <c r="N115" s="542">
        <v>1052</v>
      </c>
      <c r="O115" s="717"/>
      <c r="P115" s="539" t="str">
        <f t="shared" si="0"/>
        <v>INCLUDED</v>
      </c>
      <c r="Q115" s="723">
        <f t="shared" si="1"/>
        <v>0</v>
      </c>
      <c r="R115" s="446">
        <f t="shared" si="2"/>
        <v>0</v>
      </c>
      <c r="S115" s="612">
        <f>Discount!$J$36</f>
        <v>0</v>
      </c>
      <c r="T115" s="446">
        <f t="shared" si="3"/>
        <v>0</v>
      </c>
      <c r="U115" s="447">
        <f t="shared" si="4"/>
        <v>0</v>
      </c>
      <c r="V115" s="724">
        <f t="shared" si="5"/>
        <v>0</v>
      </c>
      <c r="W115" s="857">
        <f t="shared" si="6"/>
        <v>0</v>
      </c>
      <c r="X115" s="724">
        <f t="shared" si="7"/>
        <v>0</v>
      </c>
      <c r="Y115" s="725">
        <f t="shared" si="8"/>
        <v>0.18</v>
      </c>
      <c r="Z115" s="724">
        <f t="shared" si="9"/>
        <v>0</v>
      </c>
      <c r="AA115" s="725"/>
      <c r="AB115" s="726"/>
      <c r="AC115" s="726"/>
      <c r="AD115" s="726"/>
      <c r="AE115" s="726"/>
    </row>
    <row r="116" spans="1:40" s="727" customFormat="1" ht="31.5">
      <c r="A116" s="709">
        <v>99</v>
      </c>
      <c r="B116" s="542">
        <v>7000016907</v>
      </c>
      <c r="C116" s="542">
        <v>1200</v>
      </c>
      <c r="D116" s="542">
        <v>1680</v>
      </c>
      <c r="E116" s="542">
        <v>20</v>
      </c>
      <c r="F116" s="542" t="s">
        <v>757</v>
      </c>
      <c r="G116" s="542">
        <v>100001675</v>
      </c>
      <c r="H116" s="542">
        <v>995455</v>
      </c>
      <c r="I116" s="543"/>
      <c r="J116" s="542">
        <v>18</v>
      </c>
      <c r="K116" s="541"/>
      <c r="L116" s="540" t="s">
        <v>801</v>
      </c>
      <c r="M116" s="542" t="s">
        <v>299</v>
      </c>
      <c r="N116" s="542">
        <v>1056</v>
      </c>
      <c r="O116" s="717"/>
      <c r="P116" s="539" t="str">
        <f t="shared" si="0"/>
        <v>INCLUDED</v>
      </c>
      <c r="Q116" s="723">
        <f t="shared" si="1"/>
        <v>0</v>
      </c>
      <c r="R116" s="446">
        <f t="shared" si="2"/>
        <v>0</v>
      </c>
      <c r="S116" s="612">
        <f>Discount!$J$36</f>
        <v>0</v>
      </c>
      <c r="T116" s="446">
        <f t="shared" si="3"/>
        <v>0</v>
      </c>
      <c r="U116" s="447">
        <f t="shared" si="4"/>
        <v>0</v>
      </c>
      <c r="V116" s="724">
        <f t="shared" si="5"/>
        <v>0</v>
      </c>
      <c r="W116" s="857">
        <f t="shared" si="6"/>
        <v>0</v>
      </c>
      <c r="X116" s="724">
        <f t="shared" si="7"/>
        <v>0</v>
      </c>
      <c r="Y116" s="725">
        <f t="shared" si="8"/>
        <v>0.18</v>
      </c>
      <c r="Z116" s="724">
        <f t="shared" si="9"/>
        <v>0</v>
      </c>
      <c r="AA116" s="725"/>
      <c r="AB116" s="726"/>
      <c r="AC116" s="726"/>
      <c r="AD116" s="726"/>
      <c r="AE116" s="726"/>
    </row>
    <row r="117" spans="1:40" s="727" customFormat="1" ht="31.5">
      <c r="A117" s="709">
        <v>100</v>
      </c>
      <c r="B117" s="542">
        <v>7000016907</v>
      </c>
      <c r="C117" s="542">
        <v>1200</v>
      </c>
      <c r="D117" s="542">
        <v>1680</v>
      </c>
      <c r="E117" s="542">
        <v>30</v>
      </c>
      <c r="F117" s="542" t="s">
        <v>757</v>
      </c>
      <c r="G117" s="542">
        <v>100001677</v>
      </c>
      <c r="H117" s="542">
        <v>995455</v>
      </c>
      <c r="I117" s="543"/>
      <c r="J117" s="542">
        <v>18</v>
      </c>
      <c r="K117" s="541"/>
      <c r="L117" s="540" t="s">
        <v>802</v>
      </c>
      <c r="M117" s="542" t="s">
        <v>299</v>
      </c>
      <c r="N117" s="542">
        <v>80</v>
      </c>
      <c r="O117" s="717"/>
      <c r="P117" s="539" t="str">
        <f t="shared" si="0"/>
        <v>INCLUDED</v>
      </c>
      <c r="Q117" s="723">
        <f t="shared" si="1"/>
        <v>0</v>
      </c>
      <c r="R117" s="446">
        <f t="shared" si="2"/>
        <v>0</v>
      </c>
      <c r="S117" s="612">
        <f>Discount!$J$36</f>
        <v>0</v>
      </c>
      <c r="T117" s="446">
        <f t="shared" si="3"/>
        <v>0</v>
      </c>
      <c r="U117" s="447">
        <f t="shared" si="4"/>
        <v>0</v>
      </c>
      <c r="V117" s="724">
        <f t="shared" si="5"/>
        <v>0</v>
      </c>
      <c r="W117" s="857">
        <f t="shared" si="6"/>
        <v>0</v>
      </c>
      <c r="X117" s="724">
        <f t="shared" si="7"/>
        <v>0</v>
      </c>
      <c r="Y117" s="725">
        <f t="shared" si="8"/>
        <v>0.18</v>
      </c>
      <c r="Z117" s="724">
        <f t="shared" si="9"/>
        <v>0</v>
      </c>
      <c r="AA117" s="725"/>
      <c r="AB117" s="726"/>
      <c r="AC117" s="726"/>
      <c r="AD117" s="726"/>
      <c r="AE117" s="726"/>
    </row>
    <row r="118" spans="1:40" s="727" customFormat="1" ht="31.5">
      <c r="A118" s="709">
        <v>101</v>
      </c>
      <c r="B118" s="542">
        <v>7000016907</v>
      </c>
      <c r="C118" s="542">
        <v>1200</v>
      </c>
      <c r="D118" s="542">
        <v>1680</v>
      </c>
      <c r="E118" s="542">
        <v>40</v>
      </c>
      <c r="F118" s="542" t="s">
        <v>757</v>
      </c>
      <c r="G118" s="542">
        <v>100001678</v>
      </c>
      <c r="H118" s="542">
        <v>995455</v>
      </c>
      <c r="I118" s="543"/>
      <c r="J118" s="542">
        <v>18</v>
      </c>
      <c r="K118" s="541"/>
      <c r="L118" s="540" t="s">
        <v>803</v>
      </c>
      <c r="M118" s="542" t="s">
        <v>299</v>
      </c>
      <c r="N118" s="542">
        <v>64</v>
      </c>
      <c r="O118" s="717"/>
      <c r="P118" s="539" t="str">
        <f t="shared" si="0"/>
        <v>INCLUDED</v>
      </c>
      <c r="Q118" s="723">
        <f t="shared" si="1"/>
        <v>0</v>
      </c>
      <c r="R118" s="446">
        <f t="shared" si="2"/>
        <v>0</v>
      </c>
      <c r="S118" s="612">
        <f>Discount!$J$36</f>
        <v>0</v>
      </c>
      <c r="T118" s="446">
        <f t="shared" si="3"/>
        <v>0</v>
      </c>
      <c r="U118" s="447">
        <f t="shared" si="4"/>
        <v>0</v>
      </c>
      <c r="V118" s="724">
        <f t="shared" si="5"/>
        <v>0</v>
      </c>
      <c r="W118" s="857">
        <f t="shared" si="6"/>
        <v>0</v>
      </c>
      <c r="X118" s="724">
        <f t="shared" si="7"/>
        <v>0</v>
      </c>
      <c r="Y118" s="725">
        <f t="shared" si="8"/>
        <v>0.18</v>
      </c>
      <c r="Z118" s="724">
        <f t="shared" si="9"/>
        <v>0</v>
      </c>
      <c r="AA118" s="725"/>
      <c r="AB118" s="726"/>
      <c r="AC118" s="726"/>
      <c r="AD118" s="726"/>
      <c r="AE118" s="726"/>
    </row>
    <row r="119" spans="1:40" s="727" customFormat="1" ht="31.5">
      <c r="A119" s="709">
        <v>102</v>
      </c>
      <c r="B119" s="542">
        <v>7000016907</v>
      </c>
      <c r="C119" s="542">
        <v>1200</v>
      </c>
      <c r="D119" s="542">
        <v>1680</v>
      </c>
      <c r="E119" s="542">
        <v>50</v>
      </c>
      <c r="F119" s="542" t="s">
        <v>757</v>
      </c>
      <c r="G119" s="542">
        <v>100001679</v>
      </c>
      <c r="H119" s="542">
        <v>995455</v>
      </c>
      <c r="I119" s="543"/>
      <c r="J119" s="542">
        <v>18</v>
      </c>
      <c r="K119" s="541"/>
      <c r="L119" s="540" t="s">
        <v>804</v>
      </c>
      <c r="M119" s="542" t="s">
        <v>299</v>
      </c>
      <c r="N119" s="542">
        <v>32</v>
      </c>
      <c r="O119" s="717"/>
      <c r="P119" s="539" t="str">
        <f t="shared" si="0"/>
        <v>INCLUDED</v>
      </c>
      <c r="Q119" s="723">
        <f t="shared" si="1"/>
        <v>0</v>
      </c>
      <c r="R119" s="446">
        <f t="shared" si="2"/>
        <v>0</v>
      </c>
      <c r="S119" s="612">
        <f>Discount!$J$36</f>
        <v>0</v>
      </c>
      <c r="T119" s="446">
        <f t="shared" si="3"/>
        <v>0</v>
      </c>
      <c r="U119" s="447">
        <f t="shared" si="4"/>
        <v>0</v>
      </c>
      <c r="V119" s="724">
        <f t="shared" si="5"/>
        <v>0</v>
      </c>
      <c r="W119" s="857">
        <f t="shared" si="6"/>
        <v>0</v>
      </c>
      <c r="X119" s="724">
        <f t="shared" si="7"/>
        <v>0</v>
      </c>
      <c r="Y119" s="725">
        <f t="shared" si="8"/>
        <v>0.18</v>
      </c>
      <c r="Z119" s="724">
        <f t="shared" si="9"/>
        <v>0</v>
      </c>
      <c r="AA119" s="725"/>
      <c r="AB119" s="726"/>
      <c r="AC119" s="726"/>
      <c r="AD119" s="726"/>
      <c r="AE119" s="726"/>
    </row>
    <row r="120" spans="1:40" s="727" customFormat="1" ht="47.25">
      <c r="A120" s="709">
        <v>103</v>
      </c>
      <c r="B120" s="542">
        <v>7000016907</v>
      </c>
      <c r="C120" s="542">
        <v>1320</v>
      </c>
      <c r="D120" s="542">
        <v>1720</v>
      </c>
      <c r="E120" s="542">
        <v>10</v>
      </c>
      <c r="F120" s="542" t="s">
        <v>671</v>
      </c>
      <c r="G120" s="542">
        <v>100001641</v>
      </c>
      <c r="H120" s="542">
        <v>995455</v>
      </c>
      <c r="I120" s="543"/>
      <c r="J120" s="542">
        <v>18</v>
      </c>
      <c r="K120" s="541"/>
      <c r="L120" s="540" t="s">
        <v>805</v>
      </c>
      <c r="M120" s="542" t="s">
        <v>299</v>
      </c>
      <c r="N120" s="542">
        <v>1</v>
      </c>
      <c r="O120" s="717"/>
      <c r="P120" s="539" t="str">
        <f t="shared" si="0"/>
        <v>INCLUDED</v>
      </c>
      <c r="Q120" s="723">
        <f t="shared" si="1"/>
        <v>0</v>
      </c>
      <c r="R120" s="446">
        <f t="shared" si="2"/>
        <v>0</v>
      </c>
      <c r="S120" s="612">
        <f>Discount!$J$36</f>
        <v>0</v>
      </c>
      <c r="T120" s="446">
        <f t="shared" si="3"/>
        <v>0</v>
      </c>
      <c r="U120" s="447">
        <f t="shared" si="4"/>
        <v>0</v>
      </c>
      <c r="V120" s="724">
        <f t="shared" si="5"/>
        <v>0</v>
      </c>
      <c r="W120" s="857">
        <f t="shared" si="6"/>
        <v>0</v>
      </c>
      <c r="X120" s="724">
        <f t="shared" si="7"/>
        <v>0</v>
      </c>
      <c r="Y120" s="725">
        <f t="shared" si="8"/>
        <v>0.18</v>
      </c>
      <c r="Z120" s="724">
        <f t="shared" si="9"/>
        <v>0</v>
      </c>
      <c r="AA120" s="725"/>
      <c r="AB120" s="726"/>
      <c r="AC120" s="726"/>
      <c r="AD120" s="726"/>
      <c r="AE120" s="726"/>
    </row>
    <row r="121" spans="1:40" s="727" customFormat="1" ht="47.25">
      <c r="A121" s="709">
        <v>104</v>
      </c>
      <c r="B121" s="542">
        <v>7000016907</v>
      </c>
      <c r="C121" s="542">
        <v>1330</v>
      </c>
      <c r="D121" s="542">
        <v>1730</v>
      </c>
      <c r="E121" s="542">
        <v>10</v>
      </c>
      <c r="F121" s="542" t="s">
        <v>672</v>
      </c>
      <c r="G121" s="542">
        <v>100001660</v>
      </c>
      <c r="H121" s="542">
        <v>995455</v>
      </c>
      <c r="I121" s="543"/>
      <c r="J121" s="542">
        <v>18</v>
      </c>
      <c r="K121" s="541"/>
      <c r="L121" s="540" t="s">
        <v>806</v>
      </c>
      <c r="M121" s="542" t="s">
        <v>299</v>
      </c>
      <c r="N121" s="542">
        <v>3</v>
      </c>
      <c r="O121" s="717"/>
      <c r="P121" s="539" t="str">
        <f t="shared" si="0"/>
        <v>INCLUDED</v>
      </c>
      <c r="Q121" s="723">
        <f t="shared" si="1"/>
        <v>0</v>
      </c>
      <c r="R121" s="446">
        <f t="shared" si="2"/>
        <v>0</v>
      </c>
      <c r="S121" s="612">
        <f>Discount!$J$36</f>
        <v>0</v>
      </c>
      <c r="T121" s="446">
        <f t="shared" si="3"/>
        <v>0</v>
      </c>
      <c r="U121" s="447">
        <f t="shared" si="4"/>
        <v>0</v>
      </c>
      <c r="V121" s="724">
        <f t="shared" si="5"/>
        <v>0</v>
      </c>
      <c r="W121" s="857">
        <f t="shared" si="6"/>
        <v>0</v>
      </c>
      <c r="X121" s="724">
        <f t="shared" si="7"/>
        <v>0</v>
      </c>
      <c r="Y121" s="725">
        <f t="shared" si="8"/>
        <v>0.18</v>
      </c>
      <c r="Z121" s="724">
        <f t="shared" si="9"/>
        <v>0</v>
      </c>
      <c r="AA121" s="725"/>
      <c r="AB121" s="726"/>
      <c r="AC121" s="726"/>
      <c r="AD121" s="726"/>
      <c r="AE121" s="726"/>
    </row>
    <row r="122" spans="1:40" s="727" customFormat="1" ht="47.25">
      <c r="A122" s="709">
        <v>105</v>
      </c>
      <c r="B122" s="542">
        <v>7000016907</v>
      </c>
      <c r="C122" s="542">
        <v>1330</v>
      </c>
      <c r="D122" s="542">
        <v>1730</v>
      </c>
      <c r="E122" s="542">
        <v>20</v>
      </c>
      <c r="F122" s="542" t="s">
        <v>672</v>
      </c>
      <c r="G122" s="542">
        <v>100001662</v>
      </c>
      <c r="H122" s="542">
        <v>995455</v>
      </c>
      <c r="I122" s="543"/>
      <c r="J122" s="542">
        <v>18</v>
      </c>
      <c r="K122" s="541"/>
      <c r="L122" s="540" t="s">
        <v>807</v>
      </c>
      <c r="M122" s="542" t="s">
        <v>299</v>
      </c>
      <c r="N122" s="542">
        <v>1</v>
      </c>
      <c r="O122" s="717"/>
      <c r="P122" s="539" t="str">
        <f t="shared" si="0"/>
        <v>INCLUDED</v>
      </c>
      <c r="Q122" s="723">
        <f t="shared" si="1"/>
        <v>0</v>
      </c>
      <c r="R122" s="446">
        <f t="shared" si="2"/>
        <v>0</v>
      </c>
      <c r="S122" s="612">
        <f>Discount!$J$36</f>
        <v>0</v>
      </c>
      <c r="T122" s="446">
        <f t="shared" si="3"/>
        <v>0</v>
      </c>
      <c r="U122" s="447">
        <f t="shared" si="4"/>
        <v>0</v>
      </c>
      <c r="V122" s="724">
        <f t="shared" si="5"/>
        <v>0</v>
      </c>
      <c r="W122" s="857">
        <f t="shared" si="6"/>
        <v>0</v>
      </c>
      <c r="X122" s="724">
        <f t="shared" si="7"/>
        <v>0</v>
      </c>
      <c r="Y122" s="725">
        <f t="shared" si="8"/>
        <v>0.18</v>
      </c>
      <c r="Z122" s="724">
        <f t="shared" si="9"/>
        <v>0</v>
      </c>
      <c r="AA122" s="725"/>
      <c r="AB122" s="726"/>
      <c r="AC122" s="726"/>
      <c r="AD122" s="726"/>
      <c r="AE122" s="726"/>
    </row>
    <row r="123" spans="1:40" s="727" customFormat="1" ht="47.25">
      <c r="A123" s="709">
        <v>106</v>
      </c>
      <c r="B123" s="542">
        <v>7000016907</v>
      </c>
      <c r="C123" s="542">
        <v>1330</v>
      </c>
      <c r="D123" s="542">
        <v>1730</v>
      </c>
      <c r="E123" s="542">
        <v>30</v>
      </c>
      <c r="F123" s="542" t="s">
        <v>672</v>
      </c>
      <c r="G123" s="542">
        <v>100001663</v>
      </c>
      <c r="H123" s="542">
        <v>995455</v>
      </c>
      <c r="I123" s="543"/>
      <c r="J123" s="542">
        <v>18</v>
      </c>
      <c r="K123" s="541"/>
      <c r="L123" s="540" t="s">
        <v>808</v>
      </c>
      <c r="M123" s="542" t="s">
        <v>299</v>
      </c>
      <c r="N123" s="542">
        <v>3</v>
      </c>
      <c r="O123" s="717"/>
      <c r="P123" s="539" t="str">
        <f t="shared" si="0"/>
        <v>INCLUDED</v>
      </c>
      <c r="Q123" s="723">
        <f t="shared" si="1"/>
        <v>0</v>
      </c>
      <c r="R123" s="446">
        <f t="shared" si="2"/>
        <v>0</v>
      </c>
      <c r="S123" s="612">
        <f>Discount!$J$36</f>
        <v>0</v>
      </c>
      <c r="T123" s="446">
        <f t="shared" si="3"/>
        <v>0</v>
      </c>
      <c r="U123" s="447">
        <f t="shared" si="4"/>
        <v>0</v>
      </c>
      <c r="V123" s="724">
        <f t="shared" si="5"/>
        <v>0</v>
      </c>
      <c r="W123" s="857">
        <f t="shared" si="6"/>
        <v>0</v>
      </c>
      <c r="X123" s="724">
        <f t="shared" si="7"/>
        <v>0</v>
      </c>
      <c r="Y123" s="725">
        <f t="shared" si="8"/>
        <v>0.18</v>
      </c>
      <c r="Z123" s="724">
        <f t="shared" si="9"/>
        <v>0</v>
      </c>
      <c r="AA123" s="725"/>
      <c r="AB123" s="726"/>
      <c r="AC123" s="726"/>
      <c r="AD123" s="726"/>
      <c r="AE123" s="726"/>
    </row>
    <row r="124" spans="1:40" s="727" customFormat="1" ht="47.25">
      <c r="A124" s="709">
        <v>107</v>
      </c>
      <c r="B124" s="542">
        <v>7000016907</v>
      </c>
      <c r="C124" s="542">
        <v>1330</v>
      </c>
      <c r="D124" s="542">
        <v>1730</v>
      </c>
      <c r="E124" s="542">
        <v>40</v>
      </c>
      <c r="F124" s="542" t="s">
        <v>672</v>
      </c>
      <c r="G124" s="542">
        <v>100002573</v>
      </c>
      <c r="H124" s="542">
        <v>995455</v>
      </c>
      <c r="I124" s="543"/>
      <c r="J124" s="542">
        <v>18</v>
      </c>
      <c r="K124" s="541"/>
      <c r="L124" s="540" t="s">
        <v>809</v>
      </c>
      <c r="M124" s="542" t="s">
        <v>299</v>
      </c>
      <c r="N124" s="542">
        <v>9</v>
      </c>
      <c r="O124" s="717"/>
      <c r="P124" s="539" t="str">
        <f t="shared" ref="P124:P125" si="20">IF(O124=0, "INCLUDED", IF(ISERROR(N124*O124), O124, N124*O124))</f>
        <v>INCLUDED</v>
      </c>
      <c r="Q124" s="723">
        <f t="shared" ref="Q124:Q125" si="21">IF(P124="Included",0,P124)</f>
        <v>0</v>
      </c>
      <c r="R124" s="446">
        <f t="shared" ref="R124:R125" si="22">IF( K124="",J124*(IF(P124="Included",0,P124))/100,K124*(IF(P124="Included",0,P124)))</f>
        <v>0</v>
      </c>
      <c r="S124" s="612">
        <f>Discount!$J$36</f>
        <v>0</v>
      </c>
      <c r="T124" s="446">
        <f t="shared" ref="T124:T125" si="23">S124*Q124</f>
        <v>0</v>
      </c>
      <c r="U124" s="447">
        <f t="shared" ref="U124:U125" si="24">IF(K124="",J124*T124/100,K124*T124)</f>
        <v>0</v>
      </c>
      <c r="V124" s="724">
        <f t="shared" ref="V124:V125" si="25">O124*N124</f>
        <v>0</v>
      </c>
      <c r="W124" s="857">
        <f t="shared" ref="W124:W125" si="26">ROUND(O124,2)</f>
        <v>0</v>
      </c>
      <c r="X124" s="724">
        <f t="shared" ref="X124:X125" si="27">N124*W124</f>
        <v>0</v>
      </c>
      <c r="Y124" s="725">
        <f t="shared" ref="Y124:Y125" si="28">IF(K124="",J124/100,K124)</f>
        <v>0.18</v>
      </c>
      <c r="Z124" s="724">
        <f t="shared" ref="Z124:Z125" si="29">X124*Y124</f>
        <v>0</v>
      </c>
      <c r="AA124" s="725"/>
      <c r="AB124" s="726"/>
      <c r="AC124" s="726"/>
      <c r="AD124" s="726"/>
      <c r="AE124" s="726"/>
    </row>
    <row r="125" spans="1:40" s="727" customFormat="1" ht="47.25">
      <c r="A125" s="709">
        <v>108</v>
      </c>
      <c r="B125" s="542">
        <v>7000016907</v>
      </c>
      <c r="C125" s="542">
        <v>1330</v>
      </c>
      <c r="D125" s="542">
        <v>1730</v>
      </c>
      <c r="E125" s="542">
        <v>50</v>
      </c>
      <c r="F125" s="542" t="s">
        <v>672</v>
      </c>
      <c r="G125" s="542">
        <v>100001659</v>
      </c>
      <c r="H125" s="542">
        <v>995455</v>
      </c>
      <c r="I125" s="543"/>
      <c r="J125" s="542">
        <v>18</v>
      </c>
      <c r="K125" s="541"/>
      <c r="L125" s="540" t="s">
        <v>810</v>
      </c>
      <c r="M125" s="542" t="s">
        <v>299</v>
      </c>
      <c r="N125" s="542">
        <v>3</v>
      </c>
      <c r="O125" s="717"/>
      <c r="P125" s="539" t="str">
        <f t="shared" si="20"/>
        <v>INCLUDED</v>
      </c>
      <c r="Q125" s="723">
        <f t="shared" si="21"/>
        <v>0</v>
      </c>
      <c r="R125" s="446">
        <f t="shared" si="22"/>
        <v>0</v>
      </c>
      <c r="S125" s="612">
        <f>Discount!$J$36</f>
        <v>0</v>
      </c>
      <c r="T125" s="446">
        <f t="shared" si="23"/>
        <v>0</v>
      </c>
      <c r="U125" s="447">
        <f t="shared" si="24"/>
        <v>0</v>
      </c>
      <c r="V125" s="724">
        <f t="shared" si="25"/>
        <v>0</v>
      </c>
      <c r="W125" s="857">
        <f t="shared" si="26"/>
        <v>0</v>
      </c>
      <c r="X125" s="724">
        <f t="shared" si="27"/>
        <v>0</v>
      </c>
      <c r="Y125" s="725">
        <f t="shared" si="28"/>
        <v>0.18</v>
      </c>
      <c r="Z125" s="724">
        <f t="shared" si="29"/>
        <v>0</v>
      </c>
      <c r="AA125" s="725"/>
      <c r="AB125" s="726"/>
      <c r="AC125" s="726"/>
      <c r="AD125" s="726"/>
      <c r="AE125" s="726"/>
    </row>
    <row r="126" spans="1:40" s="731" customFormat="1" ht="31.5">
      <c r="A126" s="709">
        <v>109</v>
      </c>
      <c r="B126" s="542">
        <v>7000016907</v>
      </c>
      <c r="C126" s="542">
        <v>1390</v>
      </c>
      <c r="D126" s="542">
        <v>1750</v>
      </c>
      <c r="E126" s="542">
        <v>10</v>
      </c>
      <c r="F126" s="542" t="s">
        <v>673</v>
      </c>
      <c r="G126" s="542">
        <v>100000886</v>
      </c>
      <c r="H126" s="542">
        <v>998734</v>
      </c>
      <c r="I126" s="543"/>
      <c r="J126" s="542">
        <v>18</v>
      </c>
      <c r="K126" s="541"/>
      <c r="L126" s="540" t="s">
        <v>700</v>
      </c>
      <c r="M126" s="542" t="s">
        <v>299</v>
      </c>
      <c r="N126" s="542">
        <v>2</v>
      </c>
      <c r="O126" s="717"/>
      <c r="P126" s="539" t="str">
        <f t="shared" si="0"/>
        <v>INCLUDED</v>
      </c>
      <c r="Q126" s="723">
        <f t="shared" si="1"/>
        <v>0</v>
      </c>
      <c r="R126" s="446">
        <f t="shared" si="2"/>
        <v>0</v>
      </c>
      <c r="S126" s="612">
        <f>Discount!$J$36</f>
        <v>0</v>
      </c>
      <c r="T126" s="446">
        <f t="shared" si="3"/>
        <v>0</v>
      </c>
      <c r="U126" s="447">
        <f t="shared" si="4"/>
        <v>0</v>
      </c>
      <c r="V126" s="724">
        <f t="shared" si="5"/>
        <v>0</v>
      </c>
      <c r="W126" s="857">
        <f t="shared" si="6"/>
        <v>0</v>
      </c>
      <c r="X126" s="724">
        <f t="shared" si="7"/>
        <v>0</v>
      </c>
      <c r="Y126" s="725">
        <f t="shared" si="8"/>
        <v>0.18</v>
      </c>
      <c r="Z126" s="724">
        <f t="shared" si="9"/>
        <v>0</v>
      </c>
      <c r="AA126" s="725"/>
      <c r="AB126" s="726"/>
      <c r="AC126" s="726"/>
      <c r="AD126" s="726"/>
      <c r="AE126" s="726"/>
      <c r="AF126" s="727"/>
      <c r="AG126" s="727"/>
      <c r="AH126" s="727"/>
      <c r="AI126" s="727"/>
      <c r="AJ126" s="727"/>
      <c r="AK126" s="727"/>
      <c r="AL126" s="727"/>
      <c r="AM126" s="727"/>
      <c r="AN126" s="727"/>
    </row>
    <row r="127" spans="1:40" s="731" customFormat="1" ht="31.5">
      <c r="A127" s="709">
        <v>110</v>
      </c>
      <c r="B127" s="542">
        <v>7000016907</v>
      </c>
      <c r="C127" s="542">
        <v>1390</v>
      </c>
      <c r="D127" s="542">
        <v>1750</v>
      </c>
      <c r="E127" s="542">
        <v>20</v>
      </c>
      <c r="F127" s="542" t="s">
        <v>673</v>
      </c>
      <c r="G127" s="542">
        <v>100000888</v>
      </c>
      <c r="H127" s="542">
        <v>998734</v>
      </c>
      <c r="I127" s="543"/>
      <c r="J127" s="542">
        <v>18</v>
      </c>
      <c r="K127" s="541"/>
      <c r="L127" s="540" t="s">
        <v>701</v>
      </c>
      <c r="M127" s="542" t="s">
        <v>299</v>
      </c>
      <c r="N127" s="542">
        <v>2</v>
      </c>
      <c r="O127" s="717"/>
      <c r="P127" s="539" t="str">
        <f t="shared" ref="P127:P164" si="30">IF(O127=0, "INCLUDED", IF(ISERROR(N127*O127), O127, N127*O127))</f>
        <v>INCLUDED</v>
      </c>
      <c r="Q127" s="723">
        <f t="shared" ref="Q127:Q164" si="31">IF(P127="Included",0,P127)</f>
        <v>0</v>
      </c>
      <c r="R127" s="446">
        <f t="shared" ref="R127:R164" si="32">IF( K127="",J127*(IF(P127="Included",0,P127))/100,K127*(IF(P127="Included",0,P127)))</f>
        <v>0</v>
      </c>
      <c r="S127" s="612">
        <f>Discount!$J$36</f>
        <v>0</v>
      </c>
      <c r="T127" s="446">
        <f t="shared" ref="T127:T164" si="33">S127*Q127</f>
        <v>0</v>
      </c>
      <c r="U127" s="447">
        <f t="shared" ref="U127:U164" si="34">IF(K127="",J127*T127/100,K127*T127)</f>
        <v>0</v>
      </c>
      <c r="V127" s="724">
        <f t="shared" ref="V127:V164" si="35">O127*N127</f>
        <v>0</v>
      </c>
      <c r="W127" s="857">
        <f t="shared" si="6"/>
        <v>0</v>
      </c>
      <c r="X127" s="724">
        <f t="shared" si="7"/>
        <v>0</v>
      </c>
      <c r="Y127" s="725">
        <f t="shared" si="8"/>
        <v>0.18</v>
      </c>
      <c r="Z127" s="724">
        <f t="shared" si="9"/>
        <v>0</v>
      </c>
      <c r="AA127" s="725"/>
      <c r="AB127" s="726"/>
      <c r="AC127" s="726"/>
      <c r="AD127" s="726"/>
      <c r="AE127" s="726"/>
      <c r="AF127" s="727"/>
      <c r="AG127" s="727"/>
      <c r="AH127" s="727"/>
      <c r="AI127" s="727"/>
      <c r="AJ127" s="727"/>
      <c r="AK127" s="727"/>
      <c r="AL127" s="727"/>
      <c r="AM127" s="727"/>
      <c r="AN127" s="727"/>
    </row>
    <row r="128" spans="1:40" s="727" customFormat="1" ht="31.5">
      <c r="A128" s="709">
        <v>111</v>
      </c>
      <c r="B128" s="542">
        <v>7000016907</v>
      </c>
      <c r="C128" s="542">
        <v>1390</v>
      </c>
      <c r="D128" s="542">
        <v>1750</v>
      </c>
      <c r="E128" s="542">
        <v>30</v>
      </c>
      <c r="F128" s="542" t="s">
        <v>673</v>
      </c>
      <c r="G128" s="542">
        <v>100000890</v>
      </c>
      <c r="H128" s="542">
        <v>998734</v>
      </c>
      <c r="I128" s="543"/>
      <c r="J128" s="542">
        <v>18</v>
      </c>
      <c r="K128" s="541"/>
      <c r="L128" s="540" t="s">
        <v>776</v>
      </c>
      <c r="M128" s="542" t="s">
        <v>299</v>
      </c>
      <c r="N128" s="542">
        <v>2</v>
      </c>
      <c r="O128" s="717"/>
      <c r="P128" s="539" t="str">
        <f t="shared" si="30"/>
        <v>INCLUDED</v>
      </c>
      <c r="Q128" s="723">
        <f t="shared" si="31"/>
        <v>0</v>
      </c>
      <c r="R128" s="446">
        <f t="shared" si="32"/>
        <v>0</v>
      </c>
      <c r="S128" s="612">
        <f>Discount!$J$36</f>
        <v>0</v>
      </c>
      <c r="T128" s="446">
        <f t="shared" si="33"/>
        <v>0</v>
      </c>
      <c r="U128" s="447">
        <f t="shared" si="34"/>
        <v>0</v>
      </c>
      <c r="V128" s="724">
        <f t="shared" si="35"/>
        <v>0</v>
      </c>
      <c r="W128" s="857">
        <f t="shared" ref="W128:W164" si="36">ROUND(O128,2)</f>
        <v>0</v>
      </c>
      <c r="X128" s="724">
        <f t="shared" ref="X128:X164" si="37">N128*W128</f>
        <v>0</v>
      </c>
      <c r="Y128" s="725">
        <f t="shared" ref="Y128:Y164" si="38">IF(K128="",J128/100,K128)</f>
        <v>0.18</v>
      </c>
      <c r="Z128" s="724">
        <f t="shared" ref="Z128:Z164" si="39">X128*Y128</f>
        <v>0</v>
      </c>
      <c r="AA128" s="725"/>
      <c r="AB128" s="726"/>
      <c r="AC128" s="726"/>
      <c r="AD128" s="726"/>
      <c r="AE128" s="726"/>
    </row>
    <row r="129" spans="1:31" s="727" customFormat="1" ht="31.5">
      <c r="A129" s="709">
        <v>112</v>
      </c>
      <c r="B129" s="542">
        <v>7000016907</v>
      </c>
      <c r="C129" s="542">
        <v>1390</v>
      </c>
      <c r="D129" s="542">
        <v>1750</v>
      </c>
      <c r="E129" s="542">
        <v>40</v>
      </c>
      <c r="F129" s="542" t="s">
        <v>673</v>
      </c>
      <c r="G129" s="542">
        <v>100000891</v>
      </c>
      <c r="H129" s="542">
        <v>998734</v>
      </c>
      <c r="I129" s="543"/>
      <c r="J129" s="542">
        <v>18</v>
      </c>
      <c r="K129" s="541"/>
      <c r="L129" s="540" t="s">
        <v>703</v>
      </c>
      <c r="M129" s="542" t="s">
        <v>299</v>
      </c>
      <c r="N129" s="542">
        <v>2</v>
      </c>
      <c r="O129" s="717"/>
      <c r="P129" s="539" t="str">
        <f t="shared" si="30"/>
        <v>INCLUDED</v>
      </c>
      <c r="Q129" s="723">
        <f t="shared" si="31"/>
        <v>0</v>
      </c>
      <c r="R129" s="446">
        <f t="shared" si="32"/>
        <v>0</v>
      </c>
      <c r="S129" s="612">
        <f>Discount!$J$36</f>
        <v>0</v>
      </c>
      <c r="T129" s="446">
        <f t="shared" si="33"/>
        <v>0</v>
      </c>
      <c r="U129" s="447">
        <f t="shared" si="34"/>
        <v>0</v>
      </c>
      <c r="V129" s="724">
        <f t="shared" si="35"/>
        <v>0</v>
      </c>
      <c r="W129" s="857">
        <f t="shared" si="36"/>
        <v>0</v>
      </c>
      <c r="X129" s="724">
        <f t="shared" si="37"/>
        <v>0</v>
      </c>
      <c r="Y129" s="725">
        <f t="shared" si="38"/>
        <v>0.18</v>
      </c>
      <c r="Z129" s="724">
        <f t="shared" si="39"/>
        <v>0</v>
      </c>
      <c r="AA129" s="725"/>
      <c r="AB129" s="726"/>
      <c r="AC129" s="726"/>
      <c r="AD129" s="726"/>
      <c r="AE129" s="726"/>
    </row>
    <row r="130" spans="1:31" s="727" customFormat="1" ht="31.5">
      <c r="A130" s="709">
        <v>113</v>
      </c>
      <c r="B130" s="542">
        <v>7000016907</v>
      </c>
      <c r="C130" s="542">
        <v>1390</v>
      </c>
      <c r="D130" s="542">
        <v>1750</v>
      </c>
      <c r="E130" s="542">
        <v>50</v>
      </c>
      <c r="F130" s="542" t="s">
        <v>673</v>
      </c>
      <c r="G130" s="542">
        <v>100003517</v>
      </c>
      <c r="H130" s="542">
        <v>998734</v>
      </c>
      <c r="I130" s="543"/>
      <c r="J130" s="542">
        <v>18</v>
      </c>
      <c r="K130" s="541"/>
      <c r="L130" s="540" t="s">
        <v>775</v>
      </c>
      <c r="M130" s="542" t="s">
        <v>478</v>
      </c>
      <c r="N130" s="542">
        <v>1.5</v>
      </c>
      <c r="O130" s="717"/>
      <c r="P130" s="539" t="str">
        <f t="shared" si="30"/>
        <v>INCLUDED</v>
      </c>
      <c r="Q130" s="723">
        <f t="shared" si="31"/>
        <v>0</v>
      </c>
      <c r="R130" s="446">
        <f t="shared" si="32"/>
        <v>0</v>
      </c>
      <c r="S130" s="612">
        <f>Discount!$J$36</f>
        <v>0</v>
      </c>
      <c r="T130" s="446">
        <f t="shared" si="33"/>
        <v>0</v>
      </c>
      <c r="U130" s="447">
        <f t="shared" si="34"/>
        <v>0</v>
      </c>
      <c r="V130" s="724">
        <f t="shared" si="35"/>
        <v>0</v>
      </c>
      <c r="W130" s="857">
        <f t="shared" si="36"/>
        <v>0</v>
      </c>
      <c r="X130" s="724">
        <f t="shared" si="37"/>
        <v>0</v>
      </c>
      <c r="Y130" s="725">
        <f t="shared" si="38"/>
        <v>0.18</v>
      </c>
      <c r="Z130" s="724">
        <f t="shared" si="39"/>
        <v>0</v>
      </c>
      <c r="AA130" s="725"/>
      <c r="AB130" s="726"/>
      <c r="AC130" s="726"/>
      <c r="AD130" s="726"/>
      <c r="AE130" s="726"/>
    </row>
    <row r="131" spans="1:31" s="727" customFormat="1" ht="94.5">
      <c r="A131" s="709">
        <v>114</v>
      </c>
      <c r="B131" s="542">
        <v>7000016907</v>
      </c>
      <c r="C131" s="542">
        <v>2050</v>
      </c>
      <c r="D131" s="542">
        <v>20</v>
      </c>
      <c r="E131" s="542">
        <v>10</v>
      </c>
      <c r="F131" s="542" t="s">
        <v>758</v>
      </c>
      <c r="G131" s="542">
        <v>100002812</v>
      </c>
      <c r="H131" s="542">
        <v>998734</v>
      </c>
      <c r="I131" s="543"/>
      <c r="J131" s="542">
        <v>18</v>
      </c>
      <c r="K131" s="541"/>
      <c r="L131" s="540" t="s">
        <v>638</v>
      </c>
      <c r="M131" s="542" t="s">
        <v>299</v>
      </c>
      <c r="N131" s="542">
        <v>1</v>
      </c>
      <c r="O131" s="717"/>
      <c r="P131" s="539" t="str">
        <f t="shared" si="30"/>
        <v>INCLUDED</v>
      </c>
      <c r="Q131" s="723">
        <f t="shared" si="31"/>
        <v>0</v>
      </c>
      <c r="R131" s="446">
        <f t="shared" si="32"/>
        <v>0</v>
      </c>
      <c r="S131" s="612">
        <f>Discount!$J$36</f>
        <v>0</v>
      </c>
      <c r="T131" s="446">
        <f t="shared" si="33"/>
        <v>0</v>
      </c>
      <c r="U131" s="447">
        <f t="shared" si="34"/>
        <v>0</v>
      </c>
      <c r="V131" s="724">
        <f t="shared" si="35"/>
        <v>0</v>
      </c>
      <c r="W131" s="857">
        <f t="shared" si="36"/>
        <v>0</v>
      </c>
      <c r="X131" s="724">
        <f t="shared" si="37"/>
        <v>0</v>
      </c>
      <c r="Y131" s="725">
        <f t="shared" si="38"/>
        <v>0.18</v>
      </c>
      <c r="Z131" s="724">
        <f t="shared" si="39"/>
        <v>0</v>
      </c>
      <c r="AA131" s="725"/>
      <c r="AB131" s="726"/>
      <c r="AC131" s="726"/>
      <c r="AD131" s="726"/>
      <c r="AE131" s="726"/>
    </row>
    <row r="132" spans="1:31" s="727" customFormat="1" ht="31.5">
      <c r="A132" s="709">
        <v>115</v>
      </c>
      <c r="B132" s="542">
        <v>7000016907</v>
      </c>
      <c r="C132" s="542">
        <v>2050</v>
      </c>
      <c r="D132" s="542">
        <v>20</v>
      </c>
      <c r="E132" s="542">
        <v>20</v>
      </c>
      <c r="F132" s="542" t="s">
        <v>758</v>
      </c>
      <c r="G132" s="542">
        <v>170000433</v>
      </c>
      <c r="H132" s="542">
        <v>998734</v>
      </c>
      <c r="I132" s="543"/>
      <c r="J132" s="542">
        <v>18</v>
      </c>
      <c r="K132" s="541"/>
      <c r="L132" s="540" t="s">
        <v>639</v>
      </c>
      <c r="M132" s="542" t="s">
        <v>299</v>
      </c>
      <c r="N132" s="542">
        <v>4</v>
      </c>
      <c r="O132" s="717"/>
      <c r="P132" s="539" t="str">
        <f t="shared" si="30"/>
        <v>INCLUDED</v>
      </c>
      <c r="Q132" s="723">
        <f t="shared" si="31"/>
        <v>0</v>
      </c>
      <c r="R132" s="446">
        <f t="shared" si="32"/>
        <v>0</v>
      </c>
      <c r="S132" s="612">
        <f>Discount!$J$36</f>
        <v>0</v>
      </c>
      <c r="T132" s="446">
        <f t="shared" si="33"/>
        <v>0</v>
      </c>
      <c r="U132" s="447">
        <f t="shared" si="34"/>
        <v>0</v>
      </c>
      <c r="V132" s="724">
        <f t="shared" si="35"/>
        <v>0</v>
      </c>
      <c r="W132" s="857">
        <f t="shared" si="36"/>
        <v>0</v>
      </c>
      <c r="X132" s="724">
        <f t="shared" si="37"/>
        <v>0</v>
      </c>
      <c r="Y132" s="725">
        <f t="shared" si="38"/>
        <v>0.18</v>
      </c>
      <c r="Z132" s="724">
        <f t="shared" si="39"/>
        <v>0</v>
      </c>
      <c r="AA132" s="725"/>
      <c r="AB132" s="726"/>
      <c r="AC132" s="726"/>
      <c r="AD132" s="726"/>
      <c r="AE132" s="726"/>
    </row>
    <row r="133" spans="1:31" s="727" customFormat="1" ht="31.5">
      <c r="A133" s="709">
        <v>116</v>
      </c>
      <c r="B133" s="542">
        <v>7000016907</v>
      </c>
      <c r="C133" s="542">
        <v>2050</v>
      </c>
      <c r="D133" s="542">
        <v>20</v>
      </c>
      <c r="E133" s="542">
        <v>30</v>
      </c>
      <c r="F133" s="542" t="s">
        <v>758</v>
      </c>
      <c r="G133" s="542">
        <v>170000434</v>
      </c>
      <c r="H133" s="542">
        <v>998734</v>
      </c>
      <c r="I133" s="543"/>
      <c r="J133" s="542">
        <v>18</v>
      </c>
      <c r="K133" s="541"/>
      <c r="L133" s="540" t="s">
        <v>640</v>
      </c>
      <c r="M133" s="542" t="s">
        <v>299</v>
      </c>
      <c r="N133" s="542">
        <v>2</v>
      </c>
      <c r="O133" s="717"/>
      <c r="P133" s="539" t="str">
        <f t="shared" si="30"/>
        <v>INCLUDED</v>
      </c>
      <c r="Q133" s="723">
        <f t="shared" si="31"/>
        <v>0</v>
      </c>
      <c r="R133" s="446">
        <f t="shared" si="32"/>
        <v>0</v>
      </c>
      <c r="S133" s="612">
        <f>Discount!$J$36</f>
        <v>0</v>
      </c>
      <c r="T133" s="446">
        <f t="shared" si="33"/>
        <v>0</v>
      </c>
      <c r="U133" s="447">
        <f t="shared" si="34"/>
        <v>0</v>
      </c>
      <c r="V133" s="724">
        <f t="shared" si="35"/>
        <v>0</v>
      </c>
      <c r="W133" s="857">
        <f t="shared" si="36"/>
        <v>0</v>
      </c>
      <c r="X133" s="724">
        <f t="shared" si="37"/>
        <v>0</v>
      </c>
      <c r="Y133" s="725">
        <f t="shared" si="38"/>
        <v>0.18</v>
      </c>
      <c r="Z133" s="724">
        <f t="shared" si="39"/>
        <v>0</v>
      </c>
      <c r="AA133" s="725"/>
      <c r="AB133" s="726"/>
      <c r="AC133" s="726"/>
      <c r="AD133" s="726"/>
      <c r="AE133" s="726"/>
    </row>
    <row r="134" spans="1:31" s="727" customFormat="1" ht="31.5">
      <c r="A134" s="709">
        <v>117</v>
      </c>
      <c r="B134" s="542">
        <v>7000016907</v>
      </c>
      <c r="C134" s="542">
        <v>2050</v>
      </c>
      <c r="D134" s="542">
        <v>20</v>
      </c>
      <c r="E134" s="542">
        <v>40</v>
      </c>
      <c r="F134" s="542" t="s">
        <v>758</v>
      </c>
      <c r="G134" s="542">
        <v>100002825</v>
      </c>
      <c r="H134" s="542">
        <v>998734</v>
      </c>
      <c r="I134" s="543"/>
      <c r="J134" s="542">
        <v>18</v>
      </c>
      <c r="K134" s="541"/>
      <c r="L134" s="540" t="s">
        <v>641</v>
      </c>
      <c r="M134" s="542" t="s">
        <v>300</v>
      </c>
      <c r="N134" s="542">
        <v>2</v>
      </c>
      <c r="O134" s="717"/>
      <c r="P134" s="539" t="str">
        <f t="shared" si="30"/>
        <v>INCLUDED</v>
      </c>
      <c r="Q134" s="723">
        <f t="shared" si="31"/>
        <v>0</v>
      </c>
      <c r="R134" s="446">
        <f t="shared" si="32"/>
        <v>0</v>
      </c>
      <c r="S134" s="612">
        <f>Discount!$J$36</f>
        <v>0</v>
      </c>
      <c r="T134" s="446">
        <f t="shared" si="33"/>
        <v>0</v>
      </c>
      <c r="U134" s="447">
        <f t="shared" si="34"/>
        <v>0</v>
      </c>
      <c r="V134" s="724">
        <f t="shared" si="35"/>
        <v>0</v>
      </c>
      <c r="W134" s="857">
        <f t="shared" si="36"/>
        <v>0</v>
      </c>
      <c r="X134" s="724">
        <f t="shared" si="37"/>
        <v>0</v>
      </c>
      <c r="Y134" s="725">
        <f t="shared" si="38"/>
        <v>0.18</v>
      </c>
      <c r="Z134" s="724">
        <f t="shared" si="39"/>
        <v>0</v>
      </c>
      <c r="AA134" s="725"/>
      <c r="AB134" s="726"/>
      <c r="AC134" s="726"/>
      <c r="AD134" s="726"/>
      <c r="AE134" s="726"/>
    </row>
    <row r="135" spans="1:31" s="727" customFormat="1" ht="31.5">
      <c r="A135" s="709">
        <v>118</v>
      </c>
      <c r="B135" s="542">
        <v>7000016907</v>
      </c>
      <c r="C135" s="542">
        <v>2050</v>
      </c>
      <c r="D135" s="542">
        <v>20</v>
      </c>
      <c r="E135" s="542">
        <v>50</v>
      </c>
      <c r="F135" s="542" t="s">
        <v>758</v>
      </c>
      <c r="G135" s="542">
        <v>170000550</v>
      </c>
      <c r="H135" s="542">
        <v>998336</v>
      </c>
      <c r="I135" s="543"/>
      <c r="J135" s="542">
        <v>18</v>
      </c>
      <c r="K135" s="541"/>
      <c r="L135" s="540" t="s">
        <v>642</v>
      </c>
      <c r="M135" s="542" t="s">
        <v>299</v>
      </c>
      <c r="N135" s="542">
        <v>2</v>
      </c>
      <c r="O135" s="717"/>
      <c r="P135" s="539" t="str">
        <f t="shared" si="30"/>
        <v>INCLUDED</v>
      </c>
      <c r="Q135" s="723">
        <f t="shared" si="31"/>
        <v>0</v>
      </c>
      <c r="R135" s="446">
        <f t="shared" si="32"/>
        <v>0</v>
      </c>
      <c r="S135" s="612">
        <f>Discount!$J$36</f>
        <v>0</v>
      </c>
      <c r="T135" s="446">
        <f t="shared" si="33"/>
        <v>0</v>
      </c>
      <c r="U135" s="447">
        <f t="shared" si="34"/>
        <v>0</v>
      </c>
      <c r="V135" s="724">
        <f t="shared" si="35"/>
        <v>0</v>
      </c>
      <c r="W135" s="857">
        <f t="shared" si="36"/>
        <v>0</v>
      </c>
      <c r="X135" s="724">
        <f t="shared" si="37"/>
        <v>0</v>
      </c>
      <c r="Y135" s="725">
        <f t="shared" si="38"/>
        <v>0.18</v>
      </c>
      <c r="Z135" s="724">
        <f t="shared" si="39"/>
        <v>0</v>
      </c>
      <c r="AA135" s="725"/>
      <c r="AB135" s="726"/>
      <c r="AC135" s="726"/>
      <c r="AD135" s="726"/>
      <c r="AE135" s="726"/>
    </row>
    <row r="136" spans="1:31" s="727" customFormat="1" ht="31.5">
      <c r="A136" s="709">
        <v>119</v>
      </c>
      <c r="B136" s="542">
        <v>7000016907</v>
      </c>
      <c r="C136" s="542">
        <v>2050</v>
      </c>
      <c r="D136" s="542">
        <v>20</v>
      </c>
      <c r="E136" s="542">
        <v>60</v>
      </c>
      <c r="F136" s="542" t="s">
        <v>758</v>
      </c>
      <c r="G136" s="542">
        <v>100002829</v>
      </c>
      <c r="H136" s="542">
        <v>998734</v>
      </c>
      <c r="I136" s="543"/>
      <c r="J136" s="542">
        <v>18</v>
      </c>
      <c r="K136" s="541"/>
      <c r="L136" s="540" t="s">
        <v>643</v>
      </c>
      <c r="M136" s="542" t="s">
        <v>300</v>
      </c>
      <c r="N136" s="542">
        <v>1</v>
      </c>
      <c r="O136" s="717"/>
      <c r="P136" s="539" t="str">
        <f t="shared" si="30"/>
        <v>INCLUDED</v>
      </c>
      <c r="Q136" s="723">
        <f t="shared" si="31"/>
        <v>0</v>
      </c>
      <c r="R136" s="446">
        <f t="shared" si="32"/>
        <v>0</v>
      </c>
      <c r="S136" s="612">
        <f>Discount!$J$36</f>
        <v>0</v>
      </c>
      <c r="T136" s="446">
        <f t="shared" si="33"/>
        <v>0</v>
      </c>
      <c r="U136" s="447">
        <f t="shared" si="34"/>
        <v>0</v>
      </c>
      <c r="V136" s="724">
        <f t="shared" si="35"/>
        <v>0</v>
      </c>
      <c r="W136" s="857">
        <f t="shared" si="36"/>
        <v>0</v>
      </c>
      <c r="X136" s="724">
        <f t="shared" si="37"/>
        <v>0</v>
      </c>
      <c r="Y136" s="725">
        <f t="shared" si="38"/>
        <v>0.18</v>
      </c>
      <c r="Z136" s="724">
        <f t="shared" si="39"/>
        <v>0</v>
      </c>
      <c r="AA136" s="725"/>
      <c r="AB136" s="726"/>
      <c r="AC136" s="726"/>
      <c r="AD136" s="726"/>
      <c r="AE136" s="726"/>
    </row>
    <row r="137" spans="1:31" s="727" customFormat="1" ht="31.5">
      <c r="A137" s="709">
        <v>120</v>
      </c>
      <c r="B137" s="542">
        <v>7000016907</v>
      </c>
      <c r="C137" s="542">
        <v>2050</v>
      </c>
      <c r="D137" s="542">
        <v>20</v>
      </c>
      <c r="E137" s="542">
        <v>70</v>
      </c>
      <c r="F137" s="542" t="s">
        <v>758</v>
      </c>
      <c r="G137" s="542">
        <v>170000375</v>
      </c>
      <c r="H137" s="542">
        <v>998734</v>
      </c>
      <c r="I137" s="543"/>
      <c r="J137" s="542">
        <v>18</v>
      </c>
      <c r="K137" s="541"/>
      <c r="L137" s="540" t="s">
        <v>644</v>
      </c>
      <c r="M137" s="542" t="s">
        <v>299</v>
      </c>
      <c r="N137" s="542">
        <v>1</v>
      </c>
      <c r="O137" s="717"/>
      <c r="P137" s="539" t="str">
        <f t="shared" si="30"/>
        <v>INCLUDED</v>
      </c>
      <c r="Q137" s="723">
        <f t="shared" si="31"/>
        <v>0</v>
      </c>
      <c r="R137" s="446">
        <f t="shared" si="32"/>
        <v>0</v>
      </c>
      <c r="S137" s="612">
        <f>Discount!$J$36</f>
        <v>0</v>
      </c>
      <c r="T137" s="446">
        <f t="shared" si="33"/>
        <v>0</v>
      </c>
      <c r="U137" s="447">
        <f t="shared" si="34"/>
        <v>0</v>
      </c>
      <c r="V137" s="724">
        <f t="shared" si="35"/>
        <v>0</v>
      </c>
      <c r="W137" s="857">
        <f t="shared" si="36"/>
        <v>0</v>
      </c>
      <c r="X137" s="724">
        <f t="shared" si="37"/>
        <v>0</v>
      </c>
      <c r="Y137" s="725">
        <f t="shared" si="38"/>
        <v>0.18</v>
      </c>
      <c r="Z137" s="724">
        <f t="shared" si="39"/>
        <v>0</v>
      </c>
      <c r="AA137" s="725"/>
      <c r="AB137" s="726"/>
      <c r="AC137" s="726"/>
      <c r="AD137" s="726"/>
      <c r="AE137" s="726"/>
    </row>
    <row r="138" spans="1:31" s="727" customFormat="1" ht="31.5">
      <c r="A138" s="709">
        <v>121</v>
      </c>
      <c r="B138" s="542">
        <v>7000016907</v>
      </c>
      <c r="C138" s="542">
        <v>2050</v>
      </c>
      <c r="D138" s="542">
        <v>20</v>
      </c>
      <c r="E138" s="542">
        <v>80</v>
      </c>
      <c r="F138" s="542" t="s">
        <v>758</v>
      </c>
      <c r="G138" s="542">
        <v>170000376</v>
      </c>
      <c r="H138" s="542">
        <v>998734</v>
      </c>
      <c r="I138" s="543"/>
      <c r="J138" s="542">
        <v>18</v>
      </c>
      <c r="K138" s="541"/>
      <c r="L138" s="540" t="s">
        <v>645</v>
      </c>
      <c r="M138" s="542" t="s">
        <v>299</v>
      </c>
      <c r="N138" s="542">
        <v>1</v>
      </c>
      <c r="O138" s="717"/>
      <c r="P138" s="539" t="str">
        <f t="shared" si="30"/>
        <v>INCLUDED</v>
      </c>
      <c r="Q138" s="723">
        <f t="shared" si="31"/>
        <v>0</v>
      </c>
      <c r="R138" s="446">
        <f t="shared" si="32"/>
        <v>0</v>
      </c>
      <c r="S138" s="612">
        <f>Discount!$J$36</f>
        <v>0</v>
      </c>
      <c r="T138" s="446">
        <f t="shared" si="33"/>
        <v>0</v>
      </c>
      <c r="U138" s="447">
        <f t="shared" si="34"/>
        <v>0</v>
      </c>
      <c r="V138" s="724">
        <f t="shared" si="35"/>
        <v>0</v>
      </c>
      <c r="W138" s="857">
        <f t="shared" si="36"/>
        <v>0</v>
      </c>
      <c r="X138" s="724">
        <f t="shared" si="37"/>
        <v>0</v>
      </c>
      <c r="Y138" s="725">
        <f t="shared" si="38"/>
        <v>0.18</v>
      </c>
      <c r="Z138" s="724">
        <f t="shared" si="39"/>
        <v>0</v>
      </c>
      <c r="AA138" s="725"/>
      <c r="AB138" s="726"/>
      <c r="AC138" s="726"/>
      <c r="AD138" s="726"/>
      <c r="AE138" s="726"/>
    </row>
    <row r="139" spans="1:31" s="727" customFormat="1" ht="31.5">
      <c r="A139" s="709">
        <v>122</v>
      </c>
      <c r="B139" s="542">
        <v>7000016907</v>
      </c>
      <c r="C139" s="542">
        <v>2050</v>
      </c>
      <c r="D139" s="542">
        <v>20</v>
      </c>
      <c r="E139" s="542">
        <v>90</v>
      </c>
      <c r="F139" s="542" t="s">
        <v>758</v>
      </c>
      <c r="G139" s="542">
        <v>170000377</v>
      </c>
      <c r="H139" s="542">
        <v>998734</v>
      </c>
      <c r="I139" s="543"/>
      <c r="J139" s="542">
        <v>18</v>
      </c>
      <c r="K139" s="541"/>
      <c r="L139" s="540" t="s">
        <v>646</v>
      </c>
      <c r="M139" s="542" t="s">
        <v>299</v>
      </c>
      <c r="N139" s="542">
        <v>1</v>
      </c>
      <c r="O139" s="717"/>
      <c r="P139" s="539" t="str">
        <f t="shared" si="30"/>
        <v>INCLUDED</v>
      </c>
      <c r="Q139" s="723">
        <f t="shared" si="31"/>
        <v>0</v>
      </c>
      <c r="R139" s="446">
        <f t="shared" si="32"/>
        <v>0</v>
      </c>
      <c r="S139" s="612">
        <f>Discount!$J$36</f>
        <v>0</v>
      </c>
      <c r="T139" s="446">
        <f t="shared" si="33"/>
        <v>0</v>
      </c>
      <c r="U139" s="447">
        <f t="shared" si="34"/>
        <v>0</v>
      </c>
      <c r="V139" s="724">
        <f t="shared" si="35"/>
        <v>0</v>
      </c>
      <c r="W139" s="857">
        <f t="shared" si="36"/>
        <v>0</v>
      </c>
      <c r="X139" s="724">
        <f t="shared" si="37"/>
        <v>0</v>
      </c>
      <c r="Y139" s="725">
        <f t="shared" si="38"/>
        <v>0.18</v>
      </c>
      <c r="Z139" s="724">
        <f t="shared" si="39"/>
        <v>0</v>
      </c>
      <c r="AA139" s="725"/>
      <c r="AB139" s="726"/>
      <c r="AC139" s="726"/>
      <c r="AD139" s="726"/>
      <c r="AE139" s="726"/>
    </row>
    <row r="140" spans="1:31" s="727" customFormat="1" ht="31.5">
      <c r="A140" s="709">
        <v>123</v>
      </c>
      <c r="B140" s="542">
        <v>7000016907</v>
      </c>
      <c r="C140" s="542">
        <v>2050</v>
      </c>
      <c r="D140" s="542">
        <v>20</v>
      </c>
      <c r="E140" s="542">
        <v>100</v>
      </c>
      <c r="F140" s="542" t="s">
        <v>758</v>
      </c>
      <c r="G140" s="542">
        <v>170000551</v>
      </c>
      <c r="H140" s="542">
        <v>998336</v>
      </c>
      <c r="I140" s="543"/>
      <c r="J140" s="542">
        <v>18</v>
      </c>
      <c r="K140" s="541"/>
      <c r="L140" s="540" t="s">
        <v>647</v>
      </c>
      <c r="M140" s="542" t="s">
        <v>299</v>
      </c>
      <c r="N140" s="542">
        <v>2</v>
      </c>
      <c r="O140" s="717"/>
      <c r="P140" s="539" t="str">
        <f t="shared" si="30"/>
        <v>INCLUDED</v>
      </c>
      <c r="Q140" s="723">
        <f t="shared" si="31"/>
        <v>0</v>
      </c>
      <c r="R140" s="446">
        <f t="shared" si="32"/>
        <v>0</v>
      </c>
      <c r="S140" s="612">
        <f>Discount!$J$36</f>
        <v>0</v>
      </c>
      <c r="T140" s="446">
        <f t="shared" si="33"/>
        <v>0</v>
      </c>
      <c r="U140" s="447">
        <f t="shared" si="34"/>
        <v>0</v>
      </c>
      <c r="V140" s="724">
        <f t="shared" si="35"/>
        <v>0</v>
      </c>
      <c r="W140" s="857">
        <f t="shared" si="36"/>
        <v>0</v>
      </c>
      <c r="X140" s="724">
        <f t="shared" si="37"/>
        <v>0</v>
      </c>
      <c r="Y140" s="725">
        <f t="shared" si="38"/>
        <v>0.18</v>
      </c>
      <c r="Z140" s="724">
        <f t="shared" si="39"/>
        <v>0</v>
      </c>
      <c r="AA140" s="725"/>
      <c r="AB140" s="726"/>
      <c r="AC140" s="726"/>
      <c r="AD140" s="726"/>
      <c r="AE140" s="726"/>
    </row>
    <row r="141" spans="1:31" s="727" customFormat="1" ht="47.25">
      <c r="A141" s="709">
        <v>124</v>
      </c>
      <c r="B141" s="542">
        <v>7000016907</v>
      </c>
      <c r="C141" s="542">
        <v>2050</v>
      </c>
      <c r="D141" s="542">
        <v>20</v>
      </c>
      <c r="E141" s="542">
        <v>110</v>
      </c>
      <c r="F141" s="542" t="s">
        <v>758</v>
      </c>
      <c r="G141" s="542">
        <v>100002882</v>
      </c>
      <c r="H141" s="542">
        <v>998336</v>
      </c>
      <c r="I141" s="543"/>
      <c r="J141" s="542">
        <v>18</v>
      </c>
      <c r="K141" s="541"/>
      <c r="L141" s="540" t="s">
        <v>648</v>
      </c>
      <c r="M141" s="542" t="s">
        <v>478</v>
      </c>
      <c r="N141" s="542">
        <v>1</v>
      </c>
      <c r="O141" s="717"/>
      <c r="P141" s="539" t="str">
        <f t="shared" si="30"/>
        <v>INCLUDED</v>
      </c>
      <c r="Q141" s="723">
        <f t="shared" si="31"/>
        <v>0</v>
      </c>
      <c r="R141" s="446">
        <f t="shared" si="32"/>
        <v>0</v>
      </c>
      <c r="S141" s="612">
        <f>Discount!$J$36</f>
        <v>0</v>
      </c>
      <c r="T141" s="446">
        <f t="shared" si="33"/>
        <v>0</v>
      </c>
      <c r="U141" s="447">
        <f t="shared" si="34"/>
        <v>0</v>
      </c>
      <c r="V141" s="724">
        <f t="shared" si="35"/>
        <v>0</v>
      </c>
      <c r="W141" s="857">
        <f t="shared" si="36"/>
        <v>0</v>
      </c>
      <c r="X141" s="724">
        <f t="shared" si="37"/>
        <v>0</v>
      </c>
      <c r="Y141" s="725">
        <f t="shared" si="38"/>
        <v>0.18</v>
      </c>
      <c r="Z141" s="724">
        <f t="shared" si="39"/>
        <v>0</v>
      </c>
      <c r="AA141" s="725"/>
      <c r="AB141" s="726"/>
      <c r="AC141" s="726"/>
      <c r="AD141" s="726"/>
      <c r="AE141" s="726"/>
    </row>
    <row r="142" spans="1:31" s="727" customFormat="1" ht="47.25">
      <c r="A142" s="709">
        <v>125</v>
      </c>
      <c r="B142" s="542">
        <v>7000016907</v>
      </c>
      <c r="C142" s="542">
        <v>2050</v>
      </c>
      <c r="D142" s="542">
        <v>20</v>
      </c>
      <c r="E142" s="542">
        <v>120</v>
      </c>
      <c r="F142" s="542" t="s">
        <v>758</v>
      </c>
      <c r="G142" s="542">
        <v>170000356</v>
      </c>
      <c r="H142" s="542">
        <v>998336</v>
      </c>
      <c r="I142" s="543"/>
      <c r="J142" s="542">
        <v>18</v>
      </c>
      <c r="K142" s="541"/>
      <c r="L142" s="540" t="s">
        <v>649</v>
      </c>
      <c r="M142" s="542" t="s">
        <v>299</v>
      </c>
      <c r="N142" s="542">
        <v>1</v>
      </c>
      <c r="O142" s="717"/>
      <c r="P142" s="539" t="str">
        <f t="shared" si="30"/>
        <v>INCLUDED</v>
      </c>
      <c r="Q142" s="723">
        <f t="shared" si="31"/>
        <v>0</v>
      </c>
      <c r="R142" s="446">
        <f t="shared" si="32"/>
        <v>0</v>
      </c>
      <c r="S142" s="612">
        <f>Discount!$J$36</f>
        <v>0</v>
      </c>
      <c r="T142" s="446">
        <f t="shared" si="33"/>
        <v>0</v>
      </c>
      <c r="U142" s="447">
        <f t="shared" si="34"/>
        <v>0</v>
      </c>
      <c r="V142" s="724">
        <f t="shared" si="35"/>
        <v>0</v>
      </c>
      <c r="W142" s="857">
        <f t="shared" si="36"/>
        <v>0</v>
      </c>
      <c r="X142" s="724">
        <f t="shared" si="37"/>
        <v>0</v>
      </c>
      <c r="Y142" s="725">
        <f t="shared" si="38"/>
        <v>0.18</v>
      </c>
      <c r="Z142" s="724">
        <f t="shared" si="39"/>
        <v>0</v>
      </c>
      <c r="AA142" s="725"/>
      <c r="AB142" s="726"/>
      <c r="AC142" s="726"/>
      <c r="AD142" s="726"/>
      <c r="AE142" s="726"/>
    </row>
    <row r="143" spans="1:31" s="727" customFormat="1">
      <c r="A143" s="709">
        <v>126</v>
      </c>
      <c r="B143" s="542">
        <v>7000016907</v>
      </c>
      <c r="C143" s="542">
        <v>2200</v>
      </c>
      <c r="D143" s="542">
        <v>50</v>
      </c>
      <c r="E143" s="542">
        <v>10</v>
      </c>
      <c r="F143" s="542" t="s">
        <v>676</v>
      </c>
      <c r="G143" s="542">
        <v>170000502</v>
      </c>
      <c r="H143" s="542">
        <v>998713</v>
      </c>
      <c r="I143" s="543"/>
      <c r="J143" s="542">
        <v>18</v>
      </c>
      <c r="K143" s="541"/>
      <c r="L143" s="540" t="s">
        <v>654</v>
      </c>
      <c r="M143" s="542" t="s">
        <v>299</v>
      </c>
      <c r="N143" s="542">
        <v>2</v>
      </c>
      <c r="O143" s="717"/>
      <c r="P143" s="539" t="str">
        <f t="shared" si="30"/>
        <v>INCLUDED</v>
      </c>
      <c r="Q143" s="723">
        <f t="shared" si="31"/>
        <v>0</v>
      </c>
      <c r="R143" s="446">
        <f t="shared" si="32"/>
        <v>0</v>
      </c>
      <c r="S143" s="612">
        <f>Discount!$J$36</f>
        <v>0</v>
      </c>
      <c r="T143" s="446">
        <f t="shared" si="33"/>
        <v>0</v>
      </c>
      <c r="U143" s="447">
        <f t="shared" si="34"/>
        <v>0</v>
      </c>
      <c r="V143" s="724">
        <f t="shared" si="35"/>
        <v>0</v>
      </c>
      <c r="W143" s="857">
        <f t="shared" si="36"/>
        <v>0</v>
      </c>
      <c r="X143" s="724">
        <f t="shared" si="37"/>
        <v>0</v>
      </c>
      <c r="Y143" s="725">
        <f t="shared" si="38"/>
        <v>0.18</v>
      </c>
      <c r="Z143" s="724">
        <f t="shared" si="39"/>
        <v>0</v>
      </c>
      <c r="AA143" s="725"/>
      <c r="AB143" s="726"/>
      <c r="AC143" s="726"/>
      <c r="AD143" s="726"/>
      <c r="AE143" s="726"/>
    </row>
    <row r="144" spans="1:31" s="727" customFormat="1">
      <c r="A144" s="709">
        <v>127</v>
      </c>
      <c r="B144" s="542">
        <v>7000016907</v>
      </c>
      <c r="C144" s="542">
        <v>2200</v>
      </c>
      <c r="D144" s="542">
        <v>50</v>
      </c>
      <c r="E144" s="542">
        <v>20</v>
      </c>
      <c r="F144" s="542" t="s">
        <v>676</v>
      </c>
      <c r="G144" s="542">
        <v>170000530</v>
      </c>
      <c r="H144" s="542">
        <v>998734</v>
      </c>
      <c r="I144" s="543"/>
      <c r="J144" s="542">
        <v>18</v>
      </c>
      <c r="K144" s="541"/>
      <c r="L144" s="540" t="s">
        <v>655</v>
      </c>
      <c r="M144" s="542" t="s">
        <v>299</v>
      </c>
      <c r="N144" s="542">
        <v>2</v>
      </c>
      <c r="O144" s="717"/>
      <c r="P144" s="539" t="str">
        <f t="shared" si="30"/>
        <v>INCLUDED</v>
      </c>
      <c r="Q144" s="723">
        <f t="shared" si="31"/>
        <v>0</v>
      </c>
      <c r="R144" s="446">
        <f t="shared" si="32"/>
        <v>0</v>
      </c>
      <c r="S144" s="612">
        <f>Discount!$J$36</f>
        <v>0</v>
      </c>
      <c r="T144" s="446">
        <f t="shared" si="33"/>
        <v>0</v>
      </c>
      <c r="U144" s="447">
        <f t="shared" si="34"/>
        <v>0</v>
      </c>
      <c r="V144" s="724">
        <f t="shared" si="35"/>
        <v>0</v>
      </c>
      <c r="W144" s="857">
        <f t="shared" si="36"/>
        <v>0</v>
      </c>
      <c r="X144" s="724">
        <f t="shared" si="37"/>
        <v>0</v>
      </c>
      <c r="Y144" s="725">
        <f t="shared" si="38"/>
        <v>0.18</v>
      </c>
      <c r="Z144" s="724">
        <f t="shared" si="39"/>
        <v>0</v>
      </c>
      <c r="AA144" s="725"/>
      <c r="AB144" s="726"/>
      <c r="AC144" s="726"/>
      <c r="AD144" s="726"/>
      <c r="AE144" s="726"/>
    </row>
    <row r="145" spans="1:40" s="727" customFormat="1" ht="31.5">
      <c r="A145" s="709">
        <v>128</v>
      </c>
      <c r="B145" s="542">
        <v>7000016907</v>
      </c>
      <c r="C145" s="542">
        <v>2200</v>
      </c>
      <c r="D145" s="542">
        <v>50</v>
      </c>
      <c r="E145" s="542">
        <v>30</v>
      </c>
      <c r="F145" s="542" t="s">
        <v>676</v>
      </c>
      <c r="G145" s="542">
        <v>170000503</v>
      </c>
      <c r="H145" s="542">
        <v>998713</v>
      </c>
      <c r="I145" s="543"/>
      <c r="J145" s="542">
        <v>18</v>
      </c>
      <c r="K145" s="541"/>
      <c r="L145" s="540" t="s">
        <v>656</v>
      </c>
      <c r="M145" s="542" t="s">
        <v>299</v>
      </c>
      <c r="N145" s="542">
        <v>3</v>
      </c>
      <c r="O145" s="717"/>
      <c r="P145" s="539" t="str">
        <f t="shared" si="30"/>
        <v>INCLUDED</v>
      </c>
      <c r="Q145" s="723">
        <f t="shared" si="31"/>
        <v>0</v>
      </c>
      <c r="R145" s="446">
        <f t="shared" si="32"/>
        <v>0</v>
      </c>
      <c r="S145" s="612">
        <f>Discount!$J$36</f>
        <v>0</v>
      </c>
      <c r="T145" s="446">
        <f t="shared" si="33"/>
        <v>0</v>
      </c>
      <c r="U145" s="447">
        <f t="shared" si="34"/>
        <v>0</v>
      </c>
      <c r="V145" s="724">
        <f t="shared" si="35"/>
        <v>0</v>
      </c>
      <c r="W145" s="857">
        <f t="shared" si="36"/>
        <v>0</v>
      </c>
      <c r="X145" s="724">
        <f t="shared" si="37"/>
        <v>0</v>
      </c>
      <c r="Y145" s="725">
        <f t="shared" si="38"/>
        <v>0.18</v>
      </c>
      <c r="Z145" s="724">
        <f t="shared" si="39"/>
        <v>0</v>
      </c>
      <c r="AA145" s="725"/>
      <c r="AB145" s="726"/>
      <c r="AC145" s="726"/>
      <c r="AD145" s="726"/>
      <c r="AE145" s="726"/>
    </row>
    <row r="146" spans="1:40" s="727" customFormat="1" ht="31.5">
      <c r="A146" s="709">
        <v>129</v>
      </c>
      <c r="B146" s="542">
        <v>7000016907</v>
      </c>
      <c r="C146" s="542">
        <v>2200</v>
      </c>
      <c r="D146" s="542">
        <v>50</v>
      </c>
      <c r="E146" s="542">
        <v>40</v>
      </c>
      <c r="F146" s="542" t="s">
        <v>676</v>
      </c>
      <c r="G146" s="542">
        <v>170000504</v>
      </c>
      <c r="H146" s="542">
        <v>998713</v>
      </c>
      <c r="I146" s="543"/>
      <c r="J146" s="542">
        <v>18</v>
      </c>
      <c r="K146" s="541"/>
      <c r="L146" s="540" t="s">
        <v>657</v>
      </c>
      <c r="M146" s="542" t="s">
        <v>607</v>
      </c>
      <c r="N146" s="542">
        <v>1</v>
      </c>
      <c r="O146" s="717"/>
      <c r="P146" s="539" t="str">
        <f t="shared" si="30"/>
        <v>INCLUDED</v>
      </c>
      <c r="Q146" s="723">
        <f t="shared" si="31"/>
        <v>0</v>
      </c>
      <c r="R146" s="446">
        <f t="shared" si="32"/>
        <v>0</v>
      </c>
      <c r="S146" s="612">
        <f>Discount!$J$36</f>
        <v>0</v>
      </c>
      <c r="T146" s="446">
        <f t="shared" si="33"/>
        <v>0</v>
      </c>
      <c r="U146" s="447">
        <f t="shared" si="34"/>
        <v>0</v>
      </c>
      <c r="V146" s="724">
        <f t="shared" si="35"/>
        <v>0</v>
      </c>
      <c r="W146" s="857">
        <f t="shared" si="36"/>
        <v>0</v>
      </c>
      <c r="X146" s="724">
        <f t="shared" si="37"/>
        <v>0</v>
      </c>
      <c r="Y146" s="725">
        <f t="shared" si="38"/>
        <v>0.18</v>
      </c>
      <c r="Z146" s="724">
        <f t="shared" si="39"/>
        <v>0</v>
      </c>
      <c r="AA146" s="725"/>
      <c r="AB146" s="726"/>
      <c r="AC146" s="726"/>
      <c r="AD146" s="726"/>
      <c r="AE146" s="726"/>
    </row>
    <row r="147" spans="1:40" s="727" customFormat="1" ht="31.5">
      <c r="A147" s="709">
        <v>130</v>
      </c>
      <c r="B147" s="542">
        <v>7000016907</v>
      </c>
      <c r="C147" s="542">
        <v>2200</v>
      </c>
      <c r="D147" s="542">
        <v>50</v>
      </c>
      <c r="E147" s="542">
        <v>50</v>
      </c>
      <c r="F147" s="542" t="s">
        <v>676</v>
      </c>
      <c r="G147" s="542">
        <v>170000501</v>
      </c>
      <c r="H147" s="542">
        <v>998734</v>
      </c>
      <c r="I147" s="543"/>
      <c r="J147" s="542">
        <v>18</v>
      </c>
      <c r="K147" s="541"/>
      <c r="L147" s="540" t="s">
        <v>658</v>
      </c>
      <c r="M147" s="542" t="s">
        <v>607</v>
      </c>
      <c r="N147" s="542">
        <v>1</v>
      </c>
      <c r="O147" s="717"/>
      <c r="P147" s="539" t="str">
        <f t="shared" si="30"/>
        <v>INCLUDED</v>
      </c>
      <c r="Q147" s="723">
        <f t="shared" si="31"/>
        <v>0</v>
      </c>
      <c r="R147" s="446">
        <f t="shared" si="32"/>
        <v>0</v>
      </c>
      <c r="S147" s="612">
        <f>Discount!$J$36</f>
        <v>0</v>
      </c>
      <c r="T147" s="446">
        <f t="shared" si="33"/>
        <v>0</v>
      </c>
      <c r="U147" s="447">
        <f t="shared" si="34"/>
        <v>0</v>
      </c>
      <c r="V147" s="724">
        <f t="shared" si="35"/>
        <v>0</v>
      </c>
      <c r="W147" s="857">
        <f t="shared" si="36"/>
        <v>0</v>
      </c>
      <c r="X147" s="724">
        <f t="shared" si="37"/>
        <v>0</v>
      </c>
      <c r="Y147" s="725">
        <f t="shared" si="38"/>
        <v>0.18</v>
      </c>
      <c r="Z147" s="724">
        <f t="shared" si="39"/>
        <v>0</v>
      </c>
      <c r="AA147" s="725"/>
      <c r="AB147" s="726"/>
      <c r="AC147" s="726"/>
      <c r="AD147" s="726"/>
      <c r="AE147" s="726"/>
    </row>
    <row r="148" spans="1:40" s="779" customFormat="1" ht="16.5">
      <c r="A148" s="768"/>
      <c r="B148" s="954" t="str">
        <f>'Sch-1'!B157</f>
        <v>Extn. works at 400kV Sankhari(GETCO) S/S</v>
      </c>
      <c r="C148" s="955"/>
      <c r="D148" s="955"/>
      <c r="E148" s="955"/>
      <c r="F148" s="956"/>
      <c r="G148" s="762"/>
      <c r="H148" s="762"/>
      <c r="I148" s="769"/>
      <c r="J148" s="762"/>
      <c r="K148" s="770"/>
      <c r="L148" s="761"/>
      <c r="M148" s="762"/>
      <c r="N148" s="762"/>
      <c r="O148" s="763"/>
      <c r="P148" s="771"/>
      <c r="Q148" s="772">
        <f t="shared" si="31"/>
        <v>0</v>
      </c>
      <c r="R148" s="773">
        <f t="shared" si="32"/>
        <v>0</v>
      </c>
      <c r="S148" s="774">
        <f>Discount!$J$36</f>
        <v>0</v>
      </c>
      <c r="T148" s="773">
        <f t="shared" si="33"/>
        <v>0</v>
      </c>
      <c r="U148" s="775">
        <f t="shared" si="34"/>
        <v>0</v>
      </c>
      <c r="V148" s="776">
        <f t="shared" si="35"/>
        <v>0</v>
      </c>
      <c r="W148" s="851">
        <f t="shared" si="36"/>
        <v>0</v>
      </c>
      <c r="X148" s="852">
        <f t="shared" si="37"/>
        <v>0</v>
      </c>
      <c r="Y148" s="856">
        <f t="shared" si="38"/>
        <v>0</v>
      </c>
      <c r="Z148" s="777">
        <f t="shared" si="39"/>
        <v>0</v>
      </c>
      <c r="AA148" s="777"/>
      <c r="AB148" s="778"/>
      <c r="AC148" s="778"/>
      <c r="AD148" s="778"/>
      <c r="AE148" s="778"/>
    </row>
    <row r="149" spans="1:40" s="731" customFormat="1" ht="31.5">
      <c r="A149" s="709">
        <v>131</v>
      </c>
      <c r="B149" s="542">
        <v>7000016906</v>
      </c>
      <c r="C149" s="542">
        <v>530</v>
      </c>
      <c r="D149" s="542">
        <v>1310</v>
      </c>
      <c r="E149" s="542">
        <v>10</v>
      </c>
      <c r="F149" s="542" t="s">
        <v>581</v>
      </c>
      <c r="G149" s="542">
        <v>100000267</v>
      </c>
      <c r="H149" s="542">
        <v>998736</v>
      </c>
      <c r="I149" s="543"/>
      <c r="J149" s="542">
        <v>18</v>
      </c>
      <c r="K149" s="541"/>
      <c r="L149" s="540" t="s">
        <v>629</v>
      </c>
      <c r="M149" s="542" t="s">
        <v>299</v>
      </c>
      <c r="N149" s="542">
        <v>2</v>
      </c>
      <c r="O149" s="717"/>
      <c r="P149" s="539" t="str">
        <f t="shared" ref="P149:P150" si="40">IF(O149=0, "INCLUDED", IF(ISERROR(N149*O149), O149, N149*O149))</f>
        <v>INCLUDED</v>
      </c>
      <c r="Q149" s="723">
        <f t="shared" si="31"/>
        <v>0</v>
      </c>
      <c r="R149" s="446">
        <f t="shared" si="32"/>
        <v>0</v>
      </c>
      <c r="S149" s="612">
        <f>Discount!$J$36</f>
        <v>0</v>
      </c>
      <c r="T149" s="446">
        <f t="shared" si="33"/>
        <v>0</v>
      </c>
      <c r="U149" s="447">
        <f t="shared" si="34"/>
        <v>0</v>
      </c>
      <c r="V149" s="724">
        <f t="shared" si="35"/>
        <v>0</v>
      </c>
      <c r="W149" s="857">
        <f t="shared" si="36"/>
        <v>0</v>
      </c>
      <c r="X149" s="724">
        <f t="shared" si="37"/>
        <v>0</v>
      </c>
      <c r="Y149" s="725">
        <f t="shared" si="38"/>
        <v>0.18</v>
      </c>
      <c r="Z149" s="724">
        <f t="shared" si="39"/>
        <v>0</v>
      </c>
      <c r="AA149" s="725"/>
      <c r="AB149" s="726"/>
      <c r="AC149" s="726"/>
      <c r="AD149" s="726"/>
      <c r="AE149" s="726"/>
      <c r="AF149" s="727"/>
      <c r="AG149" s="727"/>
      <c r="AH149" s="727"/>
      <c r="AI149" s="727"/>
      <c r="AJ149" s="727"/>
      <c r="AK149" s="727"/>
      <c r="AL149" s="727"/>
      <c r="AM149" s="727"/>
      <c r="AN149" s="727"/>
    </row>
    <row r="150" spans="1:40" s="731" customFormat="1" ht="31.5">
      <c r="A150" s="709">
        <v>132</v>
      </c>
      <c r="B150" s="542">
        <v>7000016906</v>
      </c>
      <c r="C150" s="542">
        <v>530</v>
      </c>
      <c r="D150" s="542">
        <v>1310</v>
      </c>
      <c r="E150" s="542">
        <v>20</v>
      </c>
      <c r="F150" s="542" t="s">
        <v>581</v>
      </c>
      <c r="G150" s="542">
        <v>100000274</v>
      </c>
      <c r="H150" s="542">
        <v>998736</v>
      </c>
      <c r="I150" s="543"/>
      <c r="J150" s="542">
        <v>18</v>
      </c>
      <c r="K150" s="541"/>
      <c r="L150" s="540" t="s">
        <v>585</v>
      </c>
      <c r="M150" s="542" t="s">
        <v>299</v>
      </c>
      <c r="N150" s="542">
        <v>6</v>
      </c>
      <c r="O150" s="717"/>
      <c r="P150" s="539" t="str">
        <f t="shared" si="40"/>
        <v>INCLUDED</v>
      </c>
      <c r="Q150" s="723">
        <f t="shared" ref="Q150" si="41">IF(P150="Included",0,P150)</f>
        <v>0</v>
      </c>
      <c r="R150" s="446">
        <f t="shared" ref="R150" si="42">IF( K150="",J150*(IF(P150="Included",0,P150))/100,K150*(IF(P150="Included",0,P150)))</f>
        <v>0</v>
      </c>
      <c r="S150" s="612">
        <f>Discount!$J$36</f>
        <v>0</v>
      </c>
      <c r="T150" s="446">
        <f t="shared" ref="T150" si="43">S150*Q150</f>
        <v>0</v>
      </c>
      <c r="U150" s="447">
        <f t="shared" ref="U150" si="44">IF(K150="",J150*T150/100,K150*T150)</f>
        <v>0</v>
      </c>
      <c r="V150" s="724">
        <f t="shared" ref="V150" si="45">O150*N150</f>
        <v>0</v>
      </c>
      <c r="W150" s="857">
        <f t="shared" si="36"/>
        <v>0</v>
      </c>
      <c r="X150" s="724">
        <f t="shared" si="37"/>
        <v>0</v>
      </c>
      <c r="Y150" s="725">
        <f t="shared" si="38"/>
        <v>0.18</v>
      </c>
      <c r="Z150" s="724">
        <f t="shared" si="39"/>
        <v>0</v>
      </c>
      <c r="AA150" s="725"/>
      <c r="AB150" s="726"/>
      <c r="AC150" s="726"/>
      <c r="AD150" s="726"/>
      <c r="AE150" s="726"/>
      <c r="AF150" s="727"/>
      <c r="AG150" s="727"/>
      <c r="AH150" s="727"/>
      <c r="AI150" s="727"/>
      <c r="AJ150" s="727"/>
      <c r="AK150" s="727"/>
      <c r="AL150" s="727"/>
      <c r="AM150" s="727"/>
      <c r="AN150" s="727"/>
    </row>
    <row r="151" spans="1:40" s="731" customFormat="1" ht="31.5">
      <c r="A151" s="709">
        <v>133</v>
      </c>
      <c r="B151" s="542">
        <v>7000016906</v>
      </c>
      <c r="C151" s="542">
        <v>530</v>
      </c>
      <c r="D151" s="542">
        <v>1310</v>
      </c>
      <c r="E151" s="542">
        <v>30</v>
      </c>
      <c r="F151" s="542" t="s">
        <v>581</v>
      </c>
      <c r="G151" s="542">
        <v>100000275</v>
      </c>
      <c r="H151" s="542">
        <v>998736</v>
      </c>
      <c r="I151" s="543"/>
      <c r="J151" s="542">
        <v>18</v>
      </c>
      <c r="K151" s="541"/>
      <c r="L151" s="540" t="s">
        <v>586</v>
      </c>
      <c r="M151" s="542" t="s">
        <v>299</v>
      </c>
      <c r="N151" s="542">
        <v>6</v>
      </c>
      <c r="O151" s="717"/>
      <c r="P151" s="539" t="str">
        <f t="shared" si="30"/>
        <v>INCLUDED</v>
      </c>
      <c r="Q151" s="723">
        <f t="shared" si="31"/>
        <v>0</v>
      </c>
      <c r="R151" s="446">
        <f t="shared" si="32"/>
        <v>0</v>
      </c>
      <c r="S151" s="612">
        <f>Discount!$J$36</f>
        <v>0</v>
      </c>
      <c r="T151" s="446">
        <f t="shared" si="33"/>
        <v>0</v>
      </c>
      <c r="U151" s="447">
        <f t="shared" si="34"/>
        <v>0</v>
      </c>
      <c r="V151" s="724">
        <f t="shared" si="35"/>
        <v>0</v>
      </c>
      <c r="W151" s="857">
        <f t="shared" si="36"/>
        <v>0</v>
      </c>
      <c r="X151" s="724">
        <f t="shared" si="37"/>
        <v>0</v>
      </c>
      <c r="Y151" s="725">
        <f t="shared" si="38"/>
        <v>0.18</v>
      </c>
      <c r="Z151" s="724">
        <f t="shared" si="39"/>
        <v>0</v>
      </c>
      <c r="AA151" s="725"/>
      <c r="AB151" s="726"/>
      <c r="AC151" s="726"/>
      <c r="AD151" s="726"/>
      <c r="AE151" s="726"/>
      <c r="AF151" s="727"/>
      <c r="AG151" s="727"/>
      <c r="AH151" s="727"/>
      <c r="AI151" s="727"/>
      <c r="AJ151" s="727"/>
      <c r="AK151" s="727"/>
      <c r="AL151" s="727"/>
      <c r="AM151" s="727"/>
      <c r="AN151" s="727"/>
    </row>
    <row r="152" spans="1:40" s="731" customFormat="1" ht="31.5">
      <c r="A152" s="709">
        <v>134</v>
      </c>
      <c r="B152" s="542">
        <v>7000016906</v>
      </c>
      <c r="C152" s="542">
        <v>530</v>
      </c>
      <c r="D152" s="542">
        <v>1310</v>
      </c>
      <c r="E152" s="542">
        <v>40</v>
      </c>
      <c r="F152" s="542" t="s">
        <v>581</v>
      </c>
      <c r="G152" s="542">
        <v>100000287</v>
      </c>
      <c r="H152" s="542">
        <v>998736</v>
      </c>
      <c r="I152" s="543"/>
      <c r="J152" s="542">
        <v>18</v>
      </c>
      <c r="K152" s="541"/>
      <c r="L152" s="540" t="s">
        <v>587</v>
      </c>
      <c r="M152" s="542" t="s">
        <v>299</v>
      </c>
      <c r="N152" s="542">
        <v>2</v>
      </c>
      <c r="O152" s="717"/>
      <c r="P152" s="539" t="str">
        <f t="shared" si="30"/>
        <v>INCLUDED</v>
      </c>
      <c r="Q152" s="723">
        <f t="shared" si="31"/>
        <v>0</v>
      </c>
      <c r="R152" s="446">
        <f t="shared" si="32"/>
        <v>0</v>
      </c>
      <c r="S152" s="612">
        <f>Discount!$J$36</f>
        <v>0</v>
      </c>
      <c r="T152" s="446">
        <f t="shared" si="33"/>
        <v>0</v>
      </c>
      <c r="U152" s="447">
        <f t="shared" si="34"/>
        <v>0</v>
      </c>
      <c r="V152" s="724">
        <f t="shared" si="35"/>
        <v>0</v>
      </c>
      <c r="W152" s="857">
        <f t="shared" si="36"/>
        <v>0</v>
      </c>
      <c r="X152" s="724">
        <f t="shared" si="37"/>
        <v>0</v>
      </c>
      <c r="Y152" s="725">
        <f t="shared" si="38"/>
        <v>0.18</v>
      </c>
      <c r="Z152" s="724">
        <f t="shared" si="39"/>
        <v>0</v>
      </c>
      <c r="AA152" s="725"/>
      <c r="AB152" s="726"/>
      <c r="AC152" s="726"/>
      <c r="AD152" s="726"/>
      <c r="AE152" s="726"/>
      <c r="AF152" s="727"/>
      <c r="AG152" s="727"/>
      <c r="AH152" s="727"/>
      <c r="AI152" s="727"/>
      <c r="AJ152" s="727"/>
      <c r="AK152" s="727"/>
      <c r="AL152" s="727"/>
      <c r="AM152" s="727"/>
      <c r="AN152" s="727"/>
    </row>
    <row r="153" spans="1:40" s="731" customFormat="1" ht="31.5">
      <c r="A153" s="709">
        <v>135</v>
      </c>
      <c r="B153" s="542">
        <v>7000016906</v>
      </c>
      <c r="C153" s="542">
        <v>530</v>
      </c>
      <c r="D153" s="542">
        <v>1310</v>
      </c>
      <c r="E153" s="542">
        <v>50</v>
      </c>
      <c r="F153" s="542" t="s">
        <v>581</v>
      </c>
      <c r="G153" s="542">
        <v>100005443</v>
      </c>
      <c r="H153" s="542">
        <v>998734</v>
      </c>
      <c r="I153" s="543"/>
      <c r="J153" s="542">
        <v>18</v>
      </c>
      <c r="K153" s="541"/>
      <c r="L153" s="540" t="s">
        <v>558</v>
      </c>
      <c r="M153" s="542" t="s">
        <v>299</v>
      </c>
      <c r="N153" s="542">
        <v>48</v>
      </c>
      <c r="O153" s="717"/>
      <c r="P153" s="539" t="str">
        <f t="shared" si="30"/>
        <v>INCLUDED</v>
      </c>
      <c r="Q153" s="723">
        <f t="shared" si="31"/>
        <v>0</v>
      </c>
      <c r="R153" s="446">
        <f t="shared" si="32"/>
        <v>0</v>
      </c>
      <c r="S153" s="612">
        <f>Discount!$J$36</f>
        <v>0</v>
      </c>
      <c r="T153" s="446">
        <f t="shared" si="33"/>
        <v>0</v>
      </c>
      <c r="U153" s="447">
        <f t="shared" si="34"/>
        <v>0</v>
      </c>
      <c r="V153" s="724">
        <f t="shared" si="35"/>
        <v>0</v>
      </c>
      <c r="W153" s="857">
        <f t="shared" si="36"/>
        <v>0</v>
      </c>
      <c r="X153" s="724">
        <f t="shared" si="37"/>
        <v>0</v>
      </c>
      <c r="Y153" s="725">
        <f t="shared" si="38"/>
        <v>0.18</v>
      </c>
      <c r="Z153" s="724">
        <f t="shared" si="39"/>
        <v>0</v>
      </c>
      <c r="AA153" s="725"/>
      <c r="AB153" s="726"/>
      <c r="AC153" s="726"/>
      <c r="AD153" s="726"/>
      <c r="AE153" s="726"/>
      <c r="AF153" s="727"/>
      <c r="AG153" s="727"/>
      <c r="AH153" s="727"/>
      <c r="AI153" s="727"/>
      <c r="AJ153" s="727"/>
      <c r="AK153" s="727"/>
      <c r="AL153" s="727"/>
      <c r="AM153" s="727"/>
      <c r="AN153" s="727"/>
    </row>
    <row r="154" spans="1:40" s="731" customFormat="1" ht="31.5">
      <c r="A154" s="709">
        <v>136</v>
      </c>
      <c r="B154" s="542">
        <v>7000016906</v>
      </c>
      <c r="C154" s="542">
        <v>530</v>
      </c>
      <c r="D154" s="542">
        <v>1310</v>
      </c>
      <c r="E154" s="542">
        <v>70</v>
      </c>
      <c r="F154" s="542" t="s">
        <v>581</v>
      </c>
      <c r="G154" s="542">
        <v>100019514</v>
      </c>
      <c r="H154" s="542">
        <v>998736</v>
      </c>
      <c r="I154" s="543"/>
      <c r="J154" s="542">
        <v>18</v>
      </c>
      <c r="K154" s="541"/>
      <c r="L154" s="540" t="s">
        <v>812</v>
      </c>
      <c r="M154" s="542" t="s">
        <v>299</v>
      </c>
      <c r="N154" s="542">
        <v>6</v>
      </c>
      <c r="O154" s="717"/>
      <c r="P154" s="539" t="str">
        <f t="shared" si="30"/>
        <v>INCLUDED</v>
      </c>
      <c r="Q154" s="723">
        <f t="shared" si="31"/>
        <v>0</v>
      </c>
      <c r="R154" s="446">
        <f t="shared" si="32"/>
        <v>0</v>
      </c>
      <c r="S154" s="612">
        <f>Discount!$J$36</f>
        <v>0</v>
      </c>
      <c r="T154" s="446">
        <f t="shared" si="33"/>
        <v>0</v>
      </c>
      <c r="U154" s="447">
        <f t="shared" si="34"/>
        <v>0</v>
      </c>
      <c r="V154" s="724">
        <f t="shared" si="35"/>
        <v>0</v>
      </c>
      <c r="W154" s="857">
        <f t="shared" si="36"/>
        <v>0</v>
      </c>
      <c r="X154" s="724">
        <f t="shared" si="37"/>
        <v>0</v>
      </c>
      <c r="Y154" s="725">
        <f t="shared" si="38"/>
        <v>0.18</v>
      </c>
      <c r="Z154" s="724">
        <f t="shared" si="39"/>
        <v>0</v>
      </c>
      <c r="AA154" s="725"/>
      <c r="AB154" s="726"/>
      <c r="AC154" s="726"/>
      <c r="AD154" s="726"/>
      <c r="AE154" s="726"/>
      <c r="AF154" s="727"/>
      <c r="AG154" s="727"/>
      <c r="AH154" s="727"/>
      <c r="AI154" s="727"/>
      <c r="AJ154" s="727"/>
      <c r="AK154" s="727"/>
      <c r="AL154" s="727"/>
      <c r="AM154" s="727"/>
      <c r="AN154" s="727"/>
    </row>
    <row r="155" spans="1:40" s="731" customFormat="1" ht="47.25">
      <c r="A155" s="709">
        <v>137</v>
      </c>
      <c r="B155" s="542">
        <v>7000016906</v>
      </c>
      <c r="C155" s="542">
        <v>540</v>
      </c>
      <c r="D155" s="542">
        <v>1421</v>
      </c>
      <c r="E155" s="542">
        <v>10</v>
      </c>
      <c r="F155" s="542" t="s">
        <v>522</v>
      </c>
      <c r="G155" s="542">
        <v>100017127</v>
      </c>
      <c r="H155" s="542">
        <v>998731</v>
      </c>
      <c r="I155" s="543"/>
      <c r="J155" s="542">
        <v>18</v>
      </c>
      <c r="K155" s="541"/>
      <c r="L155" s="540" t="s">
        <v>630</v>
      </c>
      <c r="M155" s="542" t="s">
        <v>299</v>
      </c>
      <c r="N155" s="542">
        <v>6</v>
      </c>
      <c r="O155" s="717"/>
      <c r="P155" s="539" t="str">
        <f t="shared" si="30"/>
        <v>INCLUDED</v>
      </c>
      <c r="Q155" s="723">
        <f t="shared" si="31"/>
        <v>0</v>
      </c>
      <c r="R155" s="446">
        <f t="shared" si="32"/>
        <v>0</v>
      </c>
      <c r="S155" s="612">
        <f>Discount!$J$36</f>
        <v>0</v>
      </c>
      <c r="T155" s="446">
        <f t="shared" si="33"/>
        <v>0</v>
      </c>
      <c r="U155" s="447">
        <f t="shared" si="34"/>
        <v>0</v>
      </c>
      <c r="V155" s="724">
        <f t="shared" si="35"/>
        <v>0</v>
      </c>
      <c r="W155" s="857">
        <f t="shared" si="36"/>
        <v>0</v>
      </c>
      <c r="X155" s="724">
        <f t="shared" si="37"/>
        <v>0</v>
      </c>
      <c r="Y155" s="725">
        <f t="shared" si="38"/>
        <v>0.18</v>
      </c>
      <c r="Z155" s="724">
        <f t="shared" si="39"/>
        <v>0</v>
      </c>
      <c r="AA155" s="725"/>
      <c r="AB155" s="726"/>
      <c r="AC155" s="726"/>
      <c r="AD155" s="726"/>
      <c r="AE155" s="726"/>
      <c r="AF155" s="727"/>
      <c r="AG155" s="727"/>
      <c r="AH155" s="727"/>
      <c r="AI155" s="727"/>
      <c r="AJ155" s="727"/>
      <c r="AK155" s="727"/>
      <c r="AL155" s="727"/>
      <c r="AM155" s="727"/>
      <c r="AN155" s="727"/>
    </row>
    <row r="156" spans="1:40" s="731" customFormat="1" ht="47.25">
      <c r="A156" s="709">
        <v>138</v>
      </c>
      <c r="B156" s="542">
        <v>7000016906</v>
      </c>
      <c r="C156" s="542">
        <v>540</v>
      </c>
      <c r="D156" s="542">
        <v>1421</v>
      </c>
      <c r="E156" s="542">
        <v>20</v>
      </c>
      <c r="F156" s="542" t="s">
        <v>522</v>
      </c>
      <c r="G156" s="542">
        <v>100017126</v>
      </c>
      <c r="H156" s="542">
        <v>998731</v>
      </c>
      <c r="I156" s="543"/>
      <c r="J156" s="542">
        <v>18</v>
      </c>
      <c r="K156" s="541"/>
      <c r="L156" s="540" t="s">
        <v>631</v>
      </c>
      <c r="M156" s="542" t="s">
        <v>299</v>
      </c>
      <c r="N156" s="542">
        <v>6</v>
      </c>
      <c r="O156" s="717"/>
      <c r="P156" s="539" t="str">
        <f t="shared" si="30"/>
        <v>INCLUDED</v>
      </c>
      <c r="Q156" s="723">
        <f t="shared" si="31"/>
        <v>0</v>
      </c>
      <c r="R156" s="446">
        <f t="shared" si="32"/>
        <v>0</v>
      </c>
      <c r="S156" s="612">
        <f>Discount!$J$36</f>
        <v>0</v>
      </c>
      <c r="T156" s="446">
        <f t="shared" si="33"/>
        <v>0</v>
      </c>
      <c r="U156" s="447">
        <f t="shared" si="34"/>
        <v>0</v>
      </c>
      <c r="V156" s="724">
        <f t="shared" si="35"/>
        <v>0</v>
      </c>
      <c r="W156" s="857">
        <f t="shared" si="36"/>
        <v>0</v>
      </c>
      <c r="X156" s="724">
        <f t="shared" si="37"/>
        <v>0</v>
      </c>
      <c r="Y156" s="725">
        <f t="shared" si="38"/>
        <v>0.18</v>
      </c>
      <c r="Z156" s="724">
        <f t="shared" si="39"/>
        <v>0</v>
      </c>
      <c r="AA156" s="725"/>
      <c r="AB156" s="726"/>
      <c r="AC156" s="726"/>
      <c r="AD156" s="726"/>
      <c r="AE156" s="726"/>
      <c r="AF156" s="727"/>
      <c r="AG156" s="727"/>
      <c r="AH156" s="727"/>
      <c r="AI156" s="727"/>
      <c r="AJ156" s="727"/>
      <c r="AK156" s="727"/>
      <c r="AL156" s="727"/>
      <c r="AM156" s="727"/>
      <c r="AN156" s="727"/>
    </row>
    <row r="157" spans="1:40" s="731" customFormat="1" ht="47.25">
      <c r="A157" s="709">
        <v>139</v>
      </c>
      <c r="B157" s="542">
        <v>7000016906</v>
      </c>
      <c r="C157" s="542">
        <v>540</v>
      </c>
      <c r="D157" s="542">
        <v>1421</v>
      </c>
      <c r="E157" s="542">
        <v>30</v>
      </c>
      <c r="F157" s="542" t="s">
        <v>522</v>
      </c>
      <c r="G157" s="542">
        <v>100017128</v>
      </c>
      <c r="H157" s="542">
        <v>998731</v>
      </c>
      <c r="I157" s="543"/>
      <c r="J157" s="542">
        <v>18</v>
      </c>
      <c r="K157" s="541"/>
      <c r="L157" s="540" t="s">
        <v>813</v>
      </c>
      <c r="M157" s="542" t="s">
        <v>299</v>
      </c>
      <c r="N157" s="542">
        <v>3</v>
      </c>
      <c r="O157" s="717"/>
      <c r="P157" s="539" t="str">
        <f t="shared" si="30"/>
        <v>INCLUDED</v>
      </c>
      <c r="Q157" s="723">
        <f t="shared" si="31"/>
        <v>0</v>
      </c>
      <c r="R157" s="446">
        <f t="shared" si="32"/>
        <v>0</v>
      </c>
      <c r="S157" s="612">
        <f>Discount!$J$36</f>
        <v>0</v>
      </c>
      <c r="T157" s="446">
        <f t="shared" si="33"/>
        <v>0</v>
      </c>
      <c r="U157" s="447">
        <f t="shared" si="34"/>
        <v>0</v>
      </c>
      <c r="V157" s="724">
        <f t="shared" si="35"/>
        <v>0</v>
      </c>
      <c r="W157" s="857">
        <f t="shared" si="36"/>
        <v>0</v>
      </c>
      <c r="X157" s="724">
        <f t="shared" si="37"/>
        <v>0</v>
      </c>
      <c r="Y157" s="725">
        <f t="shared" si="38"/>
        <v>0.18</v>
      </c>
      <c r="Z157" s="724">
        <f t="shared" si="39"/>
        <v>0</v>
      </c>
      <c r="AA157" s="725"/>
      <c r="AB157" s="726"/>
      <c r="AC157" s="726"/>
      <c r="AD157" s="726"/>
      <c r="AE157" s="726"/>
      <c r="AF157" s="727"/>
      <c r="AG157" s="727"/>
      <c r="AH157" s="727"/>
      <c r="AI157" s="727"/>
      <c r="AJ157" s="727"/>
      <c r="AK157" s="727"/>
      <c r="AL157" s="727"/>
      <c r="AM157" s="727"/>
      <c r="AN157" s="727"/>
    </row>
    <row r="158" spans="1:40" s="731" customFormat="1" ht="47.25">
      <c r="A158" s="709">
        <v>140</v>
      </c>
      <c r="B158" s="542">
        <v>7000016906</v>
      </c>
      <c r="C158" s="542">
        <v>540</v>
      </c>
      <c r="D158" s="542">
        <v>1421</v>
      </c>
      <c r="E158" s="542">
        <v>40</v>
      </c>
      <c r="F158" s="542" t="s">
        <v>522</v>
      </c>
      <c r="G158" s="542">
        <v>100017129</v>
      </c>
      <c r="H158" s="542">
        <v>998731</v>
      </c>
      <c r="I158" s="543"/>
      <c r="J158" s="542">
        <v>18</v>
      </c>
      <c r="K158" s="541"/>
      <c r="L158" s="540" t="s">
        <v>814</v>
      </c>
      <c r="M158" s="542" t="s">
        <v>299</v>
      </c>
      <c r="N158" s="542">
        <v>3</v>
      </c>
      <c r="O158" s="717"/>
      <c r="P158" s="539" t="str">
        <f t="shared" si="30"/>
        <v>INCLUDED</v>
      </c>
      <c r="Q158" s="723">
        <f t="shared" si="31"/>
        <v>0</v>
      </c>
      <c r="R158" s="446">
        <f t="shared" si="32"/>
        <v>0</v>
      </c>
      <c r="S158" s="612">
        <f>Discount!$J$36</f>
        <v>0</v>
      </c>
      <c r="T158" s="446">
        <f t="shared" si="33"/>
        <v>0</v>
      </c>
      <c r="U158" s="447">
        <f t="shared" si="34"/>
        <v>0</v>
      </c>
      <c r="V158" s="724">
        <f t="shared" si="35"/>
        <v>0</v>
      </c>
      <c r="W158" s="857">
        <f t="shared" si="36"/>
        <v>0</v>
      </c>
      <c r="X158" s="724">
        <f t="shared" si="37"/>
        <v>0</v>
      </c>
      <c r="Y158" s="725">
        <f t="shared" si="38"/>
        <v>0.18</v>
      </c>
      <c r="Z158" s="724">
        <f t="shared" si="39"/>
        <v>0</v>
      </c>
      <c r="AA158" s="725"/>
      <c r="AB158" s="726"/>
      <c r="AC158" s="726"/>
      <c r="AD158" s="726"/>
      <c r="AE158" s="726"/>
      <c r="AF158" s="727"/>
      <c r="AG158" s="727"/>
      <c r="AH158" s="727"/>
      <c r="AI158" s="727"/>
      <c r="AJ158" s="727"/>
      <c r="AK158" s="727"/>
      <c r="AL158" s="727"/>
      <c r="AM158" s="727"/>
      <c r="AN158" s="727"/>
    </row>
    <row r="159" spans="1:40" s="731" customFormat="1" ht="31.5">
      <c r="A159" s="709">
        <v>141</v>
      </c>
      <c r="B159" s="542">
        <v>7000016906</v>
      </c>
      <c r="C159" s="542">
        <v>550</v>
      </c>
      <c r="D159" s="542">
        <v>1470</v>
      </c>
      <c r="E159" s="542">
        <v>10</v>
      </c>
      <c r="F159" s="542" t="s">
        <v>557</v>
      </c>
      <c r="G159" s="542">
        <v>100000728</v>
      </c>
      <c r="H159" s="542">
        <v>998736</v>
      </c>
      <c r="I159" s="543"/>
      <c r="J159" s="542">
        <v>18</v>
      </c>
      <c r="K159" s="541"/>
      <c r="L159" s="540" t="s">
        <v>595</v>
      </c>
      <c r="M159" s="542" t="s">
        <v>299</v>
      </c>
      <c r="N159" s="542">
        <v>2</v>
      </c>
      <c r="O159" s="717"/>
      <c r="P159" s="539" t="str">
        <f t="shared" si="30"/>
        <v>INCLUDED</v>
      </c>
      <c r="Q159" s="723">
        <f t="shared" si="31"/>
        <v>0</v>
      </c>
      <c r="R159" s="446">
        <f t="shared" si="32"/>
        <v>0</v>
      </c>
      <c r="S159" s="612">
        <f>Discount!$J$36</f>
        <v>0</v>
      </c>
      <c r="T159" s="446">
        <f t="shared" si="33"/>
        <v>0</v>
      </c>
      <c r="U159" s="447">
        <f t="shared" si="34"/>
        <v>0</v>
      </c>
      <c r="V159" s="724">
        <f t="shared" si="35"/>
        <v>0</v>
      </c>
      <c r="W159" s="857">
        <f t="shared" si="36"/>
        <v>0</v>
      </c>
      <c r="X159" s="724">
        <f t="shared" si="37"/>
        <v>0</v>
      </c>
      <c r="Y159" s="725">
        <f t="shared" si="38"/>
        <v>0.18</v>
      </c>
      <c r="Z159" s="724">
        <f t="shared" si="39"/>
        <v>0</v>
      </c>
      <c r="AA159" s="725"/>
      <c r="AB159" s="726"/>
      <c r="AC159" s="726"/>
      <c r="AD159" s="726"/>
      <c r="AE159" s="726"/>
      <c r="AF159" s="727"/>
      <c r="AG159" s="727"/>
      <c r="AH159" s="727"/>
      <c r="AI159" s="727"/>
      <c r="AJ159" s="727"/>
      <c r="AK159" s="727"/>
      <c r="AL159" s="727"/>
      <c r="AM159" s="727"/>
      <c r="AN159" s="727"/>
    </row>
    <row r="160" spans="1:40" s="731" customFormat="1" ht="31.5">
      <c r="A160" s="709">
        <v>142</v>
      </c>
      <c r="B160" s="542">
        <v>7000016906</v>
      </c>
      <c r="C160" s="542">
        <v>550</v>
      </c>
      <c r="D160" s="542">
        <v>1470</v>
      </c>
      <c r="E160" s="542">
        <v>20</v>
      </c>
      <c r="F160" s="542" t="s">
        <v>557</v>
      </c>
      <c r="G160" s="542">
        <v>100000730</v>
      </c>
      <c r="H160" s="542">
        <v>998736</v>
      </c>
      <c r="I160" s="543"/>
      <c r="J160" s="542">
        <v>18</v>
      </c>
      <c r="K160" s="541"/>
      <c r="L160" s="540" t="s">
        <v>698</v>
      </c>
      <c r="M160" s="542" t="s">
        <v>299</v>
      </c>
      <c r="N160" s="542">
        <v>2</v>
      </c>
      <c r="O160" s="717"/>
      <c r="P160" s="539" t="str">
        <f t="shared" si="30"/>
        <v>INCLUDED</v>
      </c>
      <c r="Q160" s="723">
        <f t="shared" si="31"/>
        <v>0</v>
      </c>
      <c r="R160" s="446">
        <f t="shared" si="32"/>
        <v>0</v>
      </c>
      <c r="S160" s="612">
        <f>Discount!$J$36</f>
        <v>0</v>
      </c>
      <c r="T160" s="446">
        <f t="shared" si="33"/>
        <v>0</v>
      </c>
      <c r="U160" s="447">
        <f t="shared" si="34"/>
        <v>0</v>
      </c>
      <c r="V160" s="724">
        <f t="shared" si="35"/>
        <v>0</v>
      </c>
      <c r="W160" s="857">
        <f t="shared" si="36"/>
        <v>0</v>
      </c>
      <c r="X160" s="724">
        <f t="shared" si="37"/>
        <v>0</v>
      </c>
      <c r="Y160" s="725">
        <f t="shared" si="38"/>
        <v>0.18</v>
      </c>
      <c r="Z160" s="724">
        <f t="shared" si="39"/>
        <v>0</v>
      </c>
      <c r="AA160" s="725"/>
      <c r="AB160" s="726"/>
      <c r="AC160" s="726"/>
      <c r="AD160" s="726"/>
      <c r="AE160" s="726"/>
      <c r="AF160" s="727"/>
      <c r="AG160" s="727"/>
      <c r="AH160" s="727"/>
      <c r="AI160" s="727"/>
      <c r="AJ160" s="727"/>
      <c r="AK160" s="727"/>
      <c r="AL160" s="727"/>
      <c r="AM160" s="727"/>
      <c r="AN160" s="727"/>
    </row>
    <row r="161" spans="1:40" s="731" customFormat="1" ht="31.5">
      <c r="A161" s="709">
        <v>143</v>
      </c>
      <c r="B161" s="542">
        <v>7000016906</v>
      </c>
      <c r="C161" s="542">
        <v>550</v>
      </c>
      <c r="D161" s="542">
        <v>1470</v>
      </c>
      <c r="E161" s="542">
        <v>30</v>
      </c>
      <c r="F161" s="542" t="s">
        <v>557</v>
      </c>
      <c r="G161" s="542">
        <v>100000735</v>
      </c>
      <c r="H161" s="542">
        <v>998736</v>
      </c>
      <c r="I161" s="543"/>
      <c r="J161" s="542">
        <v>18</v>
      </c>
      <c r="K161" s="541"/>
      <c r="L161" s="540" t="s">
        <v>559</v>
      </c>
      <c r="M161" s="542" t="s">
        <v>300</v>
      </c>
      <c r="N161" s="542">
        <v>1</v>
      </c>
      <c r="O161" s="717"/>
      <c r="P161" s="539" t="str">
        <f t="shared" si="30"/>
        <v>INCLUDED</v>
      </c>
      <c r="Q161" s="723">
        <f t="shared" si="31"/>
        <v>0</v>
      </c>
      <c r="R161" s="446">
        <f t="shared" si="32"/>
        <v>0</v>
      </c>
      <c r="S161" s="612">
        <f>Discount!$J$36</f>
        <v>0</v>
      </c>
      <c r="T161" s="446">
        <f t="shared" si="33"/>
        <v>0</v>
      </c>
      <c r="U161" s="447">
        <f t="shared" si="34"/>
        <v>0</v>
      </c>
      <c r="V161" s="724">
        <f t="shared" si="35"/>
        <v>0</v>
      </c>
      <c r="W161" s="857">
        <f t="shared" si="36"/>
        <v>0</v>
      </c>
      <c r="X161" s="724">
        <f t="shared" si="37"/>
        <v>0</v>
      </c>
      <c r="Y161" s="725">
        <f t="shared" si="38"/>
        <v>0.18</v>
      </c>
      <c r="Z161" s="724">
        <f t="shared" si="39"/>
        <v>0</v>
      </c>
      <c r="AA161" s="725"/>
      <c r="AB161" s="726"/>
      <c r="AC161" s="726"/>
      <c r="AD161" s="726"/>
      <c r="AE161" s="726"/>
      <c r="AF161" s="727"/>
      <c r="AG161" s="727"/>
      <c r="AH161" s="727"/>
      <c r="AI161" s="727"/>
      <c r="AJ161" s="727"/>
      <c r="AK161" s="727"/>
      <c r="AL161" s="727"/>
      <c r="AM161" s="727"/>
      <c r="AN161" s="727"/>
    </row>
    <row r="162" spans="1:40" s="731" customFormat="1" ht="31.5">
      <c r="A162" s="709">
        <v>144</v>
      </c>
      <c r="B162" s="542">
        <v>7000016906</v>
      </c>
      <c r="C162" s="542">
        <v>560</v>
      </c>
      <c r="D162" s="542">
        <v>1513</v>
      </c>
      <c r="E162" s="542">
        <v>10</v>
      </c>
      <c r="F162" s="542" t="s">
        <v>524</v>
      </c>
      <c r="G162" s="542">
        <v>100002069</v>
      </c>
      <c r="H162" s="542">
        <v>998736</v>
      </c>
      <c r="I162" s="543"/>
      <c r="J162" s="542">
        <v>18</v>
      </c>
      <c r="K162" s="541"/>
      <c r="L162" s="540" t="s">
        <v>653</v>
      </c>
      <c r="M162" s="542" t="s">
        <v>299</v>
      </c>
      <c r="N162" s="542">
        <v>2</v>
      </c>
      <c r="O162" s="717"/>
      <c r="P162" s="539" t="str">
        <f t="shared" si="30"/>
        <v>INCLUDED</v>
      </c>
      <c r="Q162" s="723">
        <f t="shared" si="31"/>
        <v>0</v>
      </c>
      <c r="R162" s="446">
        <f t="shared" si="32"/>
        <v>0</v>
      </c>
      <c r="S162" s="612">
        <f>Discount!$J$36</f>
        <v>0</v>
      </c>
      <c r="T162" s="446">
        <f t="shared" si="33"/>
        <v>0</v>
      </c>
      <c r="U162" s="447">
        <f t="shared" si="34"/>
        <v>0</v>
      </c>
      <c r="V162" s="724">
        <f t="shared" si="35"/>
        <v>0</v>
      </c>
      <c r="W162" s="857">
        <f t="shared" si="36"/>
        <v>0</v>
      </c>
      <c r="X162" s="724">
        <f t="shared" si="37"/>
        <v>0</v>
      </c>
      <c r="Y162" s="725">
        <f t="shared" si="38"/>
        <v>0.18</v>
      </c>
      <c r="Z162" s="724">
        <f t="shared" si="39"/>
        <v>0</v>
      </c>
      <c r="AA162" s="725"/>
      <c r="AB162" s="726"/>
      <c r="AC162" s="726"/>
      <c r="AD162" s="726"/>
      <c r="AE162" s="726"/>
      <c r="AF162" s="727"/>
      <c r="AG162" s="727"/>
      <c r="AH162" s="727"/>
      <c r="AI162" s="727"/>
      <c r="AJ162" s="727"/>
      <c r="AK162" s="727"/>
      <c r="AL162" s="727"/>
      <c r="AM162" s="727"/>
      <c r="AN162" s="727"/>
    </row>
    <row r="163" spans="1:40" s="731" customFormat="1" ht="94.5">
      <c r="A163" s="709">
        <v>145</v>
      </c>
      <c r="B163" s="542">
        <v>7000016906</v>
      </c>
      <c r="C163" s="542">
        <v>570</v>
      </c>
      <c r="D163" s="542">
        <v>1520</v>
      </c>
      <c r="E163" s="542">
        <v>10</v>
      </c>
      <c r="F163" s="542" t="s">
        <v>525</v>
      </c>
      <c r="G163" s="542">
        <v>100002500</v>
      </c>
      <c r="H163" s="542">
        <v>998731</v>
      </c>
      <c r="I163" s="543"/>
      <c r="J163" s="542">
        <v>18</v>
      </c>
      <c r="K163" s="541"/>
      <c r="L163" s="540" t="s">
        <v>560</v>
      </c>
      <c r="M163" s="542" t="s">
        <v>300</v>
      </c>
      <c r="N163" s="542">
        <v>1</v>
      </c>
      <c r="O163" s="717"/>
      <c r="P163" s="539" t="str">
        <f t="shared" si="30"/>
        <v>INCLUDED</v>
      </c>
      <c r="Q163" s="723">
        <f t="shared" si="31"/>
        <v>0</v>
      </c>
      <c r="R163" s="446">
        <f t="shared" si="32"/>
        <v>0</v>
      </c>
      <c r="S163" s="612">
        <f>Discount!$J$36</f>
        <v>0</v>
      </c>
      <c r="T163" s="446">
        <f t="shared" si="33"/>
        <v>0</v>
      </c>
      <c r="U163" s="447">
        <f t="shared" si="34"/>
        <v>0</v>
      </c>
      <c r="V163" s="724">
        <f t="shared" si="35"/>
        <v>0</v>
      </c>
      <c r="W163" s="857">
        <f t="shared" si="36"/>
        <v>0</v>
      </c>
      <c r="X163" s="724">
        <f t="shared" si="37"/>
        <v>0</v>
      </c>
      <c r="Y163" s="725">
        <f t="shared" si="38"/>
        <v>0.18</v>
      </c>
      <c r="Z163" s="724">
        <f t="shared" si="39"/>
        <v>0</v>
      </c>
      <c r="AA163" s="725"/>
      <c r="AB163" s="726"/>
      <c r="AC163" s="726"/>
      <c r="AD163" s="726"/>
      <c r="AE163" s="726"/>
      <c r="AF163" s="727"/>
      <c r="AG163" s="727"/>
      <c r="AH163" s="727"/>
      <c r="AI163" s="727"/>
      <c r="AJ163" s="727"/>
      <c r="AK163" s="727"/>
      <c r="AL163" s="727"/>
      <c r="AM163" s="727"/>
      <c r="AN163" s="727"/>
    </row>
    <row r="164" spans="1:40" s="731" customFormat="1" ht="16.5">
      <c r="A164" s="709">
        <v>146</v>
      </c>
      <c r="B164" s="542">
        <v>7000016906</v>
      </c>
      <c r="C164" s="542">
        <v>580</v>
      </c>
      <c r="D164" s="542">
        <v>1530</v>
      </c>
      <c r="E164" s="542">
        <v>10</v>
      </c>
      <c r="F164" s="542" t="s">
        <v>583</v>
      </c>
      <c r="G164" s="542">
        <v>100002042</v>
      </c>
      <c r="H164" s="542">
        <v>998734</v>
      </c>
      <c r="I164" s="543"/>
      <c r="J164" s="542">
        <v>18</v>
      </c>
      <c r="K164" s="541"/>
      <c r="L164" s="540" t="s">
        <v>599</v>
      </c>
      <c r="M164" s="542" t="s">
        <v>299</v>
      </c>
      <c r="N164" s="542">
        <v>4</v>
      </c>
      <c r="O164" s="717"/>
      <c r="P164" s="539" t="str">
        <f t="shared" si="30"/>
        <v>INCLUDED</v>
      </c>
      <c r="Q164" s="723">
        <f t="shared" si="31"/>
        <v>0</v>
      </c>
      <c r="R164" s="446">
        <f t="shared" si="32"/>
        <v>0</v>
      </c>
      <c r="S164" s="612">
        <f>Discount!$J$36</f>
        <v>0</v>
      </c>
      <c r="T164" s="446">
        <f t="shared" si="33"/>
        <v>0</v>
      </c>
      <c r="U164" s="447">
        <f t="shared" si="34"/>
        <v>0</v>
      </c>
      <c r="V164" s="724">
        <f t="shared" si="35"/>
        <v>0</v>
      </c>
      <c r="W164" s="857">
        <f t="shared" si="36"/>
        <v>0</v>
      </c>
      <c r="X164" s="724">
        <f t="shared" si="37"/>
        <v>0</v>
      </c>
      <c r="Y164" s="725">
        <f t="shared" si="38"/>
        <v>0.18</v>
      </c>
      <c r="Z164" s="724">
        <f t="shared" si="39"/>
        <v>0</v>
      </c>
      <c r="AA164" s="725"/>
      <c r="AB164" s="726"/>
      <c r="AC164" s="726"/>
      <c r="AD164" s="726"/>
      <c r="AE164" s="726"/>
      <c r="AF164" s="727"/>
      <c r="AG164" s="727"/>
      <c r="AH164" s="727"/>
      <c r="AI164" s="727"/>
      <c r="AJ164" s="727"/>
      <c r="AK164" s="727"/>
      <c r="AL164" s="727"/>
      <c r="AM164" s="727"/>
      <c r="AN164" s="727"/>
    </row>
    <row r="165" spans="1:40" s="731" customFormat="1" ht="16.5">
      <c r="A165" s="709">
        <v>147</v>
      </c>
      <c r="B165" s="542">
        <v>7000016906</v>
      </c>
      <c r="C165" s="542">
        <v>580</v>
      </c>
      <c r="D165" s="542">
        <v>1530</v>
      </c>
      <c r="E165" s="542">
        <v>80</v>
      </c>
      <c r="F165" s="542" t="s">
        <v>583</v>
      </c>
      <c r="G165" s="542">
        <v>100000883</v>
      </c>
      <c r="H165" s="542">
        <v>998734</v>
      </c>
      <c r="I165" s="543"/>
      <c r="J165" s="542">
        <v>18</v>
      </c>
      <c r="K165" s="541"/>
      <c r="L165" s="540" t="s">
        <v>588</v>
      </c>
      <c r="M165" s="542" t="s">
        <v>299</v>
      </c>
      <c r="N165" s="542">
        <v>12</v>
      </c>
      <c r="O165" s="717"/>
      <c r="P165" s="539" t="str">
        <f t="shared" ref="P165:P217" si="46">IF(O165=0, "INCLUDED", IF(ISERROR(N165*O165), O165, N165*O165))</f>
        <v>INCLUDED</v>
      </c>
      <c r="Q165" s="723">
        <f t="shared" ref="Q165:Q217" si="47">IF(P165="Included",0,P165)</f>
        <v>0</v>
      </c>
      <c r="R165" s="446">
        <f t="shared" ref="R165:R217" si="48">IF( K165="",J165*(IF(P165="Included",0,P165))/100,K165*(IF(P165="Included",0,P165)))</f>
        <v>0</v>
      </c>
      <c r="S165" s="612">
        <f>Discount!$J$36</f>
        <v>0</v>
      </c>
      <c r="T165" s="446">
        <f t="shared" ref="T165:T217" si="49">S165*Q165</f>
        <v>0</v>
      </c>
      <c r="U165" s="447">
        <f t="shared" ref="U165:U217" si="50">IF(K165="",J165*T165/100,K165*T165)</f>
        <v>0</v>
      </c>
      <c r="V165" s="724">
        <f t="shared" ref="V165:V217" si="51">O165*N165</f>
        <v>0</v>
      </c>
      <c r="W165" s="857">
        <f t="shared" ref="W165:W217" si="52">ROUND(O165,2)</f>
        <v>0</v>
      </c>
      <c r="X165" s="724">
        <f t="shared" ref="X165:X217" si="53">N165*W165</f>
        <v>0</v>
      </c>
      <c r="Y165" s="725">
        <f t="shared" ref="Y165:Y217" si="54">IF(K165="",J165/100,K165)</f>
        <v>0.18</v>
      </c>
      <c r="Z165" s="724">
        <f t="shared" ref="Z165:Z217" si="55">X165*Y165</f>
        <v>0</v>
      </c>
      <c r="AA165" s="725"/>
      <c r="AB165" s="726"/>
      <c r="AC165" s="726"/>
      <c r="AD165" s="726"/>
      <c r="AE165" s="726"/>
      <c r="AF165" s="727"/>
      <c r="AG165" s="727"/>
      <c r="AH165" s="727"/>
      <c r="AI165" s="727"/>
      <c r="AJ165" s="727"/>
      <c r="AK165" s="727"/>
      <c r="AL165" s="727"/>
      <c r="AM165" s="727"/>
      <c r="AN165" s="727"/>
    </row>
    <row r="166" spans="1:40" s="731" customFormat="1" ht="31.5">
      <c r="A166" s="709">
        <v>148</v>
      </c>
      <c r="B166" s="542">
        <v>7000016906</v>
      </c>
      <c r="C166" s="542">
        <v>590</v>
      </c>
      <c r="D166" s="542">
        <v>1590</v>
      </c>
      <c r="E166" s="542">
        <v>120</v>
      </c>
      <c r="F166" s="542" t="s">
        <v>526</v>
      </c>
      <c r="G166" s="542">
        <v>100002181</v>
      </c>
      <c r="H166" s="542">
        <v>998736</v>
      </c>
      <c r="I166" s="543"/>
      <c r="J166" s="542">
        <v>18</v>
      </c>
      <c r="K166" s="541"/>
      <c r="L166" s="540" t="s">
        <v>563</v>
      </c>
      <c r="M166" s="542" t="s">
        <v>552</v>
      </c>
      <c r="N166" s="542">
        <v>1</v>
      </c>
      <c r="O166" s="717"/>
      <c r="P166" s="539" t="str">
        <f t="shared" ref="P166:P212" si="56">IF(O166=0, "INCLUDED", IF(ISERROR(N166*O166), O166, N166*O166))</f>
        <v>INCLUDED</v>
      </c>
      <c r="Q166" s="723">
        <f t="shared" ref="Q166:Q212" si="57">IF(P166="Included",0,P166)</f>
        <v>0</v>
      </c>
      <c r="R166" s="446">
        <f t="shared" ref="R166:R212" si="58">IF( K166="",J166*(IF(P166="Included",0,P166))/100,K166*(IF(P166="Included",0,P166)))</f>
        <v>0</v>
      </c>
      <c r="S166" s="612">
        <f>Discount!$J$36</f>
        <v>0</v>
      </c>
      <c r="T166" s="446">
        <f t="shared" ref="T166:T212" si="59">S166*Q166</f>
        <v>0</v>
      </c>
      <c r="U166" s="447">
        <f t="shared" ref="U166:U212" si="60">IF(K166="",J166*T166/100,K166*T166)</f>
        <v>0</v>
      </c>
      <c r="V166" s="724">
        <f t="shared" ref="V166:V212" si="61">O166*N166</f>
        <v>0</v>
      </c>
      <c r="W166" s="857">
        <f t="shared" ref="W166:W212" si="62">ROUND(O166,2)</f>
        <v>0</v>
      </c>
      <c r="X166" s="724">
        <f t="shared" ref="X166:X212" si="63">N166*W166</f>
        <v>0</v>
      </c>
      <c r="Y166" s="725">
        <f t="shared" ref="Y166:Y212" si="64">IF(K166="",J166/100,K166)</f>
        <v>0.18</v>
      </c>
      <c r="Z166" s="724">
        <f t="shared" ref="Z166:Z212" si="65">X166*Y166</f>
        <v>0</v>
      </c>
      <c r="AA166" s="725"/>
      <c r="AB166" s="726"/>
      <c r="AC166" s="726"/>
      <c r="AD166" s="726"/>
      <c r="AE166" s="726"/>
      <c r="AF166" s="727"/>
      <c r="AG166" s="727"/>
      <c r="AH166" s="727"/>
      <c r="AI166" s="727"/>
      <c r="AJ166" s="727"/>
      <c r="AK166" s="727"/>
      <c r="AL166" s="727"/>
      <c r="AM166" s="727"/>
      <c r="AN166" s="727"/>
    </row>
    <row r="167" spans="1:40" s="731" customFormat="1" ht="31.5">
      <c r="A167" s="709">
        <v>149</v>
      </c>
      <c r="B167" s="542">
        <v>7000016906</v>
      </c>
      <c r="C167" s="542">
        <v>590</v>
      </c>
      <c r="D167" s="542">
        <v>1590</v>
      </c>
      <c r="E167" s="542">
        <v>130</v>
      </c>
      <c r="F167" s="542" t="s">
        <v>526</v>
      </c>
      <c r="G167" s="542">
        <v>100002182</v>
      </c>
      <c r="H167" s="542">
        <v>998736</v>
      </c>
      <c r="I167" s="543"/>
      <c r="J167" s="542">
        <v>18</v>
      </c>
      <c r="K167" s="541"/>
      <c r="L167" s="540" t="s">
        <v>564</v>
      </c>
      <c r="M167" s="542" t="s">
        <v>552</v>
      </c>
      <c r="N167" s="542">
        <v>1</v>
      </c>
      <c r="O167" s="717"/>
      <c r="P167" s="539" t="str">
        <f t="shared" si="56"/>
        <v>INCLUDED</v>
      </c>
      <c r="Q167" s="723">
        <f t="shared" si="57"/>
        <v>0</v>
      </c>
      <c r="R167" s="446">
        <f t="shared" si="58"/>
        <v>0</v>
      </c>
      <c r="S167" s="612">
        <f>Discount!$J$36</f>
        <v>0</v>
      </c>
      <c r="T167" s="446">
        <f t="shared" si="59"/>
        <v>0</v>
      </c>
      <c r="U167" s="447">
        <f t="shared" si="60"/>
        <v>0</v>
      </c>
      <c r="V167" s="724">
        <f t="shared" si="61"/>
        <v>0</v>
      </c>
      <c r="W167" s="857">
        <f t="shared" si="62"/>
        <v>0</v>
      </c>
      <c r="X167" s="724">
        <f t="shared" si="63"/>
        <v>0</v>
      </c>
      <c r="Y167" s="725">
        <f t="shared" si="64"/>
        <v>0.18</v>
      </c>
      <c r="Z167" s="724">
        <f t="shared" si="65"/>
        <v>0</v>
      </c>
      <c r="AA167" s="725"/>
      <c r="AB167" s="726"/>
      <c r="AC167" s="726"/>
      <c r="AD167" s="726"/>
      <c r="AE167" s="726"/>
      <c r="AF167" s="727"/>
      <c r="AG167" s="727"/>
      <c r="AH167" s="727"/>
      <c r="AI167" s="727"/>
      <c r="AJ167" s="727"/>
      <c r="AK167" s="727"/>
      <c r="AL167" s="727"/>
      <c r="AM167" s="727"/>
      <c r="AN167" s="727"/>
    </row>
    <row r="168" spans="1:40" s="731" customFormat="1" ht="47.25">
      <c r="A168" s="709">
        <v>150</v>
      </c>
      <c r="B168" s="542">
        <v>7000016906</v>
      </c>
      <c r="C168" s="542">
        <v>600</v>
      </c>
      <c r="D168" s="542">
        <v>1600</v>
      </c>
      <c r="E168" s="542">
        <v>10</v>
      </c>
      <c r="F168" s="542" t="s">
        <v>627</v>
      </c>
      <c r="G168" s="542">
        <v>100001882</v>
      </c>
      <c r="H168" s="542">
        <v>995463</v>
      </c>
      <c r="I168" s="543"/>
      <c r="J168" s="542">
        <v>18</v>
      </c>
      <c r="K168" s="541"/>
      <c r="L168" s="540" t="s">
        <v>628</v>
      </c>
      <c r="M168" s="542" t="s">
        <v>300</v>
      </c>
      <c r="N168" s="542">
        <v>1</v>
      </c>
      <c r="O168" s="717"/>
      <c r="P168" s="539" t="str">
        <f t="shared" si="56"/>
        <v>INCLUDED</v>
      </c>
      <c r="Q168" s="723">
        <f t="shared" si="57"/>
        <v>0</v>
      </c>
      <c r="R168" s="446">
        <f t="shared" si="58"/>
        <v>0</v>
      </c>
      <c r="S168" s="612">
        <f>Discount!$J$36</f>
        <v>0</v>
      </c>
      <c r="T168" s="446">
        <f t="shared" si="59"/>
        <v>0</v>
      </c>
      <c r="U168" s="447">
        <f t="shared" si="60"/>
        <v>0</v>
      </c>
      <c r="V168" s="724">
        <f t="shared" si="61"/>
        <v>0</v>
      </c>
      <c r="W168" s="857">
        <f t="shared" si="62"/>
        <v>0</v>
      </c>
      <c r="X168" s="724">
        <f t="shared" si="63"/>
        <v>0</v>
      </c>
      <c r="Y168" s="725">
        <f t="shared" si="64"/>
        <v>0.18</v>
      </c>
      <c r="Z168" s="724">
        <f t="shared" si="65"/>
        <v>0</v>
      </c>
      <c r="AA168" s="725"/>
      <c r="AB168" s="726"/>
      <c r="AC168" s="726"/>
      <c r="AD168" s="726"/>
      <c r="AE168" s="726"/>
      <c r="AF168" s="727"/>
      <c r="AG168" s="727"/>
      <c r="AH168" s="727"/>
      <c r="AI168" s="727"/>
      <c r="AJ168" s="727"/>
      <c r="AK168" s="727"/>
      <c r="AL168" s="727"/>
      <c r="AM168" s="727"/>
      <c r="AN168" s="727"/>
    </row>
    <row r="169" spans="1:40" s="731" customFormat="1" ht="31.5">
      <c r="A169" s="709">
        <v>151</v>
      </c>
      <c r="B169" s="542">
        <v>7000016906</v>
      </c>
      <c r="C169" s="542">
        <v>610</v>
      </c>
      <c r="D169" s="542">
        <v>1610</v>
      </c>
      <c r="E169" s="542">
        <v>20</v>
      </c>
      <c r="F169" s="542" t="s">
        <v>527</v>
      </c>
      <c r="G169" s="542">
        <v>100000975</v>
      </c>
      <c r="H169" s="542">
        <v>995461</v>
      </c>
      <c r="I169" s="543"/>
      <c r="J169" s="542">
        <v>18</v>
      </c>
      <c r="K169" s="541"/>
      <c r="L169" s="540" t="s">
        <v>602</v>
      </c>
      <c r="M169" s="542" t="s">
        <v>299</v>
      </c>
      <c r="N169" s="542">
        <v>1</v>
      </c>
      <c r="O169" s="717"/>
      <c r="P169" s="539" t="str">
        <f t="shared" si="56"/>
        <v>INCLUDED</v>
      </c>
      <c r="Q169" s="723">
        <f t="shared" si="57"/>
        <v>0</v>
      </c>
      <c r="R169" s="446">
        <f t="shared" si="58"/>
        <v>0</v>
      </c>
      <c r="S169" s="612">
        <f>Discount!$J$36</f>
        <v>0</v>
      </c>
      <c r="T169" s="446">
        <f t="shared" si="59"/>
        <v>0</v>
      </c>
      <c r="U169" s="447">
        <f t="shared" si="60"/>
        <v>0</v>
      </c>
      <c r="V169" s="724">
        <f t="shared" si="61"/>
        <v>0</v>
      </c>
      <c r="W169" s="857">
        <f t="shared" si="62"/>
        <v>0</v>
      </c>
      <c r="X169" s="724">
        <f t="shared" si="63"/>
        <v>0</v>
      </c>
      <c r="Y169" s="725">
        <f t="shared" si="64"/>
        <v>0.18</v>
      </c>
      <c r="Z169" s="724">
        <f t="shared" si="65"/>
        <v>0</v>
      </c>
      <c r="AA169" s="725"/>
      <c r="AB169" s="726"/>
      <c r="AC169" s="726"/>
      <c r="AD169" s="726"/>
      <c r="AE169" s="726"/>
      <c r="AF169" s="727"/>
      <c r="AG169" s="727"/>
      <c r="AH169" s="727"/>
      <c r="AI169" s="727"/>
      <c r="AJ169" s="727"/>
      <c r="AK169" s="727"/>
      <c r="AL169" s="727"/>
      <c r="AM169" s="727"/>
      <c r="AN169" s="727"/>
    </row>
    <row r="170" spans="1:40" s="731" customFormat="1" ht="31.5">
      <c r="A170" s="709">
        <v>152</v>
      </c>
      <c r="B170" s="542">
        <v>7000016906</v>
      </c>
      <c r="C170" s="542">
        <v>610</v>
      </c>
      <c r="D170" s="542">
        <v>1610</v>
      </c>
      <c r="E170" s="542">
        <v>30</v>
      </c>
      <c r="F170" s="542" t="s">
        <v>527</v>
      </c>
      <c r="G170" s="542">
        <v>100002062</v>
      </c>
      <c r="H170" s="542">
        <v>995461</v>
      </c>
      <c r="I170" s="543"/>
      <c r="J170" s="542">
        <v>18</v>
      </c>
      <c r="K170" s="541"/>
      <c r="L170" s="540" t="s">
        <v>633</v>
      </c>
      <c r="M170" s="542" t="s">
        <v>300</v>
      </c>
      <c r="N170" s="542">
        <v>1</v>
      </c>
      <c r="O170" s="717"/>
      <c r="P170" s="539" t="str">
        <f t="shared" si="56"/>
        <v>INCLUDED</v>
      </c>
      <c r="Q170" s="723">
        <f t="shared" si="57"/>
        <v>0</v>
      </c>
      <c r="R170" s="446">
        <f t="shared" si="58"/>
        <v>0</v>
      </c>
      <c r="S170" s="612">
        <f>Discount!$J$36</f>
        <v>0</v>
      </c>
      <c r="T170" s="446">
        <f t="shared" si="59"/>
        <v>0</v>
      </c>
      <c r="U170" s="447">
        <f t="shared" si="60"/>
        <v>0</v>
      </c>
      <c r="V170" s="724">
        <f t="shared" si="61"/>
        <v>0</v>
      </c>
      <c r="W170" s="857">
        <f t="shared" si="62"/>
        <v>0</v>
      </c>
      <c r="X170" s="724">
        <f t="shared" si="63"/>
        <v>0</v>
      </c>
      <c r="Y170" s="725">
        <f t="shared" si="64"/>
        <v>0.18</v>
      </c>
      <c r="Z170" s="724">
        <f t="shared" si="65"/>
        <v>0</v>
      </c>
      <c r="AA170" s="725"/>
      <c r="AB170" s="726"/>
      <c r="AC170" s="726"/>
      <c r="AD170" s="726"/>
      <c r="AE170" s="726"/>
      <c r="AF170" s="727"/>
      <c r="AG170" s="727"/>
      <c r="AH170" s="727"/>
      <c r="AI170" s="727"/>
      <c r="AJ170" s="727"/>
      <c r="AK170" s="727"/>
      <c r="AL170" s="727"/>
      <c r="AM170" s="727"/>
      <c r="AN170" s="727"/>
    </row>
    <row r="171" spans="1:40" s="731" customFormat="1" ht="31.5">
      <c r="A171" s="709">
        <v>153</v>
      </c>
      <c r="B171" s="542">
        <v>7000016906</v>
      </c>
      <c r="C171" s="542">
        <v>620</v>
      </c>
      <c r="D171" s="542">
        <v>1620</v>
      </c>
      <c r="E171" s="542">
        <v>10</v>
      </c>
      <c r="F171" s="542" t="s">
        <v>528</v>
      </c>
      <c r="G171" s="542">
        <v>100001021</v>
      </c>
      <c r="H171" s="542">
        <v>995461</v>
      </c>
      <c r="I171" s="543"/>
      <c r="J171" s="542">
        <v>18</v>
      </c>
      <c r="K171" s="541"/>
      <c r="L171" s="540" t="s">
        <v>603</v>
      </c>
      <c r="M171" s="542" t="s">
        <v>299</v>
      </c>
      <c r="N171" s="542">
        <v>1</v>
      </c>
      <c r="O171" s="717"/>
      <c r="P171" s="539" t="str">
        <f t="shared" si="56"/>
        <v>INCLUDED</v>
      </c>
      <c r="Q171" s="723">
        <f t="shared" si="57"/>
        <v>0</v>
      </c>
      <c r="R171" s="446">
        <f t="shared" si="58"/>
        <v>0</v>
      </c>
      <c r="S171" s="612">
        <f>Discount!$J$36</f>
        <v>0</v>
      </c>
      <c r="T171" s="446">
        <f t="shared" si="59"/>
        <v>0</v>
      </c>
      <c r="U171" s="447">
        <f t="shared" si="60"/>
        <v>0</v>
      </c>
      <c r="V171" s="724">
        <f t="shared" si="61"/>
        <v>0</v>
      </c>
      <c r="W171" s="857">
        <f t="shared" si="62"/>
        <v>0</v>
      </c>
      <c r="X171" s="724">
        <f t="shared" si="63"/>
        <v>0</v>
      </c>
      <c r="Y171" s="725">
        <f t="shared" si="64"/>
        <v>0.18</v>
      </c>
      <c r="Z171" s="724">
        <f t="shared" si="65"/>
        <v>0</v>
      </c>
      <c r="AA171" s="725"/>
      <c r="AB171" s="726"/>
      <c r="AC171" s="726"/>
      <c r="AD171" s="726"/>
      <c r="AE171" s="726"/>
      <c r="AF171" s="727"/>
      <c r="AG171" s="727"/>
      <c r="AH171" s="727"/>
      <c r="AI171" s="727"/>
      <c r="AJ171" s="727"/>
      <c r="AK171" s="727"/>
      <c r="AL171" s="727"/>
      <c r="AM171" s="727"/>
      <c r="AN171" s="727"/>
    </row>
    <row r="172" spans="1:40" s="731" customFormat="1" ht="31.5">
      <c r="A172" s="709">
        <v>154</v>
      </c>
      <c r="B172" s="542">
        <v>7000016906</v>
      </c>
      <c r="C172" s="542">
        <v>620</v>
      </c>
      <c r="D172" s="542">
        <v>1620</v>
      </c>
      <c r="E172" s="542">
        <v>20</v>
      </c>
      <c r="F172" s="542" t="s">
        <v>528</v>
      </c>
      <c r="G172" s="542">
        <v>100001024</v>
      </c>
      <c r="H172" s="542">
        <v>998731</v>
      </c>
      <c r="I172" s="543"/>
      <c r="J172" s="542">
        <v>18</v>
      </c>
      <c r="K172" s="541"/>
      <c r="L172" s="540" t="s">
        <v>779</v>
      </c>
      <c r="M172" s="542" t="s">
        <v>299</v>
      </c>
      <c r="N172" s="542">
        <v>3</v>
      </c>
      <c r="O172" s="717"/>
      <c r="P172" s="539" t="str">
        <f t="shared" si="56"/>
        <v>INCLUDED</v>
      </c>
      <c r="Q172" s="723">
        <f t="shared" si="57"/>
        <v>0</v>
      </c>
      <c r="R172" s="446">
        <f t="shared" si="58"/>
        <v>0</v>
      </c>
      <c r="S172" s="612">
        <f>Discount!$J$36</f>
        <v>0</v>
      </c>
      <c r="T172" s="446">
        <f t="shared" si="59"/>
        <v>0</v>
      </c>
      <c r="U172" s="447">
        <f t="shared" si="60"/>
        <v>0</v>
      </c>
      <c r="V172" s="724">
        <f t="shared" si="61"/>
        <v>0</v>
      </c>
      <c r="W172" s="857">
        <f t="shared" si="62"/>
        <v>0</v>
      </c>
      <c r="X172" s="724">
        <f t="shared" si="63"/>
        <v>0</v>
      </c>
      <c r="Y172" s="725">
        <f t="shared" si="64"/>
        <v>0.18</v>
      </c>
      <c r="Z172" s="724">
        <f t="shared" si="65"/>
        <v>0</v>
      </c>
      <c r="AA172" s="725"/>
      <c r="AB172" s="726"/>
      <c r="AC172" s="726"/>
      <c r="AD172" s="726"/>
      <c r="AE172" s="726"/>
      <c r="AF172" s="727"/>
      <c r="AG172" s="727"/>
      <c r="AH172" s="727"/>
      <c r="AI172" s="727"/>
      <c r="AJ172" s="727"/>
      <c r="AK172" s="727"/>
      <c r="AL172" s="727"/>
      <c r="AM172" s="727"/>
      <c r="AN172" s="727"/>
    </row>
    <row r="173" spans="1:40" s="731" customFormat="1" ht="31.5">
      <c r="A173" s="709">
        <v>155</v>
      </c>
      <c r="B173" s="542">
        <v>7000016906</v>
      </c>
      <c r="C173" s="542">
        <v>620</v>
      </c>
      <c r="D173" s="542">
        <v>1620</v>
      </c>
      <c r="E173" s="542">
        <v>30</v>
      </c>
      <c r="F173" s="542" t="s">
        <v>528</v>
      </c>
      <c r="G173" s="542">
        <v>100001052</v>
      </c>
      <c r="H173" s="542">
        <v>998731</v>
      </c>
      <c r="I173" s="543"/>
      <c r="J173" s="542">
        <v>18</v>
      </c>
      <c r="K173" s="541"/>
      <c r="L173" s="540" t="s">
        <v>778</v>
      </c>
      <c r="M173" s="542" t="s">
        <v>299</v>
      </c>
      <c r="N173" s="542">
        <v>1</v>
      </c>
      <c r="O173" s="717"/>
      <c r="P173" s="539" t="str">
        <f t="shared" si="56"/>
        <v>INCLUDED</v>
      </c>
      <c r="Q173" s="723">
        <f t="shared" si="57"/>
        <v>0</v>
      </c>
      <c r="R173" s="446">
        <f t="shared" si="58"/>
        <v>0</v>
      </c>
      <c r="S173" s="612">
        <f>Discount!$J$36</f>
        <v>0</v>
      </c>
      <c r="T173" s="446">
        <f t="shared" si="59"/>
        <v>0</v>
      </c>
      <c r="U173" s="447">
        <f t="shared" si="60"/>
        <v>0</v>
      </c>
      <c r="V173" s="724">
        <f t="shared" si="61"/>
        <v>0</v>
      </c>
      <c r="W173" s="857">
        <f t="shared" si="62"/>
        <v>0</v>
      </c>
      <c r="X173" s="724">
        <f t="shared" si="63"/>
        <v>0</v>
      </c>
      <c r="Y173" s="725">
        <f t="shared" si="64"/>
        <v>0.18</v>
      </c>
      <c r="Z173" s="724">
        <f t="shared" si="65"/>
        <v>0</v>
      </c>
      <c r="AA173" s="725"/>
      <c r="AB173" s="726"/>
      <c r="AC173" s="726"/>
      <c r="AD173" s="726"/>
      <c r="AE173" s="726"/>
      <c r="AF173" s="727"/>
      <c r="AG173" s="727"/>
      <c r="AH173" s="727"/>
      <c r="AI173" s="727"/>
      <c r="AJ173" s="727"/>
      <c r="AK173" s="727"/>
      <c r="AL173" s="727"/>
      <c r="AM173" s="727"/>
      <c r="AN173" s="727"/>
    </row>
    <row r="174" spans="1:40" s="731" customFormat="1" ht="31.5">
      <c r="A174" s="709">
        <v>156</v>
      </c>
      <c r="B174" s="542">
        <v>7000016906</v>
      </c>
      <c r="C174" s="542">
        <v>620</v>
      </c>
      <c r="D174" s="542">
        <v>1620</v>
      </c>
      <c r="E174" s="542">
        <v>50</v>
      </c>
      <c r="F174" s="542" t="s">
        <v>528</v>
      </c>
      <c r="G174" s="542">
        <v>100001116</v>
      </c>
      <c r="H174" s="542">
        <v>998739</v>
      </c>
      <c r="I174" s="543"/>
      <c r="J174" s="542">
        <v>18</v>
      </c>
      <c r="K174" s="541"/>
      <c r="L174" s="540" t="s">
        <v>604</v>
      </c>
      <c r="M174" s="542" t="s">
        <v>300</v>
      </c>
      <c r="N174" s="542">
        <v>1</v>
      </c>
      <c r="O174" s="717"/>
      <c r="P174" s="539" t="str">
        <f t="shared" si="56"/>
        <v>INCLUDED</v>
      </c>
      <c r="Q174" s="723">
        <f t="shared" si="57"/>
        <v>0</v>
      </c>
      <c r="R174" s="446">
        <f t="shared" si="58"/>
        <v>0</v>
      </c>
      <c r="S174" s="612">
        <f>Discount!$J$36</f>
        <v>0</v>
      </c>
      <c r="T174" s="446">
        <f t="shared" si="59"/>
        <v>0</v>
      </c>
      <c r="U174" s="447">
        <f t="shared" si="60"/>
        <v>0</v>
      </c>
      <c r="V174" s="724">
        <f t="shared" si="61"/>
        <v>0</v>
      </c>
      <c r="W174" s="857">
        <f t="shared" si="62"/>
        <v>0</v>
      </c>
      <c r="X174" s="724">
        <f t="shared" si="63"/>
        <v>0</v>
      </c>
      <c r="Y174" s="725">
        <f t="shared" si="64"/>
        <v>0.18</v>
      </c>
      <c r="Z174" s="724">
        <f t="shared" si="65"/>
        <v>0</v>
      </c>
      <c r="AA174" s="725"/>
      <c r="AB174" s="726"/>
      <c r="AC174" s="726"/>
      <c r="AD174" s="726"/>
      <c r="AE174" s="726"/>
      <c r="AF174" s="727"/>
      <c r="AG174" s="727"/>
      <c r="AH174" s="727"/>
      <c r="AI174" s="727"/>
      <c r="AJ174" s="727"/>
      <c r="AK174" s="727"/>
      <c r="AL174" s="727"/>
      <c r="AM174" s="727"/>
      <c r="AN174" s="727"/>
    </row>
    <row r="175" spans="1:40" s="731" customFormat="1" ht="78.75">
      <c r="A175" s="709">
        <v>157</v>
      </c>
      <c r="B175" s="542">
        <v>7000016906</v>
      </c>
      <c r="C175" s="542">
        <v>630</v>
      </c>
      <c r="D175" s="542">
        <v>1650</v>
      </c>
      <c r="E175" s="542">
        <v>80</v>
      </c>
      <c r="F175" s="542" t="s">
        <v>744</v>
      </c>
      <c r="G175" s="542">
        <v>100001210</v>
      </c>
      <c r="H175" s="542">
        <v>995455</v>
      </c>
      <c r="I175" s="543"/>
      <c r="J175" s="542">
        <v>18</v>
      </c>
      <c r="K175" s="541"/>
      <c r="L175" s="540" t="s">
        <v>577</v>
      </c>
      <c r="M175" s="542" t="s">
        <v>554</v>
      </c>
      <c r="N175" s="542">
        <v>60</v>
      </c>
      <c r="O175" s="717"/>
      <c r="P175" s="539" t="str">
        <f t="shared" si="56"/>
        <v>INCLUDED</v>
      </c>
      <c r="Q175" s="723">
        <f t="shared" si="57"/>
        <v>0</v>
      </c>
      <c r="R175" s="446">
        <f t="shared" si="58"/>
        <v>0</v>
      </c>
      <c r="S175" s="612">
        <f>Discount!$J$36</f>
        <v>0</v>
      </c>
      <c r="T175" s="446">
        <f t="shared" si="59"/>
        <v>0</v>
      </c>
      <c r="U175" s="447">
        <f t="shared" si="60"/>
        <v>0</v>
      </c>
      <c r="V175" s="724">
        <f t="shared" si="61"/>
        <v>0</v>
      </c>
      <c r="W175" s="857">
        <f t="shared" si="62"/>
        <v>0</v>
      </c>
      <c r="X175" s="724">
        <f t="shared" si="63"/>
        <v>0</v>
      </c>
      <c r="Y175" s="725">
        <f t="shared" si="64"/>
        <v>0.18</v>
      </c>
      <c r="Z175" s="724">
        <f t="shared" si="65"/>
        <v>0</v>
      </c>
      <c r="AA175" s="725"/>
      <c r="AB175" s="726"/>
      <c r="AC175" s="726"/>
      <c r="AD175" s="726"/>
      <c r="AE175" s="726"/>
      <c r="AF175" s="727"/>
      <c r="AG175" s="727"/>
      <c r="AH175" s="727"/>
      <c r="AI175" s="727"/>
      <c r="AJ175" s="727"/>
      <c r="AK175" s="727"/>
      <c r="AL175" s="727"/>
      <c r="AM175" s="727"/>
      <c r="AN175" s="727"/>
    </row>
    <row r="176" spans="1:40" s="731" customFormat="1" ht="94.5">
      <c r="A176" s="709">
        <v>158</v>
      </c>
      <c r="B176" s="542">
        <v>7000016906</v>
      </c>
      <c r="C176" s="542">
        <v>630</v>
      </c>
      <c r="D176" s="542">
        <v>1650</v>
      </c>
      <c r="E176" s="542">
        <v>90</v>
      </c>
      <c r="F176" s="542" t="s">
        <v>744</v>
      </c>
      <c r="G176" s="542">
        <v>100001209</v>
      </c>
      <c r="H176" s="542">
        <v>995455</v>
      </c>
      <c r="I176" s="543"/>
      <c r="J176" s="542">
        <v>18</v>
      </c>
      <c r="K176" s="541"/>
      <c r="L176" s="540" t="s">
        <v>815</v>
      </c>
      <c r="M176" s="542" t="s">
        <v>554</v>
      </c>
      <c r="N176" s="542">
        <v>10</v>
      </c>
      <c r="O176" s="717"/>
      <c r="P176" s="539" t="str">
        <f t="shared" si="56"/>
        <v>INCLUDED</v>
      </c>
      <c r="Q176" s="723">
        <f t="shared" si="57"/>
        <v>0</v>
      </c>
      <c r="R176" s="446">
        <f t="shared" si="58"/>
        <v>0</v>
      </c>
      <c r="S176" s="612">
        <f>Discount!$J$36</f>
        <v>0</v>
      </c>
      <c r="T176" s="446">
        <f t="shared" si="59"/>
        <v>0</v>
      </c>
      <c r="U176" s="447">
        <f t="shared" si="60"/>
        <v>0</v>
      </c>
      <c r="V176" s="724">
        <f t="shared" si="61"/>
        <v>0</v>
      </c>
      <c r="W176" s="857">
        <f t="shared" si="62"/>
        <v>0</v>
      </c>
      <c r="X176" s="724">
        <f t="shared" si="63"/>
        <v>0</v>
      </c>
      <c r="Y176" s="725">
        <f t="shared" si="64"/>
        <v>0.18</v>
      </c>
      <c r="Z176" s="724">
        <f t="shared" si="65"/>
        <v>0</v>
      </c>
      <c r="AA176" s="725"/>
      <c r="AB176" s="726"/>
      <c r="AC176" s="726"/>
      <c r="AD176" s="726"/>
      <c r="AE176" s="726"/>
      <c r="AF176" s="727"/>
      <c r="AG176" s="727"/>
      <c r="AH176" s="727"/>
      <c r="AI176" s="727"/>
      <c r="AJ176" s="727"/>
      <c r="AK176" s="727"/>
      <c r="AL176" s="727"/>
      <c r="AM176" s="727"/>
      <c r="AN176" s="727"/>
    </row>
    <row r="177" spans="1:40" s="731" customFormat="1" ht="47.25">
      <c r="A177" s="709">
        <v>159</v>
      </c>
      <c r="B177" s="542">
        <v>7000016906</v>
      </c>
      <c r="C177" s="542">
        <v>630</v>
      </c>
      <c r="D177" s="542">
        <v>1650</v>
      </c>
      <c r="E177" s="542">
        <v>100</v>
      </c>
      <c r="F177" s="542" t="s">
        <v>744</v>
      </c>
      <c r="G177" s="542">
        <v>100001241</v>
      </c>
      <c r="H177" s="542">
        <v>995455</v>
      </c>
      <c r="I177" s="543"/>
      <c r="J177" s="542">
        <v>18</v>
      </c>
      <c r="K177" s="541"/>
      <c r="L177" s="540" t="s">
        <v>799</v>
      </c>
      <c r="M177" s="542" t="s">
        <v>554</v>
      </c>
      <c r="N177" s="542">
        <v>26</v>
      </c>
      <c r="O177" s="717"/>
      <c r="P177" s="539" t="str">
        <f t="shared" si="56"/>
        <v>INCLUDED</v>
      </c>
      <c r="Q177" s="723">
        <f t="shared" si="57"/>
        <v>0</v>
      </c>
      <c r="R177" s="446">
        <f t="shared" si="58"/>
        <v>0</v>
      </c>
      <c r="S177" s="612">
        <f>Discount!$J$36</f>
        <v>0</v>
      </c>
      <c r="T177" s="446">
        <f t="shared" si="59"/>
        <v>0</v>
      </c>
      <c r="U177" s="447">
        <f t="shared" si="60"/>
        <v>0</v>
      </c>
      <c r="V177" s="724">
        <f t="shared" si="61"/>
        <v>0</v>
      </c>
      <c r="W177" s="857">
        <f t="shared" si="62"/>
        <v>0</v>
      </c>
      <c r="X177" s="724">
        <f t="shared" si="63"/>
        <v>0</v>
      </c>
      <c r="Y177" s="725">
        <f t="shared" si="64"/>
        <v>0.18</v>
      </c>
      <c r="Z177" s="724">
        <f t="shared" si="65"/>
        <v>0</v>
      </c>
      <c r="AA177" s="725"/>
      <c r="AB177" s="726"/>
      <c r="AC177" s="726"/>
      <c r="AD177" s="726"/>
      <c r="AE177" s="726"/>
      <c r="AF177" s="727"/>
      <c r="AG177" s="727"/>
      <c r="AH177" s="727"/>
      <c r="AI177" s="727"/>
      <c r="AJ177" s="727"/>
      <c r="AK177" s="727"/>
      <c r="AL177" s="727"/>
      <c r="AM177" s="727"/>
      <c r="AN177" s="727"/>
    </row>
    <row r="178" spans="1:40" s="731" customFormat="1" ht="47.25">
      <c r="A178" s="709">
        <v>160</v>
      </c>
      <c r="B178" s="542">
        <v>7000016906</v>
      </c>
      <c r="C178" s="542">
        <v>630</v>
      </c>
      <c r="D178" s="542">
        <v>1650</v>
      </c>
      <c r="E178" s="542">
        <v>110</v>
      </c>
      <c r="F178" s="542" t="s">
        <v>744</v>
      </c>
      <c r="G178" s="542">
        <v>100001680</v>
      </c>
      <c r="H178" s="542">
        <v>995455</v>
      </c>
      <c r="I178" s="543"/>
      <c r="J178" s="542">
        <v>18</v>
      </c>
      <c r="K178" s="541"/>
      <c r="L178" s="540" t="s">
        <v>578</v>
      </c>
      <c r="M178" s="542" t="s">
        <v>554</v>
      </c>
      <c r="N178" s="542">
        <v>5</v>
      </c>
      <c r="O178" s="717"/>
      <c r="P178" s="539" t="str">
        <f t="shared" ref="P178:P188" si="66">IF(O178=0, "INCLUDED", IF(ISERROR(N178*O178), O178, N178*O178))</f>
        <v>INCLUDED</v>
      </c>
      <c r="Q178" s="723">
        <f t="shared" ref="Q178:Q188" si="67">IF(P178="Included",0,P178)</f>
        <v>0</v>
      </c>
      <c r="R178" s="446">
        <f t="shared" ref="R178:R188" si="68">IF( K178="",J178*(IF(P178="Included",0,P178))/100,K178*(IF(P178="Included",0,P178)))</f>
        <v>0</v>
      </c>
      <c r="S178" s="612">
        <f>Discount!$J$36</f>
        <v>0</v>
      </c>
      <c r="T178" s="446">
        <f t="shared" ref="T178:T188" si="69">S178*Q178</f>
        <v>0</v>
      </c>
      <c r="U178" s="447">
        <f t="shared" ref="U178:U188" si="70">IF(K178="",J178*T178/100,K178*T178)</f>
        <v>0</v>
      </c>
      <c r="V178" s="724">
        <f t="shared" ref="V178:V188" si="71">O178*N178</f>
        <v>0</v>
      </c>
      <c r="W178" s="857">
        <f t="shared" ref="W178:W188" si="72">ROUND(O178,2)</f>
        <v>0</v>
      </c>
      <c r="X178" s="724">
        <f t="shared" ref="X178:X188" si="73">N178*W178</f>
        <v>0</v>
      </c>
      <c r="Y178" s="725">
        <f t="shared" ref="Y178:Y188" si="74">IF(K178="",J178/100,K178)</f>
        <v>0.18</v>
      </c>
      <c r="Z178" s="724">
        <f t="shared" ref="Z178:Z188" si="75">X178*Y178</f>
        <v>0</v>
      </c>
      <c r="AA178" s="725"/>
      <c r="AB178" s="726"/>
      <c r="AC178" s="726"/>
      <c r="AD178" s="726"/>
      <c r="AE178" s="726"/>
      <c r="AF178" s="727"/>
      <c r="AG178" s="727"/>
      <c r="AH178" s="727"/>
      <c r="AI178" s="727"/>
      <c r="AJ178" s="727"/>
      <c r="AK178" s="727"/>
      <c r="AL178" s="727"/>
      <c r="AM178" s="727"/>
      <c r="AN178" s="727"/>
    </row>
    <row r="179" spans="1:40" s="731" customFormat="1" ht="47.25">
      <c r="A179" s="709">
        <v>161</v>
      </c>
      <c r="B179" s="542">
        <v>7000016906</v>
      </c>
      <c r="C179" s="542">
        <v>630</v>
      </c>
      <c r="D179" s="542">
        <v>1650</v>
      </c>
      <c r="E179" s="542">
        <v>120</v>
      </c>
      <c r="F179" s="542" t="s">
        <v>744</v>
      </c>
      <c r="G179" s="542">
        <v>100001681</v>
      </c>
      <c r="H179" s="542">
        <v>995455</v>
      </c>
      <c r="I179" s="543"/>
      <c r="J179" s="542">
        <v>18</v>
      </c>
      <c r="K179" s="541"/>
      <c r="L179" s="540" t="s">
        <v>579</v>
      </c>
      <c r="M179" s="542" t="s">
        <v>554</v>
      </c>
      <c r="N179" s="542">
        <v>5</v>
      </c>
      <c r="O179" s="717"/>
      <c r="P179" s="539" t="str">
        <f t="shared" si="66"/>
        <v>INCLUDED</v>
      </c>
      <c r="Q179" s="723">
        <f t="shared" si="67"/>
        <v>0</v>
      </c>
      <c r="R179" s="446">
        <f t="shared" si="68"/>
        <v>0</v>
      </c>
      <c r="S179" s="612">
        <f>Discount!$J$36</f>
        <v>0</v>
      </c>
      <c r="T179" s="446">
        <f t="shared" si="69"/>
        <v>0</v>
      </c>
      <c r="U179" s="447">
        <f t="shared" si="70"/>
        <v>0</v>
      </c>
      <c r="V179" s="724">
        <f t="shared" si="71"/>
        <v>0</v>
      </c>
      <c r="W179" s="857">
        <f t="shared" si="72"/>
        <v>0</v>
      </c>
      <c r="X179" s="724">
        <f t="shared" si="73"/>
        <v>0</v>
      </c>
      <c r="Y179" s="725">
        <f t="shared" si="74"/>
        <v>0.18</v>
      </c>
      <c r="Z179" s="724">
        <f t="shared" si="75"/>
        <v>0</v>
      </c>
      <c r="AA179" s="725"/>
      <c r="AB179" s="726"/>
      <c r="AC179" s="726"/>
      <c r="AD179" s="726"/>
      <c r="AE179" s="726"/>
      <c r="AF179" s="727"/>
      <c r="AG179" s="727"/>
      <c r="AH179" s="727"/>
      <c r="AI179" s="727"/>
      <c r="AJ179" s="727"/>
      <c r="AK179" s="727"/>
      <c r="AL179" s="727"/>
      <c r="AM179" s="727"/>
      <c r="AN179" s="727"/>
    </row>
    <row r="180" spans="1:40" s="731" customFormat="1" ht="63">
      <c r="A180" s="709">
        <v>162</v>
      </c>
      <c r="B180" s="542">
        <v>7000016906</v>
      </c>
      <c r="C180" s="542">
        <v>640</v>
      </c>
      <c r="D180" s="542">
        <v>1670</v>
      </c>
      <c r="E180" s="542">
        <v>10</v>
      </c>
      <c r="F180" s="542" t="s">
        <v>756</v>
      </c>
      <c r="G180" s="542">
        <v>100004518</v>
      </c>
      <c r="H180" s="542">
        <v>995433</v>
      </c>
      <c r="I180" s="543"/>
      <c r="J180" s="542">
        <v>18</v>
      </c>
      <c r="K180" s="541"/>
      <c r="L180" s="540" t="s">
        <v>565</v>
      </c>
      <c r="M180" s="542" t="s">
        <v>479</v>
      </c>
      <c r="N180" s="542">
        <v>2778</v>
      </c>
      <c r="O180" s="717"/>
      <c r="P180" s="539" t="str">
        <f t="shared" si="66"/>
        <v>INCLUDED</v>
      </c>
      <c r="Q180" s="723">
        <f t="shared" si="67"/>
        <v>0</v>
      </c>
      <c r="R180" s="446">
        <f t="shared" si="68"/>
        <v>0</v>
      </c>
      <c r="S180" s="612">
        <f>Discount!$J$36</f>
        <v>0</v>
      </c>
      <c r="T180" s="446">
        <f t="shared" si="69"/>
        <v>0</v>
      </c>
      <c r="U180" s="447">
        <f t="shared" si="70"/>
        <v>0</v>
      </c>
      <c r="V180" s="724">
        <f t="shared" si="71"/>
        <v>0</v>
      </c>
      <c r="W180" s="857">
        <f t="shared" si="72"/>
        <v>0</v>
      </c>
      <c r="X180" s="724">
        <f t="shared" si="73"/>
        <v>0</v>
      </c>
      <c r="Y180" s="725">
        <f t="shared" si="74"/>
        <v>0.18</v>
      </c>
      <c r="Z180" s="724">
        <f t="shared" si="75"/>
        <v>0</v>
      </c>
      <c r="AA180" s="725"/>
      <c r="AB180" s="726"/>
      <c r="AC180" s="726"/>
      <c r="AD180" s="726"/>
      <c r="AE180" s="726"/>
      <c r="AF180" s="727"/>
      <c r="AG180" s="727"/>
      <c r="AH180" s="727"/>
      <c r="AI180" s="727"/>
      <c r="AJ180" s="727"/>
      <c r="AK180" s="727"/>
      <c r="AL180" s="727"/>
      <c r="AM180" s="727"/>
      <c r="AN180" s="727"/>
    </row>
    <row r="181" spans="1:40" s="731" customFormat="1" ht="16.5">
      <c r="A181" s="709">
        <v>163</v>
      </c>
      <c r="B181" s="542">
        <v>7000016906</v>
      </c>
      <c r="C181" s="542">
        <v>640</v>
      </c>
      <c r="D181" s="542">
        <v>1670</v>
      </c>
      <c r="E181" s="542">
        <v>20</v>
      </c>
      <c r="F181" s="542" t="s">
        <v>756</v>
      </c>
      <c r="G181" s="542">
        <v>100001325</v>
      </c>
      <c r="H181" s="542">
        <v>995454</v>
      </c>
      <c r="I181" s="543"/>
      <c r="J181" s="542">
        <v>18</v>
      </c>
      <c r="K181" s="541"/>
      <c r="L181" s="540" t="s">
        <v>566</v>
      </c>
      <c r="M181" s="542" t="s">
        <v>479</v>
      </c>
      <c r="N181" s="542">
        <v>203</v>
      </c>
      <c r="O181" s="717"/>
      <c r="P181" s="539" t="str">
        <f t="shared" si="66"/>
        <v>INCLUDED</v>
      </c>
      <c r="Q181" s="723">
        <f t="shared" si="67"/>
        <v>0</v>
      </c>
      <c r="R181" s="446">
        <f t="shared" si="68"/>
        <v>0</v>
      </c>
      <c r="S181" s="612">
        <f>Discount!$J$36</f>
        <v>0</v>
      </c>
      <c r="T181" s="446">
        <f t="shared" si="69"/>
        <v>0</v>
      </c>
      <c r="U181" s="447">
        <f t="shared" si="70"/>
        <v>0</v>
      </c>
      <c r="V181" s="724">
        <f t="shared" si="71"/>
        <v>0</v>
      </c>
      <c r="W181" s="857">
        <f t="shared" si="72"/>
        <v>0</v>
      </c>
      <c r="X181" s="724">
        <f t="shared" si="73"/>
        <v>0</v>
      </c>
      <c r="Y181" s="725">
        <f t="shared" si="74"/>
        <v>0.18</v>
      </c>
      <c r="Z181" s="724">
        <f t="shared" si="75"/>
        <v>0</v>
      </c>
      <c r="AA181" s="725"/>
      <c r="AB181" s="726"/>
      <c r="AC181" s="726"/>
      <c r="AD181" s="726"/>
      <c r="AE181" s="726"/>
      <c r="AF181" s="727"/>
      <c r="AG181" s="727"/>
      <c r="AH181" s="727"/>
      <c r="AI181" s="727"/>
      <c r="AJ181" s="727"/>
      <c r="AK181" s="727"/>
      <c r="AL181" s="727"/>
      <c r="AM181" s="727"/>
      <c r="AN181" s="727"/>
    </row>
    <row r="182" spans="1:40" s="731" customFormat="1" ht="16.5">
      <c r="A182" s="709">
        <v>164</v>
      </c>
      <c r="B182" s="542">
        <v>7000016906</v>
      </c>
      <c r="C182" s="542">
        <v>640</v>
      </c>
      <c r="D182" s="542">
        <v>1670</v>
      </c>
      <c r="E182" s="542">
        <v>30</v>
      </c>
      <c r="F182" s="542" t="s">
        <v>756</v>
      </c>
      <c r="G182" s="542">
        <v>100001326</v>
      </c>
      <c r="H182" s="542">
        <v>995454</v>
      </c>
      <c r="I182" s="543"/>
      <c r="J182" s="542">
        <v>18</v>
      </c>
      <c r="K182" s="541"/>
      <c r="L182" s="540" t="s">
        <v>574</v>
      </c>
      <c r="M182" s="542" t="s">
        <v>479</v>
      </c>
      <c r="N182" s="542">
        <v>13</v>
      </c>
      <c r="O182" s="717"/>
      <c r="P182" s="539" t="str">
        <f t="shared" si="66"/>
        <v>INCLUDED</v>
      </c>
      <c r="Q182" s="723">
        <f t="shared" si="67"/>
        <v>0</v>
      </c>
      <c r="R182" s="446">
        <f t="shared" si="68"/>
        <v>0</v>
      </c>
      <c r="S182" s="612">
        <f>Discount!$J$36</f>
        <v>0</v>
      </c>
      <c r="T182" s="446">
        <f t="shared" si="69"/>
        <v>0</v>
      </c>
      <c r="U182" s="447">
        <f t="shared" si="70"/>
        <v>0</v>
      </c>
      <c r="V182" s="724">
        <f t="shared" si="71"/>
        <v>0</v>
      </c>
      <c r="W182" s="857">
        <f t="shared" si="72"/>
        <v>0</v>
      </c>
      <c r="X182" s="724">
        <f t="shared" si="73"/>
        <v>0</v>
      </c>
      <c r="Y182" s="725">
        <f t="shared" si="74"/>
        <v>0.18</v>
      </c>
      <c r="Z182" s="724">
        <f t="shared" si="75"/>
        <v>0</v>
      </c>
      <c r="AA182" s="725"/>
      <c r="AB182" s="726"/>
      <c r="AC182" s="726"/>
      <c r="AD182" s="726"/>
      <c r="AE182" s="726"/>
      <c r="AF182" s="727"/>
      <c r="AG182" s="727"/>
      <c r="AH182" s="727"/>
      <c r="AI182" s="727"/>
      <c r="AJ182" s="727"/>
      <c r="AK182" s="727"/>
      <c r="AL182" s="727"/>
      <c r="AM182" s="727"/>
      <c r="AN182" s="727"/>
    </row>
    <row r="183" spans="1:40" s="731" customFormat="1" ht="31.5">
      <c r="A183" s="709">
        <v>165</v>
      </c>
      <c r="B183" s="542">
        <v>7000016906</v>
      </c>
      <c r="C183" s="542">
        <v>640</v>
      </c>
      <c r="D183" s="542">
        <v>1670</v>
      </c>
      <c r="E183" s="542">
        <v>40</v>
      </c>
      <c r="F183" s="542" t="s">
        <v>756</v>
      </c>
      <c r="G183" s="542">
        <v>100001328</v>
      </c>
      <c r="H183" s="542">
        <v>995454</v>
      </c>
      <c r="I183" s="543"/>
      <c r="J183" s="542">
        <v>18</v>
      </c>
      <c r="K183" s="541"/>
      <c r="L183" s="540" t="s">
        <v>567</v>
      </c>
      <c r="M183" s="542" t="s">
        <v>479</v>
      </c>
      <c r="N183" s="542">
        <v>600</v>
      </c>
      <c r="O183" s="717"/>
      <c r="P183" s="539" t="str">
        <f t="shared" si="66"/>
        <v>INCLUDED</v>
      </c>
      <c r="Q183" s="723">
        <f t="shared" si="67"/>
        <v>0</v>
      </c>
      <c r="R183" s="446">
        <f t="shared" si="68"/>
        <v>0</v>
      </c>
      <c r="S183" s="612">
        <f>Discount!$J$36</f>
        <v>0</v>
      </c>
      <c r="T183" s="446">
        <f t="shared" si="69"/>
        <v>0</v>
      </c>
      <c r="U183" s="447">
        <f t="shared" si="70"/>
        <v>0</v>
      </c>
      <c r="V183" s="724">
        <f t="shared" si="71"/>
        <v>0</v>
      </c>
      <c r="W183" s="857">
        <f t="shared" si="72"/>
        <v>0</v>
      </c>
      <c r="X183" s="724">
        <f t="shared" si="73"/>
        <v>0</v>
      </c>
      <c r="Y183" s="725">
        <f t="shared" si="74"/>
        <v>0.18</v>
      </c>
      <c r="Z183" s="724">
        <f t="shared" si="75"/>
        <v>0</v>
      </c>
      <c r="AA183" s="725"/>
      <c r="AB183" s="726"/>
      <c r="AC183" s="726"/>
      <c r="AD183" s="726"/>
      <c r="AE183" s="726"/>
      <c r="AF183" s="727"/>
      <c r="AG183" s="727"/>
      <c r="AH183" s="727"/>
      <c r="AI183" s="727"/>
      <c r="AJ183" s="727"/>
      <c r="AK183" s="727"/>
      <c r="AL183" s="727"/>
      <c r="AM183" s="727"/>
      <c r="AN183" s="727"/>
    </row>
    <row r="184" spans="1:40" s="731" customFormat="1" ht="47.25">
      <c r="A184" s="709">
        <v>166</v>
      </c>
      <c r="B184" s="542">
        <v>7000016906</v>
      </c>
      <c r="C184" s="542">
        <v>640</v>
      </c>
      <c r="D184" s="542">
        <v>1670</v>
      </c>
      <c r="E184" s="542">
        <v>50</v>
      </c>
      <c r="F184" s="542" t="s">
        <v>756</v>
      </c>
      <c r="G184" s="542">
        <v>100001327</v>
      </c>
      <c r="H184" s="542">
        <v>995454</v>
      </c>
      <c r="I184" s="543"/>
      <c r="J184" s="542">
        <v>18</v>
      </c>
      <c r="K184" s="541"/>
      <c r="L184" s="540" t="s">
        <v>568</v>
      </c>
      <c r="M184" s="542" t="s">
        <v>479</v>
      </c>
      <c r="N184" s="542">
        <v>720</v>
      </c>
      <c r="O184" s="717"/>
      <c r="P184" s="539" t="str">
        <f t="shared" si="66"/>
        <v>INCLUDED</v>
      </c>
      <c r="Q184" s="723">
        <f t="shared" si="67"/>
        <v>0</v>
      </c>
      <c r="R184" s="446">
        <f t="shared" si="68"/>
        <v>0</v>
      </c>
      <c r="S184" s="612">
        <f>Discount!$J$36</f>
        <v>0</v>
      </c>
      <c r="T184" s="446">
        <f t="shared" si="69"/>
        <v>0</v>
      </c>
      <c r="U184" s="447">
        <f t="shared" si="70"/>
        <v>0</v>
      </c>
      <c r="V184" s="724">
        <f t="shared" si="71"/>
        <v>0</v>
      </c>
      <c r="W184" s="857">
        <f t="shared" si="72"/>
        <v>0</v>
      </c>
      <c r="X184" s="724">
        <f t="shared" si="73"/>
        <v>0</v>
      </c>
      <c r="Y184" s="725">
        <f t="shared" si="74"/>
        <v>0.18</v>
      </c>
      <c r="Z184" s="724">
        <f t="shared" si="75"/>
        <v>0</v>
      </c>
      <c r="AA184" s="725"/>
      <c r="AB184" s="726"/>
      <c r="AC184" s="726"/>
      <c r="AD184" s="726"/>
      <c r="AE184" s="726"/>
      <c r="AF184" s="727"/>
      <c r="AG184" s="727"/>
      <c r="AH184" s="727"/>
      <c r="AI184" s="727"/>
      <c r="AJ184" s="727"/>
      <c r="AK184" s="727"/>
      <c r="AL184" s="727"/>
      <c r="AM184" s="727"/>
      <c r="AN184" s="727"/>
    </row>
    <row r="185" spans="1:40" s="731" customFormat="1" ht="16.5">
      <c r="A185" s="709">
        <v>167</v>
      </c>
      <c r="B185" s="542">
        <v>7000016906</v>
      </c>
      <c r="C185" s="542">
        <v>640</v>
      </c>
      <c r="D185" s="542">
        <v>1670</v>
      </c>
      <c r="E185" s="542">
        <v>60</v>
      </c>
      <c r="F185" s="542" t="s">
        <v>756</v>
      </c>
      <c r="G185" s="542">
        <v>100001329</v>
      </c>
      <c r="H185" s="542">
        <v>995454</v>
      </c>
      <c r="I185" s="543"/>
      <c r="J185" s="542">
        <v>18</v>
      </c>
      <c r="K185" s="541"/>
      <c r="L185" s="540" t="s">
        <v>569</v>
      </c>
      <c r="M185" s="542" t="s">
        <v>554</v>
      </c>
      <c r="N185" s="542">
        <v>51</v>
      </c>
      <c r="O185" s="717"/>
      <c r="P185" s="539" t="str">
        <f t="shared" si="66"/>
        <v>INCLUDED</v>
      </c>
      <c r="Q185" s="723">
        <f t="shared" si="67"/>
        <v>0</v>
      </c>
      <c r="R185" s="446">
        <f t="shared" si="68"/>
        <v>0</v>
      </c>
      <c r="S185" s="612">
        <f>Discount!$J$36</f>
        <v>0</v>
      </c>
      <c r="T185" s="446">
        <f t="shared" si="69"/>
        <v>0</v>
      </c>
      <c r="U185" s="447">
        <f t="shared" si="70"/>
        <v>0</v>
      </c>
      <c r="V185" s="724">
        <f t="shared" si="71"/>
        <v>0</v>
      </c>
      <c r="W185" s="857">
        <f t="shared" si="72"/>
        <v>0</v>
      </c>
      <c r="X185" s="724">
        <f t="shared" si="73"/>
        <v>0</v>
      </c>
      <c r="Y185" s="725">
        <f t="shared" si="74"/>
        <v>0.18</v>
      </c>
      <c r="Z185" s="724">
        <f t="shared" si="75"/>
        <v>0</v>
      </c>
      <c r="AA185" s="725"/>
      <c r="AB185" s="726"/>
      <c r="AC185" s="726"/>
      <c r="AD185" s="726"/>
      <c r="AE185" s="726"/>
      <c r="AF185" s="727"/>
      <c r="AG185" s="727"/>
      <c r="AH185" s="727"/>
      <c r="AI185" s="727"/>
      <c r="AJ185" s="727"/>
      <c r="AK185" s="727"/>
      <c r="AL185" s="727"/>
      <c r="AM185" s="727"/>
      <c r="AN185" s="727"/>
    </row>
    <row r="186" spans="1:40" s="731" customFormat="1" ht="47.25">
      <c r="A186" s="709">
        <v>168</v>
      </c>
      <c r="B186" s="542">
        <v>7000016906</v>
      </c>
      <c r="C186" s="542">
        <v>640</v>
      </c>
      <c r="D186" s="542">
        <v>1670</v>
      </c>
      <c r="E186" s="542">
        <v>70</v>
      </c>
      <c r="F186" s="542" t="s">
        <v>756</v>
      </c>
      <c r="G186" s="542">
        <v>100001331</v>
      </c>
      <c r="H186" s="542">
        <v>995455</v>
      </c>
      <c r="I186" s="543"/>
      <c r="J186" s="542">
        <v>18</v>
      </c>
      <c r="K186" s="541"/>
      <c r="L186" s="540" t="s">
        <v>570</v>
      </c>
      <c r="M186" s="542" t="s">
        <v>554</v>
      </c>
      <c r="N186" s="542">
        <v>13</v>
      </c>
      <c r="O186" s="717"/>
      <c r="P186" s="539" t="str">
        <f t="shared" si="66"/>
        <v>INCLUDED</v>
      </c>
      <c r="Q186" s="723">
        <f t="shared" si="67"/>
        <v>0</v>
      </c>
      <c r="R186" s="446">
        <f t="shared" si="68"/>
        <v>0</v>
      </c>
      <c r="S186" s="612">
        <f>Discount!$J$36</f>
        <v>0</v>
      </c>
      <c r="T186" s="446">
        <f t="shared" si="69"/>
        <v>0</v>
      </c>
      <c r="U186" s="447">
        <f t="shared" si="70"/>
        <v>0</v>
      </c>
      <c r="V186" s="724">
        <f t="shared" si="71"/>
        <v>0</v>
      </c>
      <c r="W186" s="857">
        <f t="shared" si="72"/>
        <v>0</v>
      </c>
      <c r="X186" s="724">
        <f t="shared" si="73"/>
        <v>0</v>
      </c>
      <c r="Y186" s="725">
        <f t="shared" si="74"/>
        <v>0.18</v>
      </c>
      <c r="Z186" s="724">
        <f t="shared" si="75"/>
        <v>0</v>
      </c>
      <c r="AA186" s="725"/>
      <c r="AB186" s="726"/>
      <c r="AC186" s="726"/>
      <c r="AD186" s="726"/>
      <c r="AE186" s="726"/>
      <c r="AF186" s="727"/>
      <c r="AG186" s="727"/>
      <c r="AH186" s="727"/>
      <c r="AI186" s="727"/>
      <c r="AJ186" s="727"/>
      <c r="AK186" s="727"/>
      <c r="AL186" s="727"/>
      <c r="AM186" s="727"/>
      <c r="AN186" s="727"/>
    </row>
    <row r="187" spans="1:40" s="731" customFormat="1" ht="16.5">
      <c r="A187" s="709">
        <v>169</v>
      </c>
      <c r="B187" s="542">
        <v>7000016906</v>
      </c>
      <c r="C187" s="542">
        <v>640</v>
      </c>
      <c r="D187" s="542">
        <v>1670</v>
      </c>
      <c r="E187" s="542">
        <v>80</v>
      </c>
      <c r="F187" s="542" t="s">
        <v>756</v>
      </c>
      <c r="G187" s="542">
        <v>100001714</v>
      </c>
      <c r="H187" s="542">
        <v>995428</v>
      </c>
      <c r="I187" s="543"/>
      <c r="J187" s="542">
        <v>18</v>
      </c>
      <c r="K187" s="541"/>
      <c r="L187" s="540" t="s">
        <v>571</v>
      </c>
      <c r="M187" s="542" t="s">
        <v>573</v>
      </c>
      <c r="N187" s="542">
        <v>8000</v>
      </c>
      <c r="O187" s="717"/>
      <c r="P187" s="539" t="str">
        <f t="shared" si="66"/>
        <v>INCLUDED</v>
      </c>
      <c r="Q187" s="723">
        <f t="shared" si="67"/>
        <v>0</v>
      </c>
      <c r="R187" s="446">
        <f t="shared" si="68"/>
        <v>0</v>
      </c>
      <c r="S187" s="612">
        <f>Discount!$J$36</f>
        <v>0</v>
      </c>
      <c r="T187" s="446">
        <f t="shared" si="69"/>
        <v>0</v>
      </c>
      <c r="U187" s="447">
        <f t="shared" si="70"/>
        <v>0</v>
      </c>
      <c r="V187" s="724">
        <f t="shared" si="71"/>
        <v>0</v>
      </c>
      <c r="W187" s="857">
        <f t="shared" si="72"/>
        <v>0</v>
      </c>
      <c r="X187" s="724">
        <f t="shared" si="73"/>
        <v>0</v>
      </c>
      <c r="Y187" s="725">
        <f t="shared" si="74"/>
        <v>0.18</v>
      </c>
      <c r="Z187" s="724">
        <f t="shared" si="75"/>
        <v>0</v>
      </c>
      <c r="AA187" s="725"/>
      <c r="AB187" s="726"/>
      <c r="AC187" s="726"/>
      <c r="AD187" s="726"/>
      <c r="AE187" s="726"/>
      <c r="AF187" s="727"/>
      <c r="AG187" s="727"/>
      <c r="AH187" s="727"/>
      <c r="AI187" s="727"/>
      <c r="AJ187" s="727"/>
      <c r="AK187" s="727"/>
      <c r="AL187" s="727"/>
      <c r="AM187" s="727"/>
      <c r="AN187" s="727"/>
    </row>
    <row r="188" spans="1:40" s="731" customFormat="1" ht="16.5">
      <c r="A188" s="709">
        <v>170</v>
      </c>
      <c r="B188" s="542">
        <v>7000016906</v>
      </c>
      <c r="C188" s="542">
        <v>640</v>
      </c>
      <c r="D188" s="542">
        <v>1670</v>
      </c>
      <c r="E188" s="542">
        <v>90</v>
      </c>
      <c r="F188" s="542" t="s">
        <v>756</v>
      </c>
      <c r="G188" s="542">
        <v>100001713</v>
      </c>
      <c r="H188" s="542">
        <v>995424</v>
      </c>
      <c r="I188" s="543"/>
      <c r="J188" s="542">
        <v>18</v>
      </c>
      <c r="K188" s="541"/>
      <c r="L188" s="540" t="s">
        <v>572</v>
      </c>
      <c r="M188" s="542" t="s">
        <v>573</v>
      </c>
      <c r="N188" s="542">
        <v>8000</v>
      </c>
      <c r="O188" s="717"/>
      <c r="P188" s="539" t="str">
        <f t="shared" si="66"/>
        <v>INCLUDED</v>
      </c>
      <c r="Q188" s="723">
        <f t="shared" si="67"/>
        <v>0</v>
      </c>
      <c r="R188" s="446">
        <f t="shared" si="68"/>
        <v>0</v>
      </c>
      <c r="S188" s="612">
        <f>Discount!$J$36</f>
        <v>0</v>
      </c>
      <c r="T188" s="446">
        <f t="shared" si="69"/>
        <v>0</v>
      </c>
      <c r="U188" s="447">
        <f t="shared" si="70"/>
        <v>0</v>
      </c>
      <c r="V188" s="724">
        <f t="shared" si="71"/>
        <v>0</v>
      </c>
      <c r="W188" s="857">
        <f t="shared" si="72"/>
        <v>0</v>
      </c>
      <c r="X188" s="724">
        <f t="shared" si="73"/>
        <v>0</v>
      </c>
      <c r="Y188" s="725">
        <f t="shared" si="74"/>
        <v>0.18</v>
      </c>
      <c r="Z188" s="724">
        <f t="shared" si="75"/>
        <v>0</v>
      </c>
      <c r="AA188" s="725"/>
      <c r="AB188" s="726"/>
      <c r="AC188" s="726"/>
      <c r="AD188" s="726"/>
      <c r="AE188" s="726"/>
      <c r="AF188" s="727"/>
      <c r="AG188" s="727"/>
      <c r="AH188" s="727"/>
      <c r="AI188" s="727"/>
      <c r="AJ188" s="727"/>
      <c r="AK188" s="727"/>
      <c r="AL188" s="727"/>
      <c r="AM188" s="727"/>
      <c r="AN188" s="727"/>
    </row>
    <row r="189" spans="1:40" s="731" customFormat="1" ht="63">
      <c r="A189" s="709">
        <v>171</v>
      </c>
      <c r="B189" s="542">
        <v>7000016906</v>
      </c>
      <c r="C189" s="542">
        <v>640</v>
      </c>
      <c r="D189" s="542">
        <v>1670</v>
      </c>
      <c r="E189" s="542">
        <v>100</v>
      </c>
      <c r="F189" s="542" t="s">
        <v>756</v>
      </c>
      <c r="G189" s="542">
        <v>100004507</v>
      </c>
      <c r="H189" s="542">
        <v>995421</v>
      </c>
      <c r="I189" s="543"/>
      <c r="J189" s="542">
        <v>18</v>
      </c>
      <c r="K189" s="541"/>
      <c r="L189" s="540" t="s">
        <v>816</v>
      </c>
      <c r="M189" s="542" t="s">
        <v>573</v>
      </c>
      <c r="N189" s="542">
        <v>750</v>
      </c>
      <c r="O189" s="717"/>
      <c r="P189" s="539" t="str">
        <f t="shared" ref="P189:P194" si="76">IF(O189=0, "INCLUDED", IF(ISERROR(N189*O189), O189, N189*O189))</f>
        <v>INCLUDED</v>
      </c>
      <c r="Q189" s="723">
        <f t="shared" ref="Q189:Q194" si="77">IF(P189="Included",0,P189)</f>
        <v>0</v>
      </c>
      <c r="R189" s="446">
        <f t="shared" ref="R189:R194" si="78">IF( K189="",J189*(IF(P189="Included",0,P189))/100,K189*(IF(P189="Included",0,P189)))</f>
        <v>0</v>
      </c>
      <c r="S189" s="612">
        <f>Discount!$J$36</f>
        <v>0</v>
      </c>
      <c r="T189" s="446">
        <f t="shared" ref="T189:T194" si="79">S189*Q189</f>
        <v>0</v>
      </c>
      <c r="U189" s="447">
        <f t="shared" ref="U189:U194" si="80">IF(K189="",J189*T189/100,K189*T189)</f>
        <v>0</v>
      </c>
      <c r="V189" s="724">
        <f t="shared" ref="V189:V194" si="81">O189*N189</f>
        <v>0</v>
      </c>
      <c r="W189" s="857">
        <f t="shared" ref="W189:W194" si="82">ROUND(O189,2)</f>
        <v>0</v>
      </c>
      <c r="X189" s="724">
        <f t="shared" ref="X189:X194" si="83">N189*W189</f>
        <v>0</v>
      </c>
      <c r="Y189" s="725">
        <f t="shared" ref="Y189:Y194" si="84">IF(K189="",J189/100,K189)</f>
        <v>0.18</v>
      </c>
      <c r="Z189" s="724">
        <f t="shared" ref="Z189:Z194" si="85">X189*Y189</f>
        <v>0</v>
      </c>
      <c r="AA189" s="725"/>
      <c r="AB189" s="726"/>
      <c r="AC189" s="726"/>
      <c r="AD189" s="726"/>
      <c r="AE189" s="726"/>
      <c r="AF189" s="727"/>
      <c r="AG189" s="727"/>
      <c r="AH189" s="727"/>
      <c r="AI189" s="727"/>
      <c r="AJ189" s="727"/>
      <c r="AK189" s="727"/>
      <c r="AL189" s="727"/>
      <c r="AM189" s="727"/>
      <c r="AN189" s="727"/>
    </row>
    <row r="190" spans="1:40" s="731" customFormat="1" ht="31.5">
      <c r="A190" s="709">
        <v>172</v>
      </c>
      <c r="B190" s="542">
        <v>7000016906</v>
      </c>
      <c r="C190" s="542">
        <v>640</v>
      </c>
      <c r="D190" s="542">
        <v>1670</v>
      </c>
      <c r="E190" s="542">
        <v>110</v>
      </c>
      <c r="F190" s="542" t="s">
        <v>756</v>
      </c>
      <c r="G190" s="542">
        <v>100001412</v>
      </c>
      <c r="H190" s="542">
        <v>995462</v>
      </c>
      <c r="I190" s="543"/>
      <c r="J190" s="542">
        <v>18</v>
      </c>
      <c r="K190" s="541"/>
      <c r="L190" s="540" t="s">
        <v>817</v>
      </c>
      <c r="M190" s="542" t="s">
        <v>480</v>
      </c>
      <c r="N190" s="542">
        <v>100</v>
      </c>
      <c r="O190" s="717"/>
      <c r="P190" s="539" t="str">
        <f t="shared" si="76"/>
        <v>INCLUDED</v>
      </c>
      <c r="Q190" s="723">
        <f t="shared" si="77"/>
        <v>0</v>
      </c>
      <c r="R190" s="446">
        <f t="shared" si="78"/>
        <v>0</v>
      </c>
      <c r="S190" s="612">
        <f>Discount!$J$36</f>
        <v>0</v>
      </c>
      <c r="T190" s="446">
        <f t="shared" si="79"/>
        <v>0</v>
      </c>
      <c r="U190" s="447">
        <f t="shared" si="80"/>
        <v>0</v>
      </c>
      <c r="V190" s="724">
        <f t="shared" si="81"/>
        <v>0</v>
      </c>
      <c r="W190" s="857">
        <f t="shared" si="82"/>
        <v>0</v>
      </c>
      <c r="X190" s="724">
        <f t="shared" si="83"/>
        <v>0</v>
      </c>
      <c r="Y190" s="725">
        <f t="shared" si="84"/>
        <v>0.18</v>
      </c>
      <c r="Z190" s="724">
        <f t="shared" si="85"/>
        <v>0</v>
      </c>
      <c r="AA190" s="725"/>
      <c r="AB190" s="726"/>
      <c r="AC190" s="726"/>
      <c r="AD190" s="726"/>
      <c r="AE190" s="726"/>
      <c r="AF190" s="727"/>
      <c r="AG190" s="727"/>
      <c r="AH190" s="727"/>
      <c r="AI190" s="727"/>
      <c r="AJ190" s="727"/>
      <c r="AK190" s="727"/>
      <c r="AL190" s="727"/>
      <c r="AM190" s="727"/>
      <c r="AN190" s="727"/>
    </row>
    <row r="191" spans="1:40" s="731" customFormat="1" ht="31.5">
      <c r="A191" s="709">
        <v>173</v>
      </c>
      <c r="B191" s="542">
        <v>7000016906</v>
      </c>
      <c r="C191" s="542">
        <v>640</v>
      </c>
      <c r="D191" s="542">
        <v>1670</v>
      </c>
      <c r="E191" s="542">
        <v>120</v>
      </c>
      <c r="F191" s="542" t="s">
        <v>756</v>
      </c>
      <c r="G191" s="542">
        <v>100001413</v>
      </c>
      <c r="H191" s="542">
        <v>995462</v>
      </c>
      <c r="I191" s="543"/>
      <c r="J191" s="542">
        <v>18</v>
      </c>
      <c r="K191" s="541"/>
      <c r="L191" s="540" t="s">
        <v>818</v>
      </c>
      <c r="M191" s="542" t="s">
        <v>480</v>
      </c>
      <c r="N191" s="542">
        <v>100</v>
      </c>
      <c r="O191" s="717"/>
      <c r="P191" s="539" t="str">
        <f t="shared" si="76"/>
        <v>INCLUDED</v>
      </c>
      <c r="Q191" s="723">
        <f t="shared" si="77"/>
        <v>0</v>
      </c>
      <c r="R191" s="446">
        <f t="shared" si="78"/>
        <v>0</v>
      </c>
      <c r="S191" s="612">
        <f>Discount!$J$36</f>
        <v>0</v>
      </c>
      <c r="T191" s="446">
        <f t="shared" si="79"/>
        <v>0</v>
      </c>
      <c r="U191" s="447">
        <f t="shared" si="80"/>
        <v>0</v>
      </c>
      <c r="V191" s="724">
        <f t="shared" si="81"/>
        <v>0</v>
      </c>
      <c r="W191" s="857">
        <f t="shared" si="82"/>
        <v>0</v>
      </c>
      <c r="X191" s="724">
        <f t="shared" si="83"/>
        <v>0</v>
      </c>
      <c r="Y191" s="725">
        <f t="shared" si="84"/>
        <v>0.18</v>
      </c>
      <c r="Z191" s="724">
        <f t="shared" si="85"/>
        <v>0</v>
      </c>
      <c r="AA191" s="725"/>
      <c r="AB191" s="726"/>
      <c r="AC191" s="726"/>
      <c r="AD191" s="726"/>
      <c r="AE191" s="726"/>
      <c r="AF191" s="727"/>
      <c r="AG191" s="727"/>
      <c r="AH191" s="727"/>
      <c r="AI191" s="727"/>
      <c r="AJ191" s="727"/>
      <c r="AK191" s="727"/>
      <c r="AL191" s="727"/>
      <c r="AM191" s="727"/>
      <c r="AN191" s="727"/>
    </row>
    <row r="192" spans="1:40" s="731" customFormat="1" ht="31.5">
      <c r="A192" s="709">
        <v>174</v>
      </c>
      <c r="B192" s="542">
        <v>7000016906</v>
      </c>
      <c r="C192" s="542">
        <v>640</v>
      </c>
      <c r="D192" s="542">
        <v>1670</v>
      </c>
      <c r="E192" s="542">
        <v>130</v>
      </c>
      <c r="F192" s="542" t="s">
        <v>756</v>
      </c>
      <c r="G192" s="542">
        <v>100001414</v>
      </c>
      <c r="H192" s="542">
        <v>995462</v>
      </c>
      <c r="I192" s="543"/>
      <c r="J192" s="542">
        <v>18</v>
      </c>
      <c r="K192" s="541"/>
      <c r="L192" s="540" t="s">
        <v>819</v>
      </c>
      <c r="M192" s="542" t="s">
        <v>480</v>
      </c>
      <c r="N192" s="542">
        <v>100</v>
      </c>
      <c r="O192" s="717"/>
      <c r="P192" s="539" t="str">
        <f t="shared" si="76"/>
        <v>INCLUDED</v>
      </c>
      <c r="Q192" s="723">
        <f t="shared" si="77"/>
        <v>0</v>
      </c>
      <c r="R192" s="446">
        <f t="shared" si="78"/>
        <v>0</v>
      </c>
      <c r="S192" s="612">
        <f>Discount!$J$36</f>
        <v>0</v>
      </c>
      <c r="T192" s="446">
        <f t="shared" si="79"/>
        <v>0</v>
      </c>
      <c r="U192" s="447">
        <f t="shared" si="80"/>
        <v>0</v>
      </c>
      <c r="V192" s="724">
        <f t="shared" si="81"/>
        <v>0</v>
      </c>
      <c r="W192" s="857">
        <f t="shared" si="82"/>
        <v>0</v>
      </c>
      <c r="X192" s="724">
        <f t="shared" si="83"/>
        <v>0</v>
      </c>
      <c r="Y192" s="725">
        <f t="shared" si="84"/>
        <v>0.18</v>
      </c>
      <c r="Z192" s="724">
        <f t="shared" si="85"/>
        <v>0</v>
      </c>
      <c r="AA192" s="725"/>
      <c r="AB192" s="726"/>
      <c r="AC192" s="726"/>
      <c r="AD192" s="726"/>
      <c r="AE192" s="726"/>
      <c r="AF192" s="727"/>
      <c r="AG192" s="727"/>
      <c r="AH192" s="727"/>
      <c r="AI192" s="727"/>
      <c r="AJ192" s="727"/>
      <c r="AK192" s="727"/>
      <c r="AL192" s="727"/>
      <c r="AM192" s="727"/>
      <c r="AN192" s="727"/>
    </row>
    <row r="193" spans="1:40" s="731" customFormat="1" ht="31.5">
      <c r="A193" s="709">
        <v>175</v>
      </c>
      <c r="B193" s="542">
        <v>7000016906</v>
      </c>
      <c r="C193" s="542">
        <v>640</v>
      </c>
      <c r="D193" s="542">
        <v>1670</v>
      </c>
      <c r="E193" s="542">
        <v>140</v>
      </c>
      <c r="F193" s="542" t="s">
        <v>756</v>
      </c>
      <c r="G193" s="542">
        <v>100001415</v>
      </c>
      <c r="H193" s="542">
        <v>995462</v>
      </c>
      <c r="I193" s="543"/>
      <c r="J193" s="542">
        <v>18</v>
      </c>
      <c r="K193" s="541"/>
      <c r="L193" s="540" t="s">
        <v>820</v>
      </c>
      <c r="M193" s="542" t="s">
        <v>480</v>
      </c>
      <c r="N193" s="542">
        <v>100</v>
      </c>
      <c r="O193" s="717"/>
      <c r="P193" s="539" t="str">
        <f t="shared" si="76"/>
        <v>INCLUDED</v>
      </c>
      <c r="Q193" s="723">
        <f t="shared" si="77"/>
        <v>0</v>
      </c>
      <c r="R193" s="446">
        <f t="shared" si="78"/>
        <v>0</v>
      </c>
      <c r="S193" s="612">
        <f>Discount!$J$36</f>
        <v>0</v>
      </c>
      <c r="T193" s="446">
        <f t="shared" si="79"/>
        <v>0</v>
      </c>
      <c r="U193" s="447">
        <f t="shared" si="80"/>
        <v>0</v>
      </c>
      <c r="V193" s="724">
        <f t="shared" si="81"/>
        <v>0</v>
      </c>
      <c r="W193" s="857">
        <f t="shared" si="82"/>
        <v>0</v>
      </c>
      <c r="X193" s="724">
        <f t="shared" si="83"/>
        <v>0</v>
      </c>
      <c r="Y193" s="725">
        <f t="shared" si="84"/>
        <v>0.18</v>
      </c>
      <c r="Z193" s="724">
        <f t="shared" si="85"/>
        <v>0</v>
      </c>
      <c r="AA193" s="725"/>
      <c r="AB193" s="726"/>
      <c r="AC193" s="726"/>
      <c r="AD193" s="726"/>
      <c r="AE193" s="726"/>
      <c r="AF193" s="727"/>
      <c r="AG193" s="727"/>
      <c r="AH193" s="727"/>
      <c r="AI193" s="727"/>
      <c r="AJ193" s="727"/>
      <c r="AK193" s="727"/>
      <c r="AL193" s="727"/>
      <c r="AM193" s="727"/>
      <c r="AN193" s="727"/>
    </row>
    <row r="194" spans="1:40" s="731" customFormat="1" ht="47.25">
      <c r="A194" s="709">
        <v>176</v>
      </c>
      <c r="B194" s="542">
        <v>7000016906</v>
      </c>
      <c r="C194" s="542">
        <v>640</v>
      </c>
      <c r="D194" s="542">
        <v>1670</v>
      </c>
      <c r="E194" s="542">
        <v>150</v>
      </c>
      <c r="F194" s="542" t="s">
        <v>756</v>
      </c>
      <c r="G194" s="542">
        <v>100001735</v>
      </c>
      <c r="H194" s="542">
        <v>995462</v>
      </c>
      <c r="I194" s="543"/>
      <c r="J194" s="542">
        <v>18</v>
      </c>
      <c r="K194" s="541"/>
      <c r="L194" s="540" t="s">
        <v>575</v>
      </c>
      <c r="M194" s="542" t="s">
        <v>480</v>
      </c>
      <c r="N194" s="542">
        <v>20</v>
      </c>
      <c r="O194" s="717"/>
      <c r="P194" s="539" t="str">
        <f t="shared" si="76"/>
        <v>INCLUDED</v>
      </c>
      <c r="Q194" s="723">
        <f t="shared" si="77"/>
        <v>0</v>
      </c>
      <c r="R194" s="446">
        <f t="shared" si="78"/>
        <v>0</v>
      </c>
      <c r="S194" s="612">
        <f>Discount!$J$36</f>
        <v>0</v>
      </c>
      <c r="T194" s="446">
        <f t="shared" si="79"/>
        <v>0</v>
      </c>
      <c r="U194" s="447">
        <f t="shared" si="80"/>
        <v>0</v>
      </c>
      <c r="V194" s="724">
        <f t="shared" si="81"/>
        <v>0</v>
      </c>
      <c r="W194" s="857">
        <f t="shared" si="82"/>
        <v>0</v>
      </c>
      <c r="X194" s="724">
        <f t="shared" si="83"/>
        <v>0</v>
      </c>
      <c r="Y194" s="725">
        <f t="shared" si="84"/>
        <v>0.18</v>
      </c>
      <c r="Z194" s="724">
        <f t="shared" si="85"/>
        <v>0</v>
      </c>
      <c r="AA194" s="725"/>
      <c r="AB194" s="726"/>
      <c r="AC194" s="726"/>
      <c r="AD194" s="726"/>
      <c r="AE194" s="726"/>
      <c r="AF194" s="727"/>
      <c r="AG194" s="727"/>
      <c r="AH194" s="727"/>
      <c r="AI194" s="727"/>
      <c r="AJ194" s="727"/>
      <c r="AK194" s="727"/>
      <c r="AL194" s="727"/>
      <c r="AM194" s="727"/>
      <c r="AN194" s="727"/>
    </row>
    <row r="195" spans="1:40" s="731" customFormat="1" ht="47.25">
      <c r="A195" s="709">
        <v>177</v>
      </c>
      <c r="B195" s="542">
        <v>7000016906</v>
      </c>
      <c r="C195" s="542">
        <v>640</v>
      </c>
      <c r="D195" s="542">
        <v>1670</v>
      </c>
      <c r="E195" s="542">
        <v>160</v>
      </c>
      <c r="F195" s="542" t="s">
        <v>756</v>
      </c>
      <c r="G195" s="542">
        <v>100001736</v>
      </c>
      <c r="H195" s="542">
        <v>995462</v>
      </c>
      <c r="I195" s="543"/>
      <c r="J195" s="542">
        <v>18</v>
      </c>
      <c r="K195" s="541"/>
      <c r="L195" s="540" t="s">
        <v>636</v>
      </c>
      <c r="M195" s="542" t="s">
        <v>480</v>
      </c>
      <c r="N195" s="542">
        <v>20</v>
      </c>
      <c r="O195" s="717"/>
      <c r="P195" s="539" t="str">
        <f t="shared" si="56"/>
        <v>INCLUDED</v>
      </c>
      <c r="Q195" s="723">
        <f t="shared" si="57"/>
        <v>0</v>
      </c>
      <c r="R195" s="446">
        <f t="shared" si="58"/>
        <v>0</v>
      </c>
      <c r="S195" s="612">
        <f>Discount!$J$36</f>
        <v>0</v>
      </c>
      <c r="T195" s="446">
        <f t="shared" si="59"/>
        <v>0</v>
      </c>
      <c r="U195" s="447">
        <f t="shared" si="60"/>
        <v>0</v>
      </c>
      <c r="V195" s="724">
        <f t="shared" si="61"/>
        <v>0</v>
      </c>
      <c r="W195" s="857">
        <f t="shared" si="62"/>
        <v>0</v>
      </c>
      <c r="X195" s="724">
        <f t="shared" si="63"/>
        <v>0</v>
      </c>
      <c r="Y195" s="725">
        <f t="shared" si="64"/>
        <v>0.18</v>
      </c>
      <c r="Z195" s="724">
        <f t="shared" si="65"/>
        <v>0</v>
      </c>
      <c r="AA195" s="725"/>
      <c r="AB195" s="726"/>
      <c r="AC195" s="726"/>
      <c r="AD195" s="726"/>
      <c r="AE195" s="726"/>
      <c r="AF195" s="727"/>
      <c r="AG195" s="727"/>
      <c r="AH195" s="727"/>
      <c r="AI195" s="727"/>
      <c r="AJ195" s="727"/>
      <c r="AK195" s="727"/>
      <c r="AL195" s="727"/>
      <c r="AM195" s="727"/>
      <c r="AN195" s="727"/>
    </row>
    <row r="196" spans="1:40" s="731" customFormat="1" ht="47.25">
      <c r="A196" s="709">
        <v>178</v>
      </c>
      <c r="B196" s="542">
        <v>7000016906</v>
      </c>
      <c r="C196" s="542">
        <v>640</v>
      </c>
      <c r="D196" s="542">
        <v>1670</v>
      </c>
      <c r="E196" s="542">
        <v>170</v>
      </c>
      <c r="F196" s="542" t="s">
        <v>756</v>
      </c>
      <c r="G196" s="542">
        <v>100001737</v>
      </c>
      <c r="H196" s="542">
        <v>995462</v>
      </c>
      <c r="I196" s="543"/>
      <c r="J196" s="542">
        <v>18</v>
      </c>
      <c r="K196" s="541"/>
      <c r="L196" s="540" t="s">
        <v>576</v>
      </c>
      <c r="M196" s="542" t="s">
        <v>480</v>
      </c>
      <c r="N196" s="542">
        <v>20</v>
      </c>
      <c r="O196" s="717"/>
      <c r="P196" s="539" t="str">
        <f t="shared" si="56"/>
        <v>INCLUDED</v>
      </c>
      <c r="Q196" s="723">
        <f t="shared" si="57"/>
        <v>0</v>
      </c>
      <c r="R196" s="446">
        <f t="shared" si="58"/>
        <v>0</v>
      </c>
      <c r="S196" s="612">
        <f>Discount!$J$36</f>
        <v>0</v>
      </c>
      <c r="T196" s="446">
        <f t="shared" si="59"/>
        <v>0</v>
      </c>
      <c r="U196" s="447">
        <f t="shared" si="60"/>
        <v>0</v>
      </c>
      <c r="V196" s="724">
        <f t="shared" si="61"/>
        <v>0</v>
      </c>
      <c r="W196" s="857">
        <f t="shared" si="62"/>
        <v>0</v>
      </c>
      <c r="X196" s="724">
        <f t="shared" si="63"/>
        <v>0</v>
      </c>
      <c r="Y196" s="725">
        <f t="shared" si="64"/>
        <v>0.18</v>
      </c>
      <c r="Z196" s="724">
        <f t="shared" si="65"/>
        <v>0</v>
      </c>
      <c r="AA196" s="725"/>
      <c r="AB196" s="726"/>
      <c r="AC196" s="726"/>
      <c r="AD196" s="726"/>
      <c r="AE196" s="726"/>
      <c r="AF196" s="727"/>
      <c r="AG196" s="727"/>
      <c r="AH196" s="727"/>
      <c r="AI196" s="727"/>
      <c r="AJ196" s="727"/>
      <c r="AK196" s="727"/>
      <c r="AL196" s="727"/>
      <c r="AM196" s="727"/>
      <c r="AN196" s="727"/>
    </row>
    <row r="197" spans="1:40" s="731" customFormat="1" ht="78.75">
      <c r="A197" s="709">
        <v>179</v>
      </c>
      <c r="B197" s="542">
        <v>7000016906</v>
      </c>
      <c r="C197" s="542">
        <v>640</v>
      </c>
      <c r="D197" s="542">
        <v>1670</v>
      </c>
      <c r="E197" s="542">
        <v>180</v>
      </c>
      <c r="F197" s="542" t="s">
        <v>756</v>
      </c>
      <c r="G197" s="542">
        <v>100003437</v>
      </c>
      <c r="H197" s="542">
        <v>995454</v>
      </c>
      <c r="I197" s="543"/>
      <c r="J197" s="542">
        <v>18</v>
      </c>
      <c r="K197" s="541"/>
      <c r="L197" s="540" t="s">
        <v>637</v>
      </c>
      <c r="M197" s="542" t="s">
        <v>573</v>
      </c>
      <c r="N197" s="542">
        <v>41</v>
      </c>
      <c r="O197" s="717"/>
      <c r="P197" s="539" t="str">
        <f t="shared" si="56"/>
        <v>INCLUDED</v>
      </c>
      <c r="Q197" s="723">
        <f t="shared" si="57"/>
        <v>0</v>
      </c>
      <c r="R197" s="446">
        <f t="shared" si="58"/>
        <v>0</v>
      </c>
      <c r="S197" s="612">
        <f>Discount!$J$36</f>
        <v>0</v>
      </c>
      <c r="T197" s="446">
        <f t="shared" si="59"/>
        <v>0</v>
      </c>
      <c r="U197" s="447">
        <f t="shared" si="60"/>
        <v>0</v>
      </c>
      <c r="V197" s="724">
        <f t="shared" si="61"/>
        <v>0</v>
      </c>
      <c r="W197" s="857">
        <f t="shared" si="62"/>
        <v>0</v>
      </c>
      <c r="X197" s="724">
        <f t="shared" si="63"/>
        <v>0</v>
      </c>
      <c r="Y197" s="725">
        <f t="shared" si="64"/>
        <v>0.18</v>
      </c>
      <c r="Z197" s="724">
        <f t="shared" si="65"/>
        <v>0</v>
      </c>
      <c r="AA197" s="725"/>
      <c r="AB197" s="726"/>
      <c r="AC197" s="726"/>
      <c r="AD197" s="726"/>
      <c r="AE197" s="726"/>
      <c r="AF197" s="727"/>
      <c r="AG197" s="727"/>
      <c r="AH197" s="727"/>
      <c r="AI197" s="727"/>
      <c r="AJ197" s="727"/>
      <c r="AK197" s="727"/>
      <c r="AL197" s="727"/>
      <c r="AM197" s="727"/>
      <c r="AN197" s="727"/>
    </row>
    <row r="198" spans="1:40" s="731" customFormat="1" ht="283.5">
      <c r="A198" s="709">
        <v>180</v>
      </c>
      <c r="B198" s="542">
        <v>7000016906</v>
      </c>
      <c r="C198" s="542">
        <v>640</v>
      </c>
      <c r="D198" s="542">
        <v>1670</v>
      </c>
      <c r="E198" s="542">
        <v>190</v>
      </c>
      <c r="F198" s="542" t="s">
        <v>756</v>
      </c>
      <c r="G198" s="542">
        <v>100002911</v>
      </c>
      <c r="H198" s="542">
        <v>995432</v>
      </c>
      <c r="I198" s="543"/>
      <c r="J198" s="542">
        <v>18</v>
      </c>
      <c r="K198" s="541"/>
      <c r="L198" s="540" t="s">
        <v>634</v>
      </c>
      <c r="M198" s="542" t="s">
        <v>479</v>
      </c>
      <c r="N198" s="542">
        <v>3000</v>
      </c>
      <c r="O198" s="717"/>
      <c r="P198" s="539" t="str">
        <f t="shared" si="56"/>
        <v>INCLUDED</v>
      </c>
      <c r="Q198" s="723">
        <f t="shared" si="57"/>
        <v>0</v>
      </c>
      <c r="R198" s="446">
        <f t="shared" si="58"/>
        <v>0</v>
      </c>
      <c r="S198" s="612">
        <f>Discount!$J$36</f>
        <v>0</v>
      </c>
      <c r="T198" s="446">
        <f t="shared" si="59"/>
        <v>0</v>
      </c>
      <c r="U198" s="447">
        <f t="shared" si="60"/>
        <v>0</v>
      </c>
      <c r="V198" s="724">
        <f t="shared" si="61"/>
        <v>0</v>
      </c>
      <c r="W198" s="857">
        <f t="shared" si="62"/>
        <v>0</v>
      </c>
      <c r="X198" s="724">
        <f t="shared" si="63"/>
        <v>0</v>
      </c>
      <c r="Y198" s="725">
        <f t="shared" si="64"/>
        <v>0.18</v>
      </c>
      <c r="Z198" s="724">
        <f t="shared" si="65"/>
        <v>0</v>
      </c>
      <c r="AA198" s="725"/>
      <c r="AB198" s="726"/>
      <c r="AC198" s="726"/>
      <c r="AD198" s="726"/>
      <c r="AE198" s="726"/>
      <c r="AF198" s="727"/>
      <c r="AG198" s="727"/>
      <c r="AH198" s="727"/>
      <c r="AI198" s="727"/>
      <c r="AJ198" s="727"/>
      <c r="AK198" s="727"/>
      <c r="AL198" s="727"/>
      <c r="AM198" s="727"/>
      <c r="AN198" s="727"/>
    </row>
    <row r="199" spans="1:40" s="731" customFormat="1" ht="126">
      <c r="A199" s="709">
        <v>181</v>
      </c>
      <c r="B199" s="542">
        <v>7000016906</v>
      </c>
      <c r="C199" s="542">
        <v>640</v>
      </c>
      <c r="D199" s="542">
        <v>1670</v>
      </c>
      <c r="E199" s="542">
        <v>200</v>
      </c>
      <c r="F199" s="542" t="s">
        <v>756</v>
      </c>
      <c r="G199" s="542">
        <v>100002583</v>
      </c>
      <c r="H199" s="542">
        <v>995432</v>
      </c>
      <c r="I199" s="543"/>
      <c r="J199" s="542">
        <v>18</v>
      </c>
      <c r="K199" s="541"/>
      <c r="L199" s="540" t="s">
        <v>635</v>
      </c>
      <c r="M199" s="542" t="s">
        <v>479</v>
      </c>
      <c r="N199" s="542">
        <v>3000</v>
      </c>
      <c r="O199" s="717"/>
      <c r="P199" s="539" t="str">
        <f t="shared" si="56"/>
        <v>INCLUDED</v>
      </c>
      <c r="Q199" s="723">
        <f t="shared" si="57"/>
        <v>0</v>
      </c>
      <c r="R199" s="446">
        <f t="shared" si="58"/>
        <v>0</v>
      </c>
      <c r="S199" s="612">
        <f>Discount!$J$36</f>
        <v>0</v>
      </c>
      <c r="T199" s="446">
        <f t="shared" si="59"/>
        <v>0</v>
      </c>
      <c r="U199" s="447">
        <f t="shared" si="60"/>
        <v>0</v>
      </c>
      <c r="V199" s="724">
        <f t="shared" si="61"/>
        <v>0</v>
      </c>
      <c r="W199" s="857">
        <f t="shared" si="62"/>
        <v>0</v>
      </c>
      <c r="X199" s="724">
        <f t="shared" si="63"/>
        <v>0</v>
      </c>
      <c r="Y199" s="725">
        <f t="shared" si="64"/>
        <v>0.18</v>
      </c>
      <c r="Z199" s="724">
        <f t="shared" si="65"/>
        <v>0</v>
      </c>
      <c r="AA199" s="725"/>
      <c r="AB199" s="726"/>
      <c r="AC199" s="726"/>
      <c r="AD199" s="726"/>
      <c r="AE199" s="726"/>
      <c r="AF199" s="727"/>
      <c r="AG199" s="727"/>
      <c r="AH199" s="727"/>
      <c r="AI199" s="727"/>
      <c r="AJ199" s="727"/>
      <c r="AK199" s="727"/>
      <c r="AL199" s="727"/>
      <c r="AM199" s="727"/>
      <c r="AN199" s="727"/>
    </row>
    <row r="200" spans="1:40" s="731" customFormat="1" ht="31.5">
      <c r="A200" s="709">
        <v>182</v>
      </c>
      <c r="B200" s="542">
        <v>7000016906</v>
      </c>
      <c r="C200" s="542">
        <v>640</v>
      </c>
      <c r="D200" s="542">
        <v>1670</v>
      </c>
      <c r="E200" s="542">
        <v>210</v>
      </c>
      <c r="F200" s="542" t="s">
        <v>756</v>
      </c>
      <c r="G200" s="542">
        <v>100001433</v>
      </c>
      <c r="H200" s="542">
        <v>995435</v>
      </c>
      <c r="I200" s="543"/>
      <c r="J200" s="542">
        <v>18</v>
      </c>
      <c r="K200" s="541"/>
      <c r="L200" s="540" t="s">
        <v>821</v>
      </c>
      <c r="M200" s="542" t="s">
        <v>607</v>
      </c>
      <c r="N200" s="542">
        <v>1</v>
      </c>
      <c r="O200" s="717"/>
      <c r="P200" s="539" t="str">
        <f t="shared" si="56"/>
        <v>INCLUDED</v>
      </c>
      <c r="Q200" s="723">
        <f t="shared" si="57"/>
        <v>0</v>
      </c>
      <c r="R200" s="446">
        <f t="shared" si="58"/>
        <v>0</v>
      </c>
      <c r="S200" s="612">
        <f>Discount!$J$36</f>
        <v>0</v>
      </c>
      <c r="T200" s="446">
        <f t="shared" si="59"/>
        <v>0</v>
      </c>
      <c r="U200" s="447">
        <f t="shared" si="60"/>
        <v>0</v>
      </c>
      <c r="V200" s="724">
        <f t="shared" si="61"/>
        <v>0</v>
      </c>
      <c r="W200" s="857">
        <f t="shared" si="62"/>
        <v>0</v>
      </c>
      <c r="X200" s="724">
        <f t="shared" si="63"/>
        <v>0</v>
      </c>
      <c r="Y200" s="725">
        <f t="shared" si="64"/>
        <v>0.18</v>
      </c>
      <c r="Z200" s="724">
        <f t="shared" si="65"/>
        <v>0</v>
      </c>
      <c r="AA200" s="725"/>
      <c r="AB200" s="726"/>
      <c r="AC200" s="726"/>
      <c r="AD200" s="726"/>
      <c r="AE200" s="726"/>
      <c r="AF200" s="727"/>
      <c r="AG200" s="727"/>
      <c r="AH200" s="727"/>
      <c r="AI200" s="727"/>
      <c r="AJ200" s="727"/>
      <c r="AK200" s="727"/>
      <c r="AL200" s="727"/>
      <c r="AM200" s="727"/>
      <c r="AN200" s="727"/>
    </row>
    <row r="201" spans="1:40" s="731" customFormat="1" ht="31.5">
      <c r="A201" s="709">
        <v>183</v>
      </c>
      <c r="B201" s="542">
        <v>7000016906</v>
      </c>
      <c r="C201" s="542">
        <v>670</v>
      </c>
      <c r="D201" s="542">
        <v>1710</v>
      </c>
      <c r="E201" s="542">
        <v>10</v>
      </c>
      <c r="F201" s="542" t="s">
        <v>745</v>
      </c>
      <c r="G201" s="542">
        <v>100000352</v>
      </c>
      <c r="H201" s="542">
        <v>998731</v>
      </c>
      <c r="I201" s="543"/>
      <c r="J201" s="542">
        <v>18</v>
      </c>
      <c r="K201" s="541"/>
      <c r="L201" s="540" t="s">
        <v>822</v>
      </c>
      <c r="M201" s="542" t="s">
        <v>300</v>
      </c>
      <c r="N201" s="542">
        <v>2</v>
      </c>
      <c r="O201" s="717"/>
      <c r="P201" s="539" t="str">
        <f t="shared" si="56"/>
        <v>INCLUDED</v>
      </c>
      <c r="Q201" s="723">
        <f t="shared" si="57"/>
        <v>0</v>
      </c>
      <c r="R201" s="446">
        <f t="shared" si="58"/>
        <v>0</v>
      </c>
      <c r="S201" s="612">
        <f>Discount!$J$36</f>
        <v>0</v>
      </c>
      <c r="T201" s="446">
        <f t="shared" si="59"/>
        <v>0</v>
      </c>
      <c r="U201" s="447">
        <f t="shared" si="60"/>
        <v>0</v>
      </c>
      <c r="V201" s="724">
        <f t="shared" si="61"/>
        <v>0</v>
      </c>
      <c r="W201" s="857">
        <f t="shared" si="62"/>
        <v>0</v>
      </c>
      <c r="X201" s="724">
        <f t="shared" si="63"/>
        <v>0</v>
      </c>
      <c r="Y201" s="725">
        <f t="shared" si="64"/>
        <v>0.18</v>
      </c>
      <c r="Z201" s="724">
        <f t="shared" si="65"/>
        <v>0</v>
      </c>
      <c r="AA201" s="725"/>
      <c r="AB201" s="726"/>
      <c r="AC201" s="726"/>
      <c r="AD201" s="726"/>
      <c r="AE201" s="726"/>
      <c r="AF201" s="727"/>
      <c r="AG201" s="727"/>
      <c r="AH201" s="727"/>
      <c r="AI201" s="727"/>
      <c r="AJ201" s="727"/>
      <c r="AK201" s="727"/>
      <c r="AL201" s="727"/>
      <c r="AM201" s="727"/>
      <c r="AN201" s="727"/>
    </row>
    <row r="202" spans="1:40" s="731" customFormat="1" ht="31.5">
      <c r="A202" s="709">
        <v>184</v>
      </c>
      <c r="B202" s="542">
        <v>7000016906</v>
      </c>
      <c r="C202" s="542">
        <v>670</v>
      </c>
      <c r="D202" s="542">
        <v>1710</v>
      </c>
      <c r="E202" s="542">
        <v>20</v>
      </c>
      <c r="F202" s="542" t="s">
        <v>745</v>
      </c>
      <c r="G202" s="542">
        <v>100000360</v>
      </c>
      <c r="H202" s="542">
        <v>998731</v>
      </c>
      <c r="I202" s="543"/>
      <c r="J202" s="542">
        <v>18</v>
      </c>
      <c r="K202" s="541"/>
      <c r="L202" s="540" t="s">
        <v>755</v>
      </c>
      <c r="M202" s="542" t="s">
        <v>300</v>
      </c>
      <c r="N202" s="542">
        <v>1</v>
      </c>
      <c r="O202" s="717"/>
      <c r="P202" s="539" t="str">
        <f t="shared" si="56"/>
        <v>INCLUDED</v>
      </c>
      <c r="Q202" s="723">
        <f t="shared" si="57"/>
        <v>0</v>
      </c>
      <c r="R202" s="446">
        <f t="shared" si="58"/>
        <v>0</v>
      </c>
      <c r="S202" s="612">
        <f>Discount!$J$36</f>
        <v>0</v>
      </c>
      <c r="T202" s="446">
        <f t="shared" si="59"/>
        <v>0</v>
      </c>
      <c r="U202" s="447">
        <f t="shared" si="60"/>
        <v>0</v>
      </c>
      <c r="V202" s="724">
        <f t="shared" si="61"/>
        <v>0</v>
      </c>
      <c r="W202" s="857">
        <f t="shared" si="62"/>
        <v>0</v>
      </c>
      <c r="X202" s="724">
        <f t="shared" si="63"/>
        <v>0</v>
      </c>
      <c r="Y202" s="725">
        <f t="shared" si="64"/>
        <v>0.18</v>
      </c>
      <c r="Z202" s="724">
        <f t="shared" si="65"/>
        <v>0</v>
      </c>
      <c r="AA202" s="725"/>
      <c r="AB202" s="726"/>
      <c r="AC202" s="726"/>
      <c r="AD202" s="726"/>
      <c r="AE202" s="726"/>
      <c r="AF202" s="727"/>
      <c r="AG202" s="727"/>
      <c r="AH202" s="727"/>
      <c r="AI202" s="727"/>
      <c r="AJ202" s="727"/>
      <c r="AK202" s="727"/>
      <c r="AL202" s="727"/>
      <c r="AM202" s="727"/>
      <c r="AN202" s="727"/>
    </row>
    <row r="203" spans="1:40" s="731" customFormat="1" ht="94.5">
      <c r="A203" s="709">
        <v>185</v>
      </c>
      <c r="B203" s="542">
        <v>7000016906</v>
      </c>
      <c r="C203" s="542">
        <v>1070</v>
      </c>
      <c r="D203" s="542">
        <v>20</v>
      </c>
      <c r="E203" s="542">
        <v>10</v>
      </c>
      <c r="F203" s="542" t="s">
        <v>811</v>
      </c>
      <c r="G203" s="542">
        <v>100002812</v>
      </c>
      <c r="H203" s="542">
        <v>998734</v>
      </c>
      <c r="I203" s="543"/>
      <c r="J203" s="542">
        <v>18</v>
      </c>
      <c r="K203" s="541"/>
      <c r="L203" s="540" t="s">
        <v>638</v>
      </c>
      <c r="M203" s="542" t="s">
        <v>299</v>
      </c>
      <c r="N203" s="542">
        <v>1</v>
      </c>
      <c r="O203" s="717"/>
      <c r="P203" s="539" t="str">
        <f t="shared" si="56"/>
        <v>INCLUDED</v>
      </c>
      <c r="Q203" s="723">
        <f t="shared" si="57"/>
        <v>0</v>
      </c>
      <c r="R203" s="446">
        <f t="shared" si="58"/>
        <v>0</v>
      </c>
      <c r="S203" s="612">
        <f>Discount!$J$36</f>
        <v>0</v>
      </c>
      <c r="T203" s="446">
        <f t="shared" si="59"/>
        <v>0</v>
      </c>
      <c r="U203" s="447">
        <f t="shared" si="60"/>
        <v>0</v>
      </c>
      <c r="V203" s="724">
        <f t="shared" si="61"/>
        <v>0</v>
      </c>
      <c r="W203" s="857">
        <f t="shared" si="62"/>
        <v>0</v>
      </c>
      <c r="X203" s="724">
        <f t="shared" si="63"/>
        <v>0</v>
      </c>
      <c r="Y203" s="725">
        <f t="shared" si="64"/>
        <v>0.18</v>
      </c>
      <c r="Z203" s="724">
        <f t="shared" si="65"/>
        <v>0</v>
      </c>
      <c r="AA203" s="725"/>
      <c r="AB203" s="726"/>
      <c r="AC203" s="726"/>
      <c r="AD203" s="726"/>
      <c r="AE203" s="726"/>
      <c r="AF203" s="727"/>
      <c r="AG203" s="727"/>
      <c r="AH203" s="727"/>
      <c r="AI203" s="727"/>
      <c r="AJ203" s="727"/>
      <c r="AK203" s="727"/>
      <c r="AL203" s="727"/>
      <c r="AM203" s="727"/>
      <c r="AN203" s="727"/>
    </row>
    <row r="204" spans="1:40" s="731" customFormat="1" ht="31.5">
      <c r="A204" s="709">
        <v>186</v>
      </c>
      <c r="B204" s="542">
        <v>7000016906</v>
      </c>
      <c r="C204" s="542">
        <v>1070</v>
      </c>
      <c r="D204" s="542">
        <v>20</v>
      </c>
      <c r="E204" s="542">
        <v>20</v>
      </c>
      <c r="F204" s="542" t="s">
        <v>811</v>
      </c>
      <c r="G204" s="542">
        <v>170000430</v>
      </c>
      <c r="H204" s="542">
        <v>998734</v>
      </c>
      <c r="I204" s="543"/>
      <c r="J204" s="542">
        <v>18</v>
      </c>
      <c r="K204" s="541"/>
      <c r="L204" s="540" t="s">
        <v>823</v>
      </c>
      <c r="M204" s="542" t="s">
        <v>299</v>
      </c>
      <c r="N204" s="542">
        <v>4</v>
      </c>
      <c r="O204" s="717"/>
      <c r="P204" s="539" t="str">
        <f t="shared" si="56"/>
        <v>INCLUDED</v>
      </c>
      <c r="Q204" s="723">
        <f t="shared" si="57"/>
        <v>0</v>
      </c>
      <c r="R204" s="446">
        <f t="shared" si="58"/>
        <v>0</v>
      </c>
      <c r="S204" s="612">
        <f>Discount!$J$36</f>
        <v>0</v>
      </c>
      <c r="T204" s="446">
        <f t="shared" si="59"/>
        <v>0</v>
      </c>
      <c r="U204" s="447">
        <f t="shared" si="60"/>
        <v>0</v>
      </c>
      <c r="V204" s="724">
        <f t="shared" si="61"/>
        <v>0</v>
      </c>
      <c r="W204" s="857">
        <f t="shared" si="62"/>
        <v>0</v>
      </c>
      <c r="X204" s="724">
        <f t="shared" si="63"/>
        <v>0</v>
      </c>
      <c r="Y204" s="725">
        <f t="shared" si="64"/>
        <v>0.18</v>
      </c>
      <c r="Z204" s="724">
        <f t="shared" si="65"/>
        <v>0</v>
      </c>
      <c r="AA204" s="725"/>
      <c r="AB204" s="726"/>
      <c r="AC204" s="726"/>
      <c r="AD204" s="726"/>
      <c r="AE204" s="726"/>
      <c r="AF204" s="727"/>
      <c r="AG204" s="727"/>
      <c r="AH204" s="727"/>
      <c r="AI204" s="727"/>
      <c r="AJ204" s="727"/>
      <c r="AK204" s="727"/>
      <c r="AL204" s="727"/>
      <c r="AM204" s="727"/>
      <c r="AN204" s="727"/>
    </row>
    <row r="205" spans="1:40" s="731" customFormat="1" ht="31.5">
      <c r="A205" s="709">
        <v>187</v>
      </c>
      <c r="B205" s="542">
        <v>7000016906</v>
      </c>
      <c r="C205" s="542">
        <v>1070</v>
      </c>
      <c r="D205" s="542">
        <v>20</v>
      </c>
      <c r="E205" s="542">
        <v>30</v>
      </c>
      <c r="F205" s="542" t="s">
        <v>811</v>
      </c>
      <c r="G205" s="542">
        <v>170000434</v>
      </c>
      <c r="H205" s="542">
        <v>998734</v>
      </c>
      <c r="I205" s="543"/>
      <c r="J205" s="542">
        <v>18</v>
      </c>
      <c r="K205" s="541"/>
      <c r="L205" s="540" t="s">
        <v>640</v>
      </c>
      <c r="M205" s="542" t="s">
        <v>299</v>
      </c>
      <c r="N205" s="542">
        <v>2</v>
      </c>
      <c r="O205" s="717"/>
      <c r="P205" s="539" t="str">
        <f t="shared" ref="P205:P210" si="86">IF(O205=0, "INCLUDED", IF(ISERROR(N205*O205), O205, N205*O205))</f>
        <v>INCLUDED</v>
      </c>
      <c r="Q205" s="723">
        <f t="shared" ref="Q205:Q210" si="87">IF(P205="Included",0,P205)</f>
        <v>0</v>
      </c>
      <c r="R205" s="446">
        <f t="shared" ref="R205:R210" si="88">IF( K205="",J205*(IF(P205="Included",0,P205))/100,K205*(IF(P205="Included",0,P205)))</f>
        <v>0</v>
      </c>
      <c r="S205" s="612">
        <f>Discount!$J$36</f>
        <v>0</v>
      </c>
      <c r="T205" s="446">
        <f t="shared" ref="T205:T210" si="89">S205*Q205</f>
        <v>0</v>
      </c>
      <c r="U205" s="447">
        <f t="shared" ref="U205:U210" si="90">IF(K205="",J205*T205/100,K205*T205)</f>
        <v>0</v>
      </c>
      <c r="V205" s="724">
        <f t="shared" ref="V205:V210" si="91">O205*N205</f>
        <v>0</v>
      </c>
      <c r="W205" s="857">
        <f t="shared" ref="W205:W210" si="92">ROUND(O205,2)</f>
        <v>0</v>
      </c>
      <c r="X205" s="724">
        <f t="shared" ref="X205:X210" si="93">N205*W205</f>
        <v>0</v>
      </c>
      <c r="Y205" s="725">
        <f t="shared" ref="Y205:Y210" si="94">IF(K205="",J205/100,K205)</f>
        <v>0.18</v>
      </c>
      <c r="Z205" s="724">
        <f t="shared" ref="Z205:Z210" si="95">X205*Y205</f>
        <v>0</v>
      </c>
      <c r="AA205" s="725"/>
      <c r="AB205" s="726"/>
      <c r="AC205" s="726"/>
      <c r="AD205" s="726"/>
      <c r="AE205" s="726"/>
      <c r="AF205" s="727"/>
      <c r="AG205" s="727"/>
      <c r="AH205" s="727"/>
      <c r="AI205" s="727"/>
      <c r="AJ205" s="727"/>
      <c r="AK205" s="727"/>
      <c r="AL205" s="727"/>
      <c r="AM205" s="727"/>
      <c r="AN205" s="727"/>
    </row>
    <row r="206" spans="1:40" s="731" customFormat="1" ht="31.5">
      <c r="A206" s="709">
        <v>188</v>
      </c>
      <c r="B206" s="542">
        <v>7000016906</v>
      </c>
      <c r="C206" s="542">
        <v>1070</v>
      </c>
      <c r="D206" s="542">
        <v>20</v>
      </c>
      <c r="E206" s="542">
        <v>40</v>
      </c>
      <c r="F206" s="542" t="s">
        <v>811</v>
      </c>
      <c r="G206" s="542">
        <v>100002825</v>
      </c>
      <c r="H206" s="542">
        <v>998734</v>
      </c>
      <c r="I206" s="543"/>
      <c r="J206" s="542">
        <v>18</v>
      </c>
      <c r="K206" s="541"/>
      <c r="L206" s="540" t="s">
        <v>641</v>
      </c>
      <c r="M206" s="542" t="s">
        <v>300</v>
      </c>
      <c r="N206" s="542">
        <v>2</v>
      </c>
      <c r="O206" s="717"/>
      <c r="P206" s="539" t="str">
        <f t="shared" si="86"/>
        <v>INCLUDED</v>
      </c>
      <c r="Q206" s="723">
        <f t="shared" si="87"/>
        <v>0</v>
      </c>
      <c r="R206" s="446">
        <f t="shared" si="88"/>
        <v>0</v>
      </c>
      <c r="S206" s="612">
        <f>Discount!$J$36</f>
        <v>0</v>
      </c>
      <c r="T206" s="446">
        <f t="shared" si="89"/>
        <v>0</v>
      </c>
      <c r="U206" s="447">
        <f t="shared" si="90"/>
        <v>0</v>
      </c>
      <c r="V206" s="724">
        <f t="shared" si="91"/>
        <v>0</v>
      </c>
      <c r="W206" s="857">
        <f t="shared" si="92"/>
        <v>0</v>
      </c>
      <c r="X206" s="724">
        <f t="shared" si="93"/>
        <v>0</v>
      </c>
      <c r="Y206" s="725">
        <f t="shared" si="94"/>
        <v>0.18</v>
      </c>
      <c r="Z206" s="724">
        <f t="shared" si="95"/>
        <v>0</v>
      </c>
      <c r="AA206" s="725"/>
      <c r="AB206" s="726"/>
      <c r="AC206" s="726"/>
      <c r="AD206" s="726"/>
      <c r="AE206" s="726"/>
      <c r="AF206" s="727"/>
      <c r="AG206" s="727"/>
      <c r="AH206" s="727"/>
      <c r="AI206" s="727"/>
      <c r="AJ206" s="727"/>
      <c r="AK206" s="727"/>
      <c r="AL206" s="727"/>
      <c r="AM206" s="727"/>
      <c r="AN206" s="727"/>
    </row>
    <row r="207" spans="1:40" s="731" customFormat="1" ht="31.5">
      <c r="A207" s="709">
        <v>189</v>
      </c>
      <c r="B207" s="542">
        <v>7000016906</v>
      </c>
      <c r="C207" s="542">
        <v>1070</v>
      </c>
      <c r="D207" s="542">
        <v>20</v>
      </c>
      <c r="E207" s="542">
        <v>50</v>
      </c>
      <c r="F207" s="542" t="s">
        <v>811</v>
      </c>
      <c r="G207" s="542">
        <v>170000550</v>
      </c>
      <c r="H207" s="542">
        <v>998336</v>
      </c>
      <c r="I207" s="543"/>
      <c r="J207" s="542">
        <v>18</v>
      </c>
      <c r="K207" s="541"/>
      <c r="L207" s="540" t="s">
        <v>642</v>
      </c>
      <c r="M207" s="542" t="s">
        <v>299</v>
      </c>
      <c r="N207" s="542">
        <v>2</v>
      </c>
      <c r="O207" s="717"/>
      <c r="P207" s="539" t="str">
        <f t="shared" si="86"/>
        <v>INCLUDED</v>
      </c>
      <c r="Q207" s="723">
        <f t="shared" si="87"/>
        <v>0</v>
      </c>
      <c r="R207" s="446">
        <f t="shared" si="88"/>
        <v>0</v>
      </c>
      <c r="S207" s="612">
        <f>Discount!$J$36</f>
        <v>0</v>
      </c>
      <c r="T207" s="446">
        <f t="shared" si="89"/>
        <v>0</v>
      </c>
      <c r="U207" s="447">
        <f t="shared" si="90"/>
        <v>0</v>
      </c>
      <c r="V207" s="724">
        <f t="shared" si="91"/>
        <v>0</v>
      </c>
      <c r="W207" s="857">
        <f t="shared" si="92"/>
        <v>0</v>
      </c>
      <c r="X207" s="724">
        <f t="shared" si="93"/>
        <v>0</v>
      </c>
      <c r="Y207" s="725">
        <f t="shared" si="94"/>
        <v>0.18</v>
      </c>
      <c r="Z207" s="724">
        <f t="shared" si="95"/>
        <v>0</v>
      </c>
      <c r="AA207" s="725"/>
      <c r="AB207" s="726"/>
      <c r="AC207" s="726"/>
      <c r="AD207" s="726"/>
      <c r="AE207" s="726"/>
      <c r="AF207" s="727"/>
      <c r="AG207" s="727"/>
      <c r="AH207" s="727"/>
      <c r="AI207" s="727"/>
      <c r="AJ207" s="727"/>
      <c r="AK207" s="727"/>
      <c r="AL207" s="727"/>
      <c r="AM207" s="727"/>
      <c r="AN207" s="727"/>
    </row>
    <row r="208" spans="1:40" s="731" customFormat="1" ht="31.5">
      <c r="A208" s="709">
        <v>190</v>
      </c>
      <c r="B208" s="542">
        <v>7000016906</v>
      </c>
      <c r="C208" s="542">
        <v>1070</v>
      </c>
      <c r="D208" s="542">
        <v>20</v>
      </c>
      <c r="E208" s="542">
        <v>60</v>
      </c>
      <c r="F208" s="542" t="s">
        <v>811</v>
      </c>
      <c r="G208" s="542">
        <v>100002829</v>
      </c>
      <c r="H208" s="542">
        <v>998734</v>
      </c>
      <c r="I208" s="543"/>
      <c r="J208" s="542">
        <v>18</v>
      </c>
      <c r="K208" s="541"/>
      <c r="L208" s="540" t="s">
        <v>643</v>
      </c>
      <c r="M208" s="542" t="s">
        <v>300</v>
      </c>
      <c r="N208" s="542">
        <v>1</v>
      </c>
      <c r="O208" s="717"/>
      <c r="P208" s="539" t="str">
        <f t="shared" si="86"/>
        <v>INCLUDED</v>
      </c>
      <c r="Q208" s="723">
        <f t="shared" si="87"/>
        <v>0</v>
      </c>
      <c r="R208" s="446">
        <f t="shared" si="88"/>
        <v>0</v>
      </c>
      <c r="S208" s="612">
        <f>Discount!$J$36</f>
        <v>0</v>
      </c>
      <c r="T208" s="446">
        <f t="shared" si="89"/>
        <v>0</v>
      </c>
      <c r="U208" s="447">
        <f t="shared" si="90"/>
        <v>0</v>
      </c>
      <c r="V208" s="724">
        <f t="shared" si="91"/>
        <v>0</v>
      </c>
      <c r="W208" s="857">
        <f t="shared" si="92"/>
        <v>0</v>
      </c>
      <c r="X208" s="724">
        <f t="shared" si="93"/>
        <v>0</v>
      </c>
      <c r="Y208" s="725">
        <f t="shared" si="94"/>
        <v>0.18</v>
      </c>
      <c r="Z208" s="724">
        <f t="shared" si="95"/>
        <v>0</v>
      </c>
      <c r="AA208" s="725"/>
      <c r="AB208" s="726"/>
      <c r="AC208" s="726"/>
      <c r="AD208" s="726"/>
      <c r="AE208" s="726"/>
      <c r="AF208" s="727"/>
      <c r="AG208" s="727"/>
      <c r="AH208" s="727"/>
      <c r="AI208" s="727"/>
      <c r="AJ208" s="727"/>
      <c r="AK208" s="727"/>
      <c r="AL208" s="727"/>
      <c r="AM208" s="727"/>
      <c r="AN208" s="727"/>
    </row>
    <row r="209" spans="1:40" s="731" customFormat="1" ht="31.5">
      <c r="A209" s="709">
        <v>191</v>
      </c>
      <c r="B209" s="542">
        <v>7000016906</v>
      </c>
      <c r="C209" s="542">
        <v>1070</v>
      </c>
      <c r="D209" s="542">
        <v>20</v>
      </c>
      <c r="E209" s="542">
        <v>70</v>
      </c>
      <c r="F209" s="542" t="s">
        <v>811</v>
      </c>
      <c r="G209" s="542">
        <v>170000375</v>
      </c>
      <c r="H209" s="542">
        <v>998734</v>
      </c>
      <c r="I209" s="543"/>
      <c r="J209" s="542">
        <v>18</v>
      </c>
      <c r="K209" s="541"/>
      <c r="L209" s="540" t="s">
        <v>644</v>
      </c>
      <c r="M209" s="542" t="s">
        <v>299</v>
      </c>
      <c r="N209" s="542">
        <v>1</v>
      </c>
      <c r="O209" s="717"/>
      <c r="P209" s="539" t="str">
        <f t="shared" si="86"/>
        <v>INCLUDED</v>
      </c>
      <c r="Q209" s="723">
        <f t="shared" si="87"/>
        <v>0</v>
      </c>
      <c r="R209" s="446">
        <f t="shared" si="88"/>
        <v>0</v>
      </c>
      <c r="S209" s="612">
        <f>Discount!$J$36</f>
        <v>0</v>
      </c>
      <c r="T209" s="446">
        <f t="shared" si="89"/>
        <v>0</v>
      </c>
      <c r="U209" s="447">
        <f t="shared" si="90"/>
        <v>0</v>
      </c>
      <c r="V209" s="724">
        <f t="shared" si="91"/>
        <v>0</v>
      </c>
      <c r="W209" s="857">
        <f t="shared" si="92"/>
        <v>0</v>
      </c>
      <c r="X209" s="724">
        <f t="shared" si="93"/>
        <v>0</v>
      </c>
      <c r="Y209" s="725">
        <f t="shared" si="94"/>
        <v>0.18</v>
      </c>
      <c r="Z209" s="724">
        <f t="shared" si="95"/>
        <v>0</v>
      </c>
      <c r="AA209" s="725"/>
      <c r="AB209" s="726"/>
      <c r="AC209" s="726"/>
      <c r="AD209" s="726"/>
      <c r="AE209" s="726"/>
      <c r="AF209" s="727"/>
      <c r="AG209" s="727"/>
      <c r="AH209" s="727"/>
      <c r="AI209" s="727"/>
      <c r="AJ209" s="727"/>
      <c r="AK209" s="727"/>
      <c r="AL209" s="727"/>
      <c r="AM209" s="727"/>
      <c r="AN209" s="727"/>
    </row>
    <row r="210" spans="1:40" s="731" customFormat="1" ht="31.5">
      <c r="A210" s="709">
        <v>192</v>
      </c>
      <c r="B210" s="542">
        <v>7000016906</v>
      </c>
      <c r="C210" s="542">
        <v>1070</v>
      </c>
      <c r="D210" s="542">
        <v>20</v>
      </c>
      <c r="E210" s="542">
        <v>80</v>
      </c>
      <c r="F210" s="542" t="s">
        <v>811</v>
      </c>
      <c r="G210" s="542">
        <v>170000551</v>
      </c>
      <c r="H210" s="542">
        <v>998336</v>
      </c>
      <c r="I210" s="543"/>
      <c r="J210" s="542">
        <v>18</v>
      </c>
      <c r="K210" s="541"/>
      <c r="L210" s="540" t="s">
        <v>647</v>
      </c>
      <c r="M210" s="542" t="s">
        <v>299</v>
      </c>
      <c r="N210" s="542">
        <v>2</v>
      </c>
      <c r="O210" s="717"/>
      <c r="P210" s="539" t="str">
        <f t="shared" si="86"/>
        <v>INCLUDED</v>
      </c>
      <c r="Q210" s="723">
        <f t="shared" si="87"/>
        <v>0</v>
      </c>
      <c r="R210" s="446">
        <f t="shared" si="88"/>
        <v>0</v>
      </c>
      <c r="S210" s="612">
        <f>Discount!$J$36</f>
        <v>0</v>
      </c>
      <c r="T210" s="446">
        <f t="shared" si="89"/>
        <v>0</v>
      </c>
      <c r="U210" s="447">
        <f t="shared" si="90"/>
        <v>0</v>
      </c>
      <c r="V210" s="724">
        <f t="shared" si="91"/>
        <v>0</v>
      </c>
      <c r="W210" s="857">
        <f t="shared" si="92"/>
        <v>0</v>
      </c>
      <c r="X210" s="724">
        <f t="shared" si="93"/>
        <v>0</v>
      </c>
      <c r="Y210" s="725">
        <f t="shared" si="94"/>
        <v>0.18</v>
      </c>
      <c r="Z210" s="724">
        <f t="shared" si="95"/>
        <v>0</v>
      </c>
      <c r="AA210" s="725"/>
      <c r="AB210" s="726"/>
      <c r="AC210" s="726"/>
      <c r="AD210" s="726"/>
      <c r="AE210" s="726"/>
      <c r="AF210" s="727"/>
      <c r="AG210" s="727"/>
      <c r="AH210" s="727"/>
      <c r="AI210" s="727"/>
      <c r="AJ210" s="727"/>
      <c r="AK210" s="727"/>
      <c r="AL210" s="727"/>
      <c r="AM210" s="727"/>
      <c r="AN210" s="727"/>
    </row>
    <row r="211" spans="1:40" s="731" customFormat="1" ht="47.25">
      <c r="A211" s="709">
        <v>193</v>
      </c>
      <c r="B211" s="542">
        <v>7000016906</v>
      </c>
      <c r="C211" s="542">
        <v>1070</v>
      </c>
      <c r="D211" s="542">
        <v>20</v>
      </c>
      <c r="E211" s="542">
        <v>90</v>
      </c>
      <c r="F211" s="542" t="s">
        <v>811</v>
      </c>
      <c r="G211" s="542">
        <v>100002882</v>
      </c>
      <c r="H211" s="542">
        <v>998336</v>
      </c>
      <c r="I211" s="543"/>
      <c r="J211" s="542">
        <v>18</v>
      </c>
      <c r="K211" s="541"/>
      <c r="L211" s="540" t="s">
        <v>648</v>
      </c>
      <c r="M211" s="542" t="s">
        <v>478</v>
      </c>
      <c r="N211" s="542">
        <v>1</v>
      </c>
      <c r="O211" s="717"/>
      <c r="P211" s="539" t="str">
        <f t="shared" si="56"/>
        <v>INCLUDED</v>
      </c>
      <c r="Q211" s="723">
        <f t="shared" si="57"/>
        <v>0</v>
      </c>
      <c r="R211" s="446">
        <f t="shared" si="58"/>
        <v>0</v>
      </c>
      <c r="S211" s="612">
        <f>Discount!$J$36</f>
        <v>0</v>
      </c>
      <c r="T211" s="446">
        <f t="shared" si="59"/>
        <v>0</v>
      </c>
      <c r="U211" s="447">
        <f t="shared" si="60"/>
        <v>0</v>
      </c>
      <c r="V211" s="724">
        <f t="shared" si="61"/>
        <v>0</v>
      </c>
      <c r="W211" s="857">
        <f t="shared" si="62"/>
        <v>0</v>
      </c>
      <c r="X211" s="724">
        <f t="shared" si="63"/>
        <v>0</v>
      </c>
      <c r="Y211" s="725">
        <f t="shared" si="64"/>
        <v>0.18</v>
      </c>
      <c r="Z211" s="724">
        <f t="shared" si="65"/>
        <v>0</v>
      </c>
      <c r="AA211" s="725"/>
      <c r="AB211" s="726"/>
      <c r="AC211" s="726"/>
      <c r="AD211" s="726"/>
      <c r="AE211" s="726"/>
      <c r="AF211" s="727"/>
      <c r="AG211" s="727"/>
      <c r="AH211" s="727"/>
      <c r="AI211" s="727"/>
      <c r="AJ211" s="727"/>
      <c r="AK211" s="727"/>
      <c r="AL211" s="727"/>
      <c r="AM211" s="727"/>
      <c r="AN211" s="727"/>
    </row>
    <row r="212" spans="1:40" s="731" customFormat="1" ht="47.25">
      <c r="A212" s="709">
        <v>194</v>
      </c>
      <c r="B212" s="542">
        <v>7000016906</v>
      </c>
      <c r="C212" s="542">
        <v>1070</v>
      </c>
      <c r="D212" s="542">
        <v>20</v>
      </c>
      <c r="E212" s="542">
        <v>100</v>
      </c>
      <c r="F212" s="542" t="s">
        <v>811</v>
      </c>
      <c r="G212" s="542">
        <v>170000356</v>
      </c>
      <c r="H212" s="542">
        <v>998336</v>
      </c>
      <c r="I212" s="543"/>
      <c r="J212" s="542">
        <v>18</v>
      </c>
      <c r="K212" s="541"/>
      <c r="L212" s="540" t="s">
        <v>649</v>
      </c>
      <c r="M212" s="542" t="s">
        <v>299</v>
      </c>
      <c r="N212" s="542">
        <v>1</v>
      </c>
      <c r="O212" s="717"/>
      <c r="P212" s="539" t="str">
        <f t="shared" si="56"/>
        <v>INCLUDED</v>
      </c>
      <c r="Q212" s="723">
        <f t="shared" si="57"/>
        <v>0</v>
      </c>
      <c r="R212" s="446">
        <f t="shared" si="58"/>
        <v>0</v>
      </c>
      <c r="S212" s="612">
        <f>Discount!$J$36</f>
        <v>0</v>
      </c>
      <c r="T212" s="446">
        <f t="shared" si="59"/>
        <v>0</v>
      </c>
      <c r="U212" s="447">
        <f t="shared" si="60"/>
        <v>0</v>
      </c>
      <c r="V212" s="724">
        <f t="shared" si="61"/>
        <v>0</v>
      </c>
      <c r="W212" s="857">
        <f t="shared" si="62"/>
        <v>0</v>
      </c>
      <c r="X212" s="724">
        <f t="shared" si="63"/>
        <v>0</v>
      </c>
      <c r="Y212" s="725">
        <f t="shared" si="64"/>
        <v>0.18</v>
      </c>
      <c r="Z212" s="724">
        <f t="shared" si="65"/>
        <v>0</v>
      </c>
      <c r="AA212" s="725"/>
      <c r="AB212" s="726"/>
      <c r="AC212" s="726"/>
      <c r="AD212" s="726"/>
      <c r="AE212" s="726"/>
      <c r="AF212" s="727"/>
      <c r="AG212" s="727"/>
      <c r="AH212" s="727"/>
      <c r="AI212" s="727"/>
      <c r="AJ212" s="727"/>
      <c r="AK212" s="727"/>
      <c r="AL212" s="727"/>
      <c r="AM212" s="727"/>
      <c r="AN212" s="727"/>
    </row>
    <row r="213" spans="1:40" s="731" customFormat="1" ht="31.5">
      <c r="A213" s="709">
        <v>195</v>
      </c>
      <c r="B213" s="542">
        <v>7000016906</v>
      </c>
      <c r="C213" s="542">
        <v>1120</v>
      </c>
      <c r="D213" s="542">
        <v>40</v>
      </c>
      <c r="E213" s="542">
        <v>10</v>
      </c>
      <c r="F213" s="542" t="s">
        <v>747</v>
      </c>
      <c r="G213" s="542">
        <v>170000502</v>
      </c>
      <c r="H213" s="542">
        <v>998713</v>
      </c>
      <c r="I213" s="543"/>
      <c r="J213" s="542">
        <v>18</v>
      </c>
      <c r="K213" s="541"/>
      <c r="L213" s="540" t="s">
        <v>654</v>
      </c>
      <c r="M213" s="542" t="s">
        <v>299</v>
      </c>
      <c r="N213" s="542">
        <v>2</v>
      </c>
      <c r="O213" s="717"/>
      <c r="P213" s="539" t="str">
        <f t="shared" si="46"/>
        <v>INCLUDED</v>
      </c>
      <c r="Q213" s="723">
        <f t="shared" si="47"/>
        <v>0</v>
      </c>
      <c r="R213" s="446">
        <f t="shared" si="48"/>
        <v>0</v>
      </c>
      <c r="S213" s="612">
        <f>Discount!$J$36</f>
        <v>0</v>
      </c>
      <c r="T213" s="446">
        <f t="shared" si="49"/>
        <v>0</v>
      </c>
      <c r="U213" s="447">
        <f t="shared" si="50"/>
        <v>0</v>
      </c>
      <c r="V213" s="724">
        <f t="shared" si="51"/>
        <v>0</v>
      </c>
      <c r="W213" s="857">
        <f t="shared" si="52"/>
        <v>0</v>
      </c>
      <c r="X213" s="724">
        <f t="shared" si="53"/>
        <v>0</v>
      </c>
      <c r="Y213" s="725">
        <f t="shared" si="54"/>
        <v>0.18</v>
      </c>
      <c r="Z213" s="724">
        <f t="shared" si="55"/>
        <v>0</v>
      </c>
      <c r="AA213" s="725"/>
      <c r="AB213" s="726"/>
      <c r="AC213" s="726"/>
      <c r="AD213" s="726"/>
      <c r="AE213" s="726"/>
      <c r="AF213" s="727"/>
      <c r="AG213" s="727"/>
      <c r="AH213" s="727"/>
      <c r="AI213" s="727"/>
      <c r="AJ213" s="727"/>
      <c r="AK213" s="727"/>
      <c r="AL213" s="727"/>
      <c r="AM213" s="727"/>
      <c r="AN213" s="727"/>
    </row>
    <row r="214" spans="1:40" s="731" customFormat="1" ht="31.5">
      <c r="A214" s="709">
        <v>196</v>
      </c>
      <c r="B214" s="542">
        <v>7000016906</v>
      </c>
      <c r="C214" s="542">
        <v>1120</v>
      </c>
      <c r="D214" s="542">
        <v>40</v>
      </c>
      <c r="E214" s="542">
        <v>20</v>
      </c>
      <c r="F214" s="542" t="s">
        <v>747</v>
      </c>
      <c r="G214" s="542">
        <v>170000530</v>
      </c>
      <c r="H214" s="542">
        <v>998734</v>
      </c>
      <c r="I214" s="543"/>
      <c r="J214" s="542">
        <v>18</v>
      </c>
      <c r="K214" s="541"/>
      <c r="L214" s="540" t="s">
        <v>655</v>
      </c>
      <c r="M214" s="542" t="s">
        <v>299</v>
      </c>
      <c r="N214" s="542">
        <v>2</v>
      </c>
      <c r="O214" s="717"/>
      <c r="P214" s="539" t="str">
        <f t="shared" si="46"/>
        <v>INCLUDED</v>
      </c>
      <c r="Q214" s="723">
        <f t="shared" si="47"/>
        <v>0</v>
      </c>
      <c r="R214" s="446">
        <f t="shared" si="48"/>
        <v>0</v>
      </c>
      <c r="S214" s="612">
        <f>Discount!$J$36</f>
        <v>0</v>
      </c>
      <c r="T214" s="446">
        <f t="shared" si="49"/>
        <v>0</v>
      </c>
      <c r="U214" s="447">
        <f t="shared" si="50"/>
        <v>0</v>
      </c>
      <c r="V214" s="724">
        <f t="shared" si="51"/>
        <v>0</v>
      </c>
      <c r="W214" s="857">
        <f t="shared" si="52"/>
        <v>0</v>
      </c>
      <c r="X214" s="724">
        <f t="shared" si="53"/>
        <v>0</v>
      </c>
      <c r="Y214" s="725">
        <f t="shared" si="54"/>
        <v>0.18</v>
      </c>
      <c r="Z214" s="724">
        <f t="shared" si="55"/>
        <v>0</v>
      </c>
      <c r="AA214" s="725"/>
      <c r="AB214" s="726"/>
      <c r="AC214" s="726"/>
      <c r="AD214" s="726"/>
      <c r="AE214" s="726"/>
      <c r="AF214" s="727"/>
      <c r="AG214" s="727"/>
      <c r="AH214" s="727"/>
      <c r="AI214" s="727"/>
      <c r="AJ214" s="727"/>
      <c r="AK214" s="727"/>
      <c r="AL214" s="727"/>
      <c r="AM214" s="727"/>
      <c r="AN214" s="727"/>
    </row>
    <row r="215" spans="1:40" s="731" customFormat="1" ht="31.5">
      <c r="A215" s="709">
        <v>197</v>
      </c>
      <c r="B215" s="542">
        <v>7000016906</v>
      </c>
      <c r="C215" s="542">
        <v>1120</v>
      </c>
      <c r="D215" s="542">
        <v>40</v>
      </c>
      <c r="E215" s="542">
        <v>30</v>
      </c>
      <c r="F215" s="542" t="s">
        <v>747</v>
      </c>
      <c r="G215" s="542">
        <v>170000503</v>
      </c>
      <c r="H215" s="542">
        <v>998713</v>
      </c>
      <c r="I215" s="543"/>
      <c r="J215" s="542">
        <v>18</v>
      </c>
      <c r="K215" s="541"/>
      <c r="L215" s="540" t="s">
        <v>656</v>
      </c>
      <c r="M215" s="542" t="s">
        <v>299</v>
      </c>
      <c r="N215" s="542">
        <v>3</v>
      </c>
      <c r="O215" s="717"/>
      <c r="P215" s="539" t="str">
        <f t="shared" si="46"/>
        <v>INCLUDED</v>
      </c>
      <c r="Q215" s="723">
        <f t="shared" si="47"/>
        <v>0</v>
      </c>
      <c r="R215" s="446">
        <f t="shared" si="48"/>
        <v>0</v>
      </c>
      <c r="S215" s="612">
        <f>Discount!$J$36</f>
        <v>0</v>
      </c>
      <c r="T215" s="446">
        <f t="shared" si="49"/>
        <v>0</v>
      </c>
      <c r="U215" s="447">
        <f t="shared" si="50"/>
        <v>0</v>
      </c>
      <c r="V215" s="724">
        <f t="shared" si="51"/>
        <v>0</v>
      </c>
      <c r="W215" s="857">
        <f t="shared" si="52"/>
        <v>0</v>
      </c>
      <c r="X215" s="724">
        <f t="shared" si="53"/>
        <v>0</v>
      </c>
      <c r="Y215" s="725">
        <f t="shared" si="54"/>
        <v>0.18</v>
      </c>
      <c r="Z215" s="724">
        <f t="shared" si="55"/>
        <v>0</v>
      </c>
      <c r="AA215" s="725"/>
      <c r="AB215" s="726"/>
      <c r="AC215" s="726"/>
      <c r="AD215" s="726"/>
      <c r="AE215" s="726"/>
      <c r="AF215" s="727"/>
      <c r="AG215" s="727"/>
      <c r="AH215" s="727"/>
      <c r="AI215" s="727"/>
      <c r="AJ215" s="727"/>
      <c r="AK215" s="727"/>
      <c r="AL215" s="727"/>
      <c r="AM215" s="727"/>
      <c r="AN215" s="727"/>
    </row>
    <row r="216" spans="1:40" s="731" customFormat="1" ht="31.5">
      <c r="A216" s="709">
        <v>198</v>
      </c>
      <c r="B216" s="542">
        <v>7000016906</v>
      </c>
      <c r="C216" s="542">
        <v>1120</v>
      </c>
      <c r="D216" s="542">
        <v>40</v>
      </c>
      <c r="E216" s="542">
        <v>40</v>
      </c>
      <c r="F216" s="542" t="s">
        <v>747</v>
      </c>
      <c r="G216" s="542">
        <v>170000504</v>
      </c>
      <c r="H216" s="542">
        <v>998713</v>
      </c>
      <c r="I216" s="543"/>
      <c r="J216" s="542">
        <v>18</v>
      </c>
      <c r="K216" s="541"/>
      <c r="L216" s="540" t="s">
        <v>657</v>
      </c>
      <c r="M216" s="542" t="s">
        <v>607</v>
      </c>
      <c r="N216" s="542">
        <v>1</v>
      </c>
      <c r="O216" s="717"/>
      <c r="P216" s="539" t="str">
        <f t="shared" si="46"/>
        <v>INCLUDED</v>
      </c>
      <c r="Q216" s="723">
        <f t="shared" si="47"/>
        <v>0</v>
      </c>
      <c r="R216" s="446">
        <f t="shared" si="48"/>
        <v>0</v>
      </c>
      <c r="S216" s="612">
        <f>Discount!$J$36</f>
        <v>0</v>
      </c>
      <c r="T216" s="446">
        <f t="shared" si="49"/>
        <v>0</v>
      </c>
      <c r="U216" s="447">
        <f t="shared" si="50"/>
        <v>0</v>
      </c>
      <c r="V216" s="724">
        <f t="shared" si="51"/>
        <v>0</v>
      </c>
      <c r="W216" s="857">
        <f t="shared" si="52"/>
        <v>0</v>
      </c>
      <c r="X216" s="724">
        <f t="shared" si="53"/>
        <v>0</v>
      </c>
      <c r="Y216" s="725">
        <f t="shared" si="54"/>
        <v>0.18</v>
      </c>
      <c r="Z216" s="724">
        <f t="shared" si="55"/>
        <v>0</v>
      </c>
      <c r="AA216" s="725"/>
      <c r="AB216" s="726"/>
      <c r="AC216" s="726"/>
      <c r="AD216" s="726"/>
      <c r="AE216" s="726"/>
      <c r="AF216" s="727"/>
      <c r="AG216" s="727"/>
      <c r="AH216" s="727"/>
      <c r="AI216" s="727"/>
      <c r="AJ216" s="727"/>
      <c r="AK216" s="727"/>
      <c r="AL216" s="727"/>
      <c r="AM216" s="727"/>
      <c r="AN216" s="727"/>
    </row>
    <row r="217" spans="1:40" s="731" customFormat="1" ht="31.5">
      <c r="A217" s="709">
        <v>199</v>
      </c>
      <c r="B217" s="542">
        <v>7000016906</v>
      </c>
      <c r="C217" s="542">
        <v>1120</v>
      </c>
      <c r="D217" s="542">
        <v>40</v>
      </c>
      <c r="E217" s="542">
        <v>50</v>
      </c>
      <c r="F217" s="542" t="s">
        <v>747</v>
      </c>
      <c r="G217" s="542">
        <v>170000501</v>
      </c>
      <c r="H217" s="542">
        <v>998734</v>
      </c>
      <c r="I217" s="543"/>
      <c r="J217" s="542">
        <v>18</v>
      </c>
      <c r="K217" s="541"/>
      <c r="L217" s="540" t="s">
        <v>658</v>
      </c>
      <c r="M217" s="542" t="s">
        <v>607</v>
      </c>
      <c r="N217" s="542">
        <v>1</v>
      </c>
      <c r="O217" s="717"/>
      <c r="P217" s="539" t="str">
        <f t="shared" si="46"/>
        <v>INCLUDED</v>
      </c>
      <c r="Q217" s="723">
        <f t="shared" si="47"/>
        <v>0</v>
      </c>
      <c r="R217" s="446">
        <f t="shared" si="48"/>
        <v>0</v>
      </c>
      <c r="S217" s="612">
        <f>Discount!$J$36</f>
        <v>0</v>
      </c>
      <c r="T217" s="446">
        <f t="shared" si="49"/>
        <v>0</v>
      </c>
      <c r="U217" s="447">
        <f t="shared" si="50"/>
        <v>0</v>
      </c>
      <c r="V217" s="724">
        <f t="shared" si="51"/>
        <v>0</v>
      </c>
      <c r="W217" s="857">
        <f t="shared" si="52"/>
        <v>0</v>
      </c>
      <c r="X217" s="724">
        <f t="shared" si="53"/>
        <v>0</v>
      </c>
      <c r="Y217" s="725">
        <f t="shared" si="54"/>
        <v>0.18</v>
      </c>
      <c r="Z217" s="724">
        <f t="shared" si="55"/>
        <v>0</v>
      </c>
      <c r="AA217" s="725"/>
      <c r="AB217" s="726"/>
      <c r="AC217" s="726"/>
      <c r="AD217" s="726"/>
      <c r="AE217" s="726"/>
      <c r="AF217" s="727"/>
      <c r="AG217" s="727"/>
      <c r="AH217" s="727"/>
      <c r="AI217" s="727"/>
      <c r="AJ217" s="727"/>
      <c r="AK217" s="727"/>
      <c r="AL217" s="727"/>
      <c r="AM217" s="727"/>
      <c r="AN217" s="727"/>
    </row>
    <row r="218" spans="1:40" s="731" customFormat="1" ht="16.5">
      <c r="A218" s="709"/>
      <c r="B218" s="542"/>
      <c r="C218" s="542"/>
      <c r="D218" s="542"/>
      <c r="E218" s="542"/>
      <c r="F218" s="542"/>
      <c r="G218" s="542"/>
      <c r="H218" s="542"/>
      <c r="I218" s="542"/>
      <c r="J218" s="542"/>
      <c r="K218" s="542"/>
      <c r="L218" s="542"/>
      <c r="M218" s="542"/>
      <c r="N218" s="542"/>
      <c r="O218" s="542"/>
      <c r="P218" s="542"/>
      <c r="Q218" s="723"/>
      <c r="R218" s="446"/>
      <c r="S218" s="612"/>
      <c r="T218" s="446"/>
      <c r="U218" s="447"/>
      <c r="V218" s="728"/>
      <c r="W218" s="729"/>
      <c r="X218" s="729"/>
      <c r="Y218" s="729"/>
      <c r="Z218" s="729"/>
      <c r="AA218" s="729"/>
      <c r="AB218" s="730"/>
      <c r="AC218" s="730"/>
      <c r="AD218" s="730"/>
      <c r="AE218" s="730"/>
    </row>
    <row r="219" spans="1:40" ht="28.5" customHeight="1">
      <c r="A219" s="595"/>
      <c r="B219" s="599" t="s">
        <v>197</v>
      </c>
      <c r="C219" s="597"/>
      <c r="D219" s="597"/>
      <c r="E219" s="597"/>
      <c r="F219" s="596"/>
      <c r="G219" s="596"/>
      <c r="H219" s="596"/>
      <c r="I219" s="596"/>
      <c r="J219" s="596"/>
      <c r="K219" s="596"/>
      <c r="L219" s="596"/>
      <c r="M219" s="596"/>
      <c r="N219" s="598"/>
      <c r="O219" s="596"/>
      <c r="P219" s="706">
        <f>ROUND(SUM(P17:P218),0)</f>
        <v>0</v>
      </c>
      <c r="Q219" s="615"/>
      <c r="R219" s="614">
        <f>SUM(R17:R218)</f>
        <v>0</v>
      </c>
      <c r="S219" s="263"/>
      <c r="T219" s="448"/>
      <c r="U219" s="614">
        <f>SUM(U17:U218)</f>
        <v>0</v>
      </c>
      <c r="V219" s="714">
        <f>SUM(V17:V218)</f>
        <v>0</v>
      </c>
      <c r="W219" s="264"/>
      <c r="X219" s="858">
        <f>SUM(X18:X217)</f>
        <v>0</v>
      </c>
      <c r="Y219" s="264"/>
      <c r="Z219" s="858">
        <f>SUM(Z18:Z217)</f>
        <v>0</v>
      </c>
      <c r="AA219" s="264"/>
    </row>
    <row r="220" spans="1:40" ht="21.75" customHeight="1">
      <c r="B220" s="710"/>
      <c r="C220" s="711"/>
      <c r="D220" s="711"/>
      <c r="E220" s="711"/>
      <c r="F220" s="711"/>
      <c r="G220" s="711"/>
      <c r="H220" s="711"/>
      <c r="I220" s="711"/>
      <c r="J220" s="711"/>
      <c r="K220" s="711"/>
      <c r="L220" s="711"/>
      <c r="M220" s="472"/>
      <c r="N220" s="463"/>
      <c r="O220" s="472"/>
      <c r="P220" s="472"/>
      <c r="Q220" s="470"/>
      <c r="R220" s="263"/>
      <c r="S220" s="263"/>
      <c r="T220" s="448"/>
      <c r="U220" s="263"/>
      <c r="V220" s="264"/>
      <c r="W220" s="264"/>
      <c r="X220" s="859" t="s">
        <v>519</v>
      </c>
      <c r="Y220" s="860"/>
      <c r="Z220" s="777" t="s">
        <v>520</v>
      </c>
      <c r="AA220" s="264"/>
    </row>
    <row r="221" spans="1:40" ht="30" customHeight="1">
      <c r="A221" s="588" t="s">
        <v>357</v>
      </c>
      <c r="B221" s="957" t="s">
        <v>358</v>
      </c>
      <c r="C221" s="957"/>
      <c r="D221" s="957"/>
      <c r="E221" s="957"/>
      <c r="F221" s="957"/>
      <c r="G221" s="957"/>
      <c r="H221" s="957"/>
      <c r="I221" s="957"/>
      <c r="J221" s="957"/>
      <c r="K221" s="957"/>
      <c r="L221" s="957"/>
      <c r="M221" s="957"/>
      <c r="N221" s="957"/>
      <c r="O221" s="957"/>
      <c r="P221" s="957"/>
      <c r="Q221" s="470"/>
      <c r="R221" s="263"/>
      <c r="S221" s="263"/>
      <c r="T221" s="448"/>
      <c r="U221" s="263"/>
      <c r="V221" s="264"/>
      <c r="W221" s="264"/>
      <c r="X221" s="264"/>
      <c r="Y221" s="264"/>
      <c r="Z221" s="264"/>
      <c r="AA221" s="264"/>
    </row>
    <row r="222" spans="1:40" ht="21.75" customHeight="1">
      <c r="A222" s="712"/>
      <c r="B222" s="431"/>
      <c r="C222" s="330"/>
      <c r="D222" s="331"/>
      <c r="E222" s="332"/>
      <c r="F222" s="423"/>
      <c r="G222" s="423"/>
      <c r="H222" s="423"/>
      <c r="I222" s="423"/>
      <c r="J222" s="423"/>
      <c r="K222" s="423"/>
      <c r="L222" s="413"/>
      <c r="M222" s="472"/>
      <c r="N222" s="463"/>
      <c r="O222" s="472"/>
      <c r="P222" s="472"/>
      <c r="Q222" s="470"/>
      <c r="R222" s="263"/>
      <c r="S222" s="263"/>
      <c r="T222" s="448"/>
      <c r="U222" s="263"/>
      <c r="V222" s="264"/>
      <c r="W222" s="264"/>
      <c r="X222" s="264"/>
      <c r="Y222" s="264"/>
      <c r="Z222" s="264"/>
      <c r="AA222" s="264"/>
    </row>
    <row r="223" spans="1:40" ht="21.75" customHeight="1">
      <c r="A223" s="712"/>
      <c r="B223" s="431"/>
      <c r="C223" s="330"/>
      <c r="D223" s="331"/>
      <c r="E223" s="332"/>
      <c r="F223" s="423"/>
      <c r="G223" s="423"/>
      <c r="H223" s="423"/>
      <c r="I223" s="423"/>
      <c r="J223" s="423"/>
      <c r="K223" s="423"/>
      <c r="L223" s="413"/>
      <c r="M223" s="472"/>
      <c r="N223" s="463"/>
      <c r="O223" s="472"/>
      <c r="P223" s="472"/>
      <c r="Q223" s="470"/>
      <c r="R223" s="263"/>
      <c r="S223" s="263"/>
      <c r="T223" s="448"/>
      <c r="U223" s="263"/>
      <c r="V223" s="264"/>
      <c r="W223" s="264"/>
      <c r="X223" s="264"/>
      <c r="Y223" s="264"/>
      <c r="Z223" s="264"/>
      <c r="AA223" s="264"/>
    </row>
    <row r="224" spans="1:40" s="463" customFormat="1" ht="16.5">
      <c r="A224" s="588"/>
      <c r="B224" s="589" t="s">
        <v>315</v>
      </c>
      <c r="C224" s="960" t="str">
        <f>'Sch-1'!C232:D232</f>
        <v xml:space="preserve">  </v>
      </c>
      <c r="D224" s="960"/>
      <c r="E224" s="960"/>
      <c r="F224" s="588"/>
      <c r="G224" s="588"/>
      <c r="H224" s="588"/>
      <c r="I224" s="588"/>
      <c r="J224" s="588"/>
      <c r="K224" s="588"/>
      <c r="L224" s="588"/>
      <c r="M224" s="958" t="s">
        <v>317</v>
      </c>
      <c r="N224" s="958"/>
      <c r="O224" s="961" t="str">
        <f>'Sch-1'!K232</f>
        <v/>
      </c>
      <c r="P224" s="961"/>
      <c r="R224" s="471"/>
      <c r="S224" s="471"/>
      <c r="T224" s="471"/>
      <c r="U224" s="471"/>
    </row>
    <row r="225" spans="1:21" s="463" customFormat="1" ht="16.5">
      <c r="A225" s="588"/>
      <c r="B225" s="589" t="s">
        <v>316</v>
      </c>
      <c r="C225" s="959" t="str">
        <f>'Sch-1'!C233:D233</f>
        <v/>
      </c>
      <c r="D225" s="959"/>
      <c r="E225" s="959"/>
      <c r="F225" s="588"/>
      <c r="G225" s="588"/>
      <c r="H225" s="588"/>
      <c r="I225" s="588"/>
      <c r="J225" s="588"/>
      <c r="K225" s="588"/>
      <c r="L225" s="588"/>
      <c r="M225" s="958" t="s">
        <v>125</v>
      </c>
      <c r="N225" s="958"/>
      <c r="O225" s="961" t="str">
        <f>'Sch-1'!K233</f>
        <v/>
      </c>
      <c r="P225" s="961"/>
      <c r="R225" s="471"/>
      <c r="S225" s="471"/>
      <c r="T225" s="471"/>
      <c r="U225" s="471"/>
    </row>
    <row r="226" spans="1:21" ht="16.5">
      <c r="B226" s="431"/>
      <c r="C226" s="330"/>
      <c r="D226" s="3"/>
      <c r="E226" s="332"/>
      <c r="F226" s="432"/>
      <c r="G226" s="423"/>
      <c r="H226" s="423"/>
      <c r="I226" s="423"/>
      <c r="J226" s="423"/>
      <c r="K226" s="423"/>
      <c r="L226" s="413"/>
      <c r="M226" s="472"/>
      <c r="N226" s="463"/>
      <c r="O226" s="472"/>
      <c r="P226" s="472"/>
      <c r="Q226" s="472"/>
    </row>
    <row r="227" spans="1:21" ht="16.5">
      <c r="B227" s="433"/>
      <c r="C227" s="335"/>
      <c r="D227" s="336"/>
      <c r="E227" s="332"/>
      <c r="F227" s="432"/>
      <c r="G227" s="434"/>
      <c r="H227" s="434"/>
      <c r="I227" s="434"/>
      <c r="J227" s="434"/>
      <c r="K227" s="434"/>
      <c r="L227" s="413"/>
      <c r="M227" s="472"/>
      <c r="N227" s="463"/>
      <c r="O227" s="472"/>
      <c r="P227" s="472"/>
      <c r="Q227" s="472"/>
    </row>
    <row r="229" spans="1:21" hidden="1">
      <c r="P229" s="700">
        <f>P219*0.18</f>
        <v>0</v>
      </c>
    </row>
  </sheetData>
  <sheetProtection password="BA13" sheet="1" formatColumns="0" formatRows="0" selectLockedCells="1"/>
  <customSheetViews>
    <customSheetView guid="{F38BD2F3-61EE-4B49-A7FC-8FB2B5BA6A2F}" scale="80" showPageBreaks="1" printArea="1" hiddenRows="1" hiddenColumns="1" view="pageBreakPreview" topLeftCell="A129">
      <selection activeCell="O149" sqref="O149"/>
      <pageMargins left="0.2" right="0.2" top="0.75" bottom="0.5" header="0.3" footer="0.3"/>
      <printOptions horizontalCentered="1"/>
      <pageSetup paperSize="9" scale="51" orientation="landscape" r:id="rId1"/>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2"/>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3"/>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4"/>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5"/>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6"/>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9"/>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0"/>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1"/>
      <headerFooter>
        <oddHeader>&amp;RSchedule-3
Page &amp;P of &amp;N</oddHeader>
      </headerFooter>
    </customSheetView>
    <customSheetView guid="{267FF044-3C5D-4FEC-AC00-A7E30583F8BB}" scale="80" showPageBreaks="1" printArea="1" hiddenRows="1" hiddenColumns="1" view="pageBreakPreview" topLeftCell="A151">
      <selection activeCell="O163" sqref="O163"/>
      <pageMargins left="0.2" right="0.2" top="0.75" bottom="0.5" header="0.3" footer="0.3"/>
      <printOptions horizontalCentered="1"/>
      <pageSetup paperSize="9" scale="52" orientation="landscape" r:id="rId12"/>
      <headerFooter>
        <oddHeader>&amp;RSchedule-3
Page &amp;P of &amp;N</oddHeader>
      </headerFooter>
    </customSheetView>
    <customSheetView guid="{A29B4069-9BED-4703-B114-D2D164877E8C}" scale="80" showPageBreaks="1" printArea="1" hiddenRows="1" hiddenColumns="1" view="pageBreakPreview">
      <selection activeCell="O18" sqref="O18"/>
      <pageMargins left="0.2" right="0.2" top="0.75" bottom="0.5" header="0.3" footer="0.3"/>
      <printOptions horizontalCentered="1"/>
      <pageSetup paperSize="9" scale="51" orientation="landscape" r:id="rId13"/>
      <headerFooter>
        <oddHeader>&amp;RSchedule-3
Page &amp;P of &amp;N</oddHeader>
      </headerFooter>
    </customSheetView>
  </customSheetViews>
  <mergeCells count="19">
    <mergeCell ref="B17:F17"/>
    <mergeCell ref="C12:G12"/>
    <mergeCell ref="A14:P14"/>
    <mergeCell ref="C11:G11"/>
    <mergeCell ref="C10:G10"/>
    <mergeCell ref="C9:G9"/>
    <mergeCell ref="A3:P3"/>
    <mergeCell ref="A4:P4"/>
    <mergeCell ref="A6:B6"/>
    <mergeCell ref="A7:I7"/>
    <mergeCell ref="A8:G8"/>
    <mergeCell ref="B148:F148"/>
    <mergeCell ref="B221:P221"/>
    <mergeCell ref="M225:N225"/>
    <mergeCell ref="M224:N224"/>
    <mergeCell ref="C225:E225"/>
    <mergeCell ref="C224:E224"/>
    <mergeCell ref="O225:P225"/>
    <mergeCell ref="O224:P224"/>
  </mergeCells>
  <conditionalFormatting sqref="K17 K151:K164 K124:K133 K213:K217 K143:K147">
    <cfRule type="expression" dxfId="24" priority="97" stopIfTrue="1">
      <formula>J17&gt;0</formula>
    </cfRule>
  </conditionalFormatting>
  <conditionalFormatting sqref="K18:K43 K120:K123 K69">
    <cfRule type="expression" dxfId="23" priority="57" stopIfTrue="1">
      <formula>J18&gt;0</formula>
    </cfRule>
  </conditionalFormatting>
  <conditionalFormatting sqref="K95:K119">
    <cfRule type="expression" dxfId="22" priority="54" stopIfTrue="1">
      <formula>J95&gt;0</formula>
    </cfRule>
  </conditionalFormatting>
  <conditionalFormatting sqref="K44:K68">
    <cfRule type="expression" dxfId="21" priority="53" stopIfTrue="1">
      <formula>J44&gt;0</formula>
    </cfRule>
  </conditionalFormatting>
  <conditionalFormatting sqref="K70:K94">
    <cfRule type="expression" dxfId="20" priority="52" stopIfTrue="1">
      <formula>J70&gt;0</formula>
    </cfRule>
  </conditionalFormatting>
  <conditionalFormatting sqref="K149:K150">
    <cfRule type="expression" dxfId="19" priority="51" stopIfTrue="1">
      <formula>J149&gt;0</formula>
    </cfRule>
  </conditionalFormatting>
  <conditionalFormatting sqref="K148">
    <cfRule type="expression" dxfId="18" priority="49" stopIfTrue="1">
      <formula>J148&gt;0</formula>
    </cfRule>
  </conditionalFormatting>
  <conditionalFormatting sqref="K134:K142">
    <cfRule type="expression" dxfId="17" priority="41" stopIfTrue="1">
      <formula>J134&gt;0</formula>
    </cfRule>
  </conditionalFormatting>
  <conditionalFormatting sqref="K165">
    <cfRule type="expression" dxfId="16" priority="33" stopIfTrue="1">
      <formula>J165&gt;0</formula>
    </cfRule>
  </conditionalFormatting>
  <conditionalFormatting sqref="K166:K172">
    <cfRule type="expression" dxfId="15" priority="30" stopIfTrue="1">
      <formula>J166&gt;0</formula>
    </cfRule>
  </conditionalFormatting>
  <conditionalFormatting sqref="K195:K197 K211:K212">
    <cfRule type="expression" dxfId="14" priority="29" stopIfTrue="1">
      <formula>J195&gt;0</formula>
    </cfRule>
  </conditionalFormatting>
  <conditionalFormatting sqref="K198:K203">
    <cfRule type="expression" dxfId="13" priority="28" stopIfTrue="1">
      <formula>J198&gt;0</formula>
    </cfRule>
  </conditionalFormatting>
  <conditionalFormatting sqref="K204">
    <cfRule type="expression" dxfId="12" priority="27" stopIfTrue="1">
      <formula>J204&gt;0</formula>
    </cfRule>
  </conditionalFormatting>
  <conditionalFormatting sqref="K205:K210">
    <cfRule type="expression" dxfId="11" priority="26" stopIfTrue="1">
      <formula>J205&gt;0</formula>
    </cfRule>
  </conditionalFormatting>
  <conditionalFormatting sqref="K173:K176">
    <cfRule type="expression" dxfId="10" priority="25" stopIfTrue="1">
      <formula>J173&gt;0</formula>
    </cfRule>
  </conditionalFormatting>
  <conditionalFormatting sqref="K177">
    <cfRule type="expression" dxfId="9" priority="24" stopIfTrue="1">
      <formula>J177&gt;0</formula>
    </cfRule>
  </conditionalFormatting>
  <conditionalFormatting sqref="K178:K183">
    <cfRule type="expression" dxfId="8" priority="23" stopIfTrue="1">
      <formula>J178&gt;0</formula>
    </cfRule>
  </conditionalFormatting>
  <conditionalFormatting sqref="K184:K187">
    <cfRule type="expression" dxfId="7" priority="22" stopIfTrue="1">
      <formula>J184&gt;0</formula>
    </cfRule>
  </conditionalFormatting>
  <conditionalFormatting sqref="K188">
    <cfRule type="expression" dxfId="6" priority="21" stopIfTrue="1">
      <formula>J188&gt;0</formula>
    </cfRule>
  </conditionalFormatting>
  <conditionalFormatting sqref="K189:K194">
    <cfRule type="expression" dxfId="5" priority="20" stopIfTrue="1">
      <formula>J189&gt;0</formula>
    </cfRule>
  </conditionalFormatting>
  <dataValidations count="5">
    <dataValidation type="list" allowBlank="1" showInputMessage="1" showErrorMessage="1" sqref="IJ64654 A64654:K64654">
      <formula1>#REF!</formula1>
    </dataValidation>
    <dataValidation type="decimal" operator="greaterThan" allowBlank="1" showInputMessage="1" showErrorMessage="1" error="Enter only Numeric Value greater than zero or leave the cell blank !" sqref="O64624:O64670">
      <formula1>0</formula1>
    </dataValidation>
    <dataValidation type="list" operator="greaterThan" allowBlank="1" showInputMessage="1" showErrorMessage="1" sqref="K17:K217">
      <formula1>"0%,5%,12%,18%,28%"</formula1>
    </dataValidation>
    <dataValidation type="whole" operator="greaterThan" allowBlank="1" showInputMessage="1" showErrorMessage="1" sqref="I17:I217">
      <formula1>0</formula1>
    </dataValidation>
    <dataValidation type="decimal" operator="greaterThanOrEqual" allowBlank="1" showInputMessage="1" showErrorMessage="1" sqref="O17:O217">
      <formula1>0</formula1>
    </dataValidation>
  </dataValidations>
  <hyperlinks>
    <hyperlink ref="Y17" r:id="rId14" display="GST@18%"/>
  </hyperlinks>
  <printOptions horizontalCentered="1"/>
  <pageMargins left="0.2" right="0.2" top="0.75" bottom="0.5" header="0.3" footer="0.3"/>
  <pageSetup paperSize="9" scale="51" orientation="landscape" r:id="rId15"/>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5"/>
  <sheetViews>
    <sheetView view="pageBreakPreview" topLeftCell="A4" zoomScale="80" zoomScaleNormal="100" zoomScaleSheetLayoutView="80" workbookViewId="0">
      <selection activeCell="Q18" sqref="Q18"/>
    </sheetView>
  </sheetViews>
  <sheetFormatPr defaultColWidth="9.140625" defaultRowHeight="15.75"/>
  <cols>
    <col min="1" max="1" width="7.5703125" style="498" customWidth="1"/>
    <col min="2" max="2" width="9" style="498" customWidth="1"/>
    <col min="3" max="3" width="10.28515625" style="498" customWidth="1"/>
    <col min="4" max="4" width="10.85546875" style="498" customWidth="1"/>
    <col min="5" max="5" width="11.140625" style="498" customWidth="1"/>
    <col min="6" max="6" width="13.7109375" style="498" customWidth="1"/>
    <col min="7" max="7" width="15.42578125" style="498" customWidth="1"/>
    <col min="8" max="11" width="16.85546875" style="498" customWidth="1"/>
    <col min="12" max="12" width="14.42578125" style="499" customWidth="1"/>
    <col min="13" max="13" width="9" style="498" customWidth="1"/>
    <col min="14" max="14" width="11.42578125" style="498" customWidth="1"/>
    <col min="15" max="15" width="13.28515625" style="498" customWidth="1"/>
    <col min="16" max="16" width="15.7109375" style="503" customWidth="1"/>
    <col min="17" max="16384" width="9.140625" style="503"/>
  </cols>
  <sheetData>
    <row r="1" spans="1:16" s="500" customFormat="1" ht="24.75" customHeight="1">
      <c r="A1" s="483" t="str">
        <f>Cover!B3</f>
        <v>Spec. No: 5002002280/SUB-STATION(EXCLUDIN/DOM/A06-CC CS -7</v>
      </c>
      <c r="B1" s="483"/>
      <c r="C1" s="483"/>
      <c r="D1" s="483"/>
      <c r="E1" s="483"/>
      <c r="F1" s="483"/>
      <c r="G1" s="484"/>
      <c r="H1" s="484"/>
      <c r="I1" s="484"/>
      <c r="J1" s="484"/>
      <c r="K1" s="484"/>
      <c r="L1" s="485"/>
      <c r="M1" s="486"/>
      <c r="N1" s="487"/>
      <c r="O1" s="487"/>
      <c r="P1" s="488" t="s">
        <v>26</v>
      </c>
    </row>
    <row r="2" spans="1:16" s="500" customFormat="1">
      <c r="A2" s="11"/>
      <c r="B2" s="11"/>
      <c r="C2" s="11"/>
      <c r="D2" s="11"/>
      <c r="E2" s="11"/>
      <c r="F2" s="11"/>
      <c r="G2" s="489"/>
      <c r="H2" s="489"/>
      <c r="I2" s="489"/>
      <c r="J2" s="489"/>
      <c r="K2" s="489"/>
      <c r="L2" s="490"/>
      <c r="M2" s="491"/>
      <c r="N2" s="492"/>
      <c r="O2" s="492"/>
    </row>
    <row r="3" spans="1:16" s="500" customFormat="1" ht="61.5" customHeight="1">
      <c r="A3" s="974" t="str">
        <f>Cover!$B$2</f>
        <v>765kV AIS Substation Extension Package (SS-91) under Transmission Network Expansion in Gujarat to increase its ATC from ISTS: Part C.</v>
      </c>
      <c r="B3" s="974"/>
      <c r="C3" s="974"/>
      <c r="D3" s="974"/>
      <c r="E3" s="974"/>
      <c r="F3" s="974"/>
      <c r="G3" s="974"/>
      <c r="H3" s="974"/>
      <c r="I3" s="974"/>
      <c r="J3" s="974"/>
      <c r="K3" s="974"/>
      <c r="L3" s="974"/>
      <c r="M3" s="974"/>
      <c r="N3" s="974"/>
      <c r="O3" s="974"/>
      <c r="P3" s="974"/>
    </row>
    <row r="4" spans="1:16" s="500" customFormat="1" ht="16.5">
      <c r="A4" s="975" t="s">
        <v>19</v>
      </c>
      <c r="B4" s="975"/>
      <c r="C4" s="975"/>
      <c r="D4" s="975"/>
      <c r="E4" s="975"/>
      <c r="F4" s="975"/>
      <c r="G4" s="975"/>
      <c r="H4" s="975"/>
      <c r="I4" s="975"/>
      <c r="J4" s="975"/>
      <c r="K4" s="975"/>
      <c r="L4" s="975"/>
      <c r="M4" s="975"/>
      <c r="N4" s="975"/>
      <c r="O4" s="975"/>
      <c r="P4" s="975"/>
    </row>
    <row r="5" spans="1:16" s="500" customFormat="1">
      <c r="A5" s="493"/>
      <c r="B5" s="493"/>
      <c r="C5" s="493"/>
      <c r="D5" s="493"/>
      <c r="E5" s="493"/>
      <c r="F5" s="493"/>
      <c r="G5" s="494"/>
      <c r="H5" s="494"/>
      <c r="I5" s="494"/>
      <c r="J5" s="494"/>
      <c r="K5" s="494"/>
      <c r="L5" s="494"/>
      <c r="M5" s="493"/>
      <c r="N5" s="493"/>
      <c r="O5" s="493"/>
    </row>
    <row r="6" spans="1:16" s="500" customFormat="1" ht="20.25" customHeight="1">
      <c r="A6" s="928" t="s">
        <v>350</v>
      </c>
      <c r="B6" s="928"/>
      <c r="C6" s="4"/>
      <c r="D6" s="352"/>
      <c r="E6" s="4"/>
      <c r="F6" s="4"/>
      <c r="G6" s="4"/>
      <c r="H6" s="4"/>
      <c r="I6" s="4"/>
      <c r="J6" s="494"/>
      <c r="K6" s="494"/>
      <c r="L6" s="494"/>
      <c r="M6" s="493"/>
      <c r="N6" s="493"/>
      <c r="O6" s="493"/>
    </row>
    <row r="7" spans="1:16" s="500" customFormat="1" ht="21" customHeight="1">
      <c r="A7" s="951">
        <f>'Sch-1'!A7</f>
        <v>0</v>
      </c>
      <c r="B7" s="951"/>
      <c r="C7" s="951"/>
      <c r="D7" s="951"/>
      <c r="E7" s="951"/>
      <c r="F7" s="951"/>
      <c r="G7" s="951"/>
      <c r="H7" s="951"/>
      <c r="I7" s="951"/>
      <c r="J7" s="5"/>
      <c r="K7" s="5"/>
      <c r="L7" s="393"/>
      <c r="M7" s="5"/>
      <c r="N7" s="495" t="s">
        <v>1</v>
      </c>
      <c r="O7" s="492"/>
    </row>
    <row r="8" spans="1:16" s="500" customFormat="1" ht="21" customHeight="1">
      <c r="A8" s="929" t="str">
        <f>"Bidder’s Name and Address  (" &amp; MID('Names of Bidder'!B9,9, 20) &amp; ") :"</f>
        <v>Bidder’s Name and Address  (Sole Bidder) :</v>
      </c>
      <c r="B8" s="929"/>
      <c r="C8" s="929"/>
      <c r="D8" s="929"/>
      <c r="E8" s="929"/>
      <c r="F8" s="929"/>
      <c r="G8" s="929"/>
      <c r="H8" s="531"/>
      <c r="I8" s="531"/>
      <c r="J8" s="509"/>
      <c r="K8" s="509"/>
      <c r="L8" s="509"/>
      <c r="M8" s="509"/>
      <c r="N8" s="12" t="str">
        <f>'Sch-1'!K8</f>
        <v>Contract Services</v>
      </c>
      <c r="O8" s="492"/>
    </row>
    <row r="9" spans="1:16" s="500" customFormat="1" ht="24" customHeight="1">
      <c r="A9" s="456" t="s">
        <v>12</v>
      </c>
      <c r="B9" s="406"/>
      <c r="C9" s="953" t="str">
        <f>IF('Names of Bidder'!D9=0, "", 'Names of Bidder'!D9)</f>
        <v/>
      </c>
      <c r="D9" s="953"/>
      <c r="E9" s="953"/>
      <c r="F9" s="953"/>
      <c r="G9" s="953"/>
      <c r="H9" s="439"/>
      <c r="I9" s="407"/>
      <c r="J9" s="262"/>
      <c r="K9" s="262"/>
      <c r="L9" s="501"/>
      <c r="N9" s="12" t="str">
        <f>'Sch-1'!K9</f>
        <v>Power Grid Corporation of India Ltd.,</v>
      </c>
      <c r="O9" s="492"/>
    </row>
    <row r="10" spans="1:16" s="500" customFormat="1" ht="16.5">
      <c r="A10" s="456" t="s">
        <v>11</v>
      </c>
      <c r="B10" s="406"/>
      <c r="C10" s="952" t="str">
        <f>IF('Names of Bidder'!D10=0, "", 'Names of Bidder'!D10)</f>
        <v/>
      </c>
      <c r="D10" s="952"/>
      <c r="E10" s="952"/>
      <c r="F10" s="952"/>
      <c r="G10" s="952"/>
      <c r="H10" s="439"/>
      <c r="I10" s="407"/>
      <c r="J10" s="262"/>
      <c r="K10" s="262"/>
      <c r="L10" s="501"/>
      <c r="N10" s="12" t="str">
        <f>'Sch-1'!K10</f>
        <v>"Saudamini", Plot No.-2</v>
      </c>
      <c r="O10" s="492"/>
    </row>
    <row r="11" spans="1:16" s="500" customFormat="1">
      <c r="A11" s="407"/>
      <c r="B11" s="407"/>
      <c r="C11" s="952" t="str">
        <f>IF('Names of Bidder'!D11=0, "", 'Names of Bidder'!D11)</f>
        <v/>
      </c>
      <c r="D11" s="952"/>
      <c r="E11" s="952"/>
      <c r="F11" s="952"/>
      <c r="G11" s="952"/>
      <c r="H11" s="439"/>
      <c r="I11" s="407"/>
      <c r="J11" s="262"/>
      <c r="K11" s="262"/>
      <c r="L11" s="501"/>
      <c r="N11" s="12" t="str">
        <f>'Sch-1'!K11</f>
        <v xml:space="preserve">Sector-29, </v>
      </c>
      <c r="O11" s="492"/>
    </row>
    <row r="12" spans="1:16" s="500" customFormat="1">
      <c r="A12" s="407"/>
      <c r="B12" s="407"/>
      <c r="C12" s="952" t="str">
        <f>IF('Names of Bidder'!D12=0, "", 'Names of Bidder'!D12)</f>
        <v/>
      </c>
      <c r="D12" s="952"/>
      <c r="E12" s="952"/>
      <c r="F12" s="952"/>
      <c r="G12" s="952"/>
      <c r="H12" s="439"/>
      <c r="I12" s="407"/>
      <c r="J12" s="262"/>
      <c r="K12" s="262"/>
      <c r="L12" s="501"/>
      <c r="N12" s="12" t="str">
        <f>'Sch-1'!K12</f>
        <v>Gurgaon (Haryana) - 122001</v>
      </c>
      <c r="O12" s="492"/>
    </row>
    <row r="13" spans="1:16" s="500" customFormat="1">
      <c r="A13" s="407"/>
      <c r="B13" s="407"/>
      <c r="C13" s="576"/>
      <c r="D13" s="576"/>
      <c r="E13" s="576"/>
      <c r="F13" s="576"/>
      <c r="G13" s="576"/>
      <c r="H13" s="439"/>
      <c r="I13" s="407"/>
      <c r="J13" s="262"/>
      <c r="K13" s="262"/>
      <c r="L13" s="501"/>
      <c r="N13" s="12"/>
      <c r="O13" s="492"/>
    </row>
    <row r="14" spans="1:16" s="500" customFormat="1" ht="21" customHeight="1">
      <c r="A14" s="963" t="s">
        <v>27</v>
      </c>
      <c r="B14" s="963"/>
      <c r="C14" s="963"/>
      <c r="D14" s="963"/>
      <c r="E14" s="963"/>
      <c r="F14" s="963"/>
      <c r="G14" s="963"/>
      <c r="H14" s="963"/>
      <c r="I14" s="963"/>
      <c r="J14" s="963"/>
      <c r="K14" s="963"/>
      <c r="L14" s="963"/>
      <c r="M14" s="963"/>
      <c r="N14" s="963"/>
      <c r="O14" s="963"/>
      <c r="P14" s="963"/>
    </row>
    <row r="15" spans="1:16" s="500" customFormat="1" ht="63.75" customHeight="1">
      <c r="A15" s="479" t="s">
        <v>7</v>
      </c>
      <c r="B15" s="480" t="s">
        <v>266</v>
      </c>
      <c r="C15" s="480" t="s">
        <v>267</v>
      </c>
      <c r="D15" s="480" t="s">
        <v>277</v>
      </c>
      <c r="E15" s="480" t="s">
        <v>279</v>
      </c>
      <c r="F15" s="480" t="s">
        <v>280</v>
      </c>
      <c r="G15" s="479" t="s">
        <v>25</v>
      </c>
      <c r="H15" s="510" t="s">
        <v>322</v>
      </c>
      <c r="I15" s="511" t="s">
        <v>321</v>
      </c>
      <c r="J15" s="511" t="s">
        <v>309</v>
      </c>
      <c r="K15" s="511" t="s">
        <v>318</v>
      </c>
      <c r="L15" s="480" t="s">
        <v>15</v>
      </c>
      <c r="M15" s="481" t="s">
        <v>9</v>
      </c>
      <c r="N15" s="481" t="s">
        <v>16</v>
      </c>
      <c r="O15" s="482" t="s">
        <v>28</v>
      </c>
      <c r="P15" s="482" t="s">
        <v>29</v>
      </c>
    </row>
    <row r="16" spans="1:16" s="593" customFormat="1" ht="15">
      <c r="A16" s="590">
        <v>1</v>
      </c>
      <c r="B16" s="590">
        <v>2</v>
      </c>
      <c r="C16" s="590">
        <v>3</v>
      </c>
      <c r="D16" s="590">
        <v>4</v>
      </c>
      <c r="E16" s="590">
        <v>5</v>
      </c>
      <c r="F16" s="590">
        <v>6</v>
      </c>
      <c r="G16" s="590">
        <v>7</v>
      </c>
      <c r="H16" s="591">
        <v>8</v>
      </c>
      <c r="I16" s="591">
        <v>9</v>
      </c>
      <c r="J16" s="591">
        <v>10</v>
      </c>
      <c r="K16" s="591">
        <v>11</v>
      </c>
      <c r="L16" s="592">
        <v>12</v>
      </c>
      <c r="M16" s="590">
        <v>13</v>
      </c>
      <c r="N16" s="590">
        <v>14</v>
      </c>
      <c r="O16" s="590">
        <v>15</v>
      </c>
      <c r="P16" s="590" t="s">
        <v>320</v>
      </c>
    </row>
    <row r="17" spans="1:17">
      <c r="A17" s="496"/>
      <c r="B17" s="496"/>
      <c r="C17" s="496"/>
      <c r="D17" s="496"/>
      <c r="E17" s="496"/>
      <c r="F17" s="496"/>
      <c r="G17" s="496"/>
      <c r="H17" s="496"/>
      <c r="I17" s="496"/>
      <c r="J17" s="496"/>
      <c r="K17" s="496"/>
      <c r="L17" s="497"/>
      <c r="M17" s="496"/>
      <c r="N17" s="496"/>
      <c r="O17" s="496"/>
      <c r="P17" s="502"/>
    </row>
    <row r="18" spans="1:17" s="498" customFormat="1" ht="45" customHeight="1">
      <c r="A18" s="496"/>
      <c r="B18" s="504"/>
      <c r="C18" s="504"/>
      <c r="D18" s="504"/>
      <c r="F18" s="504"/>
      <c r="G18" s="504"/>
      <c r="H18" s="504"/>
      <c r="I18" s="582" t="s">
        <v>338</v>
      </c>
      <c r="J18" s="504"/>
      <c r="K18" s="504"/>
      <c r="L18" s="504"/>
      <c r="M18" s="504"/>
      <c r="N18" s="504"/>
      <c r="O18" s="504"/>
      <c r="P18" s="504"/>
    </row>
    <row r="19" spans="1:17" ht="26.25" customHeight="1">
      <c r="A19" s="496"/>
      <c r="B19" s="971"/>
      <c r="C19" s="972"/>
      <c r="D19" s="972"/>
      <c r="E19" s="972"/>
      <c r="F19" s="972"/>
      <c r="G19" s="972"/>
      <c r="H19" s="972"/>
      <c r="I19" s="972"/>
      <c r="J19" s="972"/>
      <c r="K19" s="973"/>
      <c r="L19" s="505"/>
      <c r="M19" s="505"/>
      <c r="N19" s="505"/>
      <c r="O19" s="505"/>
      <c r="P19" s="506"/>
      <c r="Q19" s="440"/>
    </row>
    <row r="20" spans="1:17" ht="27.75" customHeight="1">
      <c r="A20" s="968" t="s">
        <v>323</v>
      </c>
      <c r="B20" s="968"/>
      <c r="C20" s="968"/>
      <c r="D20" s="968"/>
      <c r="E20" s="968"/>
      <c r="F20" s="968"/>
      <c r="G20" s="968"/>
      <c r="H20" s="968"/>
      <c r="I20" s="968"/>
      <c r="J20" s="968"/>
      <c r="K20" s="968"/>
      <c r="L20" s="968"/>
      <c r="M20" s="968"/>
      <c r="N20" s="968"/>
      <c r="O20" s="968"/>
      <c r="P20" s="968"/>
      <c r="Q20" s="440"/>
    </row>
    <row r="21" spans="1:17" ht="39" customHeight="1">
      <c r="A21" s="969" t="s">
        <v>324</v>
      </c>
      <c r="B21" s="969"/>
      <c r="C21" s="969"/>
      <c r="D21" s="969"/>
      <c r="E21" s="969"/>
      <c r="F21" s="969"/>
      <c r="G21" s="969"/>
      <c r="H21" s="969"/>
      <c r="I21" s="969"/>
      <c r="J21" s="969"/>
      <c r="K21" s="969"/>
      <c r="L21" s="969"/>
      <c r="M21" s="969"/>
      <c r="N21" s="969"/>
      <c r="O21" s="969"/>
      <c r="P21" s="969"/>
      <c r="Q21" s="440"/>
    </row>
    <row r="23" spans="1:17" s="507" customFormat="1">
      <c r="B23" s="508" t="s">
        <v>315</v>
      </c>
      <c r="C23" s="967" t="str">
        <f>'Sch-3'!C224:D224</f>
        <v xml:space="preserve">  </v>
      </c>
      <c r="D23" s="966"/>
    </row>
    <row r="24" spans="1:17" s="507" customFormat="1">
      <c r="B24" s="508" t="s">
        <v>316</v>
      </c>
      <c r="C24" s="965" t="str">
        <f>'Sch-3'!C225:D225</f>
        <v/>
      </c>
      <c r="D24" s="966"/>
      <c r="L24" s="964" t="s">
        <v>317</v>
      </c>
      <c r="M24" s="964"/>
      <c r="N24" s="970" t="str">
        <f>'Sch-3'!O224</f>
        <v/>
      </c>
      <c r="O24" s="970"/>
      <c r="P24" s="970"/>
    </row>
    <row r="25" spans="1:17">
      <c r="L25" s="964" t="s">
        <v>125</v>
      </c>
      <c r="M25" s="964"/>
      <c r="N25" s="970" t="str">
        <f>'Sch-3'!O225</f>
        <v/>
      </c>
      <c r="O25" s="970"/>
      <c r="P25" s="970"/>
    </row>
  </sheetData>
  <sheetProtection password="CCC7" sheet="1" objects="1" scenarios="1" formatColumns="0" formatRows="0" selectLockedCells="1"/>
  <customSheetViews>
    <customSheetView guid="{F38BD2F3-61EE-4B49-A7FC-8FB2B5BA6A2F}" scale="80" showPageBreaks="1" printArea="1" view="pageBreakPreview" topLeftCell="A4">
      <selection activeCell="Q18" sqref="Q18"/>
      <pageMargins left="0.7" right="0.7" top="0.75" bottom="0.75" header="0.3" footer="0.3"/>
      <pageSetup paperSize="9" scale="58" orientation="landscape" r:id="rId1"/>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2"/>
    </customSheetView>
    <customSheetView guid="{755190E0-7BE9-48F9-BB5F-DF8E25D6736A}" showPageBreaks="1" printArea="1" view="pageBreakPreview">
      <selection activeCell="Q18" sqref="Q18"/>
      <pageMargins left="0.7" right="0.7" top="0.75" bottom="0.75" header="0.3" footer="0.3"/>
      <pageSetup paperSize="9" scale="58" orientation="landscape" r:id="rId3"/>
    </customSheetView>
    <customSheetView guid="{CCA37BAE-906F-43D5-9FD9-B13563E4B9D7}" showPageBreaks="1" printArea="1" view="pageBreakPreview">
      <selection activeCell="Q18" sqref="Q18"/>
      <pageMargins left="0.7" right="0.7" top="0.75" bottom="0.75" header="0.3" footer="0.3"/>
      <pageSetup paperSize="9" scale="58" orientation="landscape" r:id="rId4"/>
    </customSheetView>
    <customSheetView guid="{B96E710B-6DD7-4DE1-95AB-C9EE060CD030}" scale="80" showPageBreaks="1" printArea="1" view="pageBreakPreview">
      <selection activeCell="G22" sqref="G22"/>
      <pageMargins left="0.7" right="0.7" top="0.75" bottom="0.75" header="0.3" footer="0.3"/>
      <pageSetup paperSize="9" scale="58" orientation="landscape" r:id="rId5"/>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8"/>
    </customSheetView>
    <customSheetView guid="{63D51328-7CBC-4A1E-B96D-BAE91416501B}" showPageBreaks="1" printArea="1" view="pageBreakPreview">
      <selection activeCell="Q18" sqref="Q18"/>
      <pageMargins left="0.7" right="0.7" top="0.75" bottom="0.75" header="0.3" footer="0.3"/>
      <pageSetup paperSize="9" scale="58" orientation="landscape" r:id="rId9"/>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0"/>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1"/>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2"/>
    </customSheetView>
    <customSheetView guid="{A29B4069-9BED-4703-B114-D2D164877E8C}" scale="80" showPageBreaks="1" printArea="1" view="pageBreakPreview" topLeftCell="A4">
      <selection activeCell="Q18" sqref="Q18"/>
      <pageMargins left="0.7" right="0.7" top="0.75" bottom="0.75" header="0.3" footer="0.3"/>
      <pageSetup paperSize="9" scale="58" orientation="landscape" r:id="rId13"/>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3"/>
  </sheetPr>
  <dimension ref="A1:X71"/>
  <sheetViews>
    <sheetView view="pageBreakPreview"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 5002002280/SUB-STATION(EXCLUDIN/DOM/A06-CC CS -7</v>
      </c>
      <c r="B1" s="82"/>
      <c r="C1" s="83"/>
      <c r="D1" s="83"/>
      <c r="E1" s="84" t="s">
        <v>128</v>
      </c>
    </row>
    <row r="2" spans="1:15" ht="8.1" customHeight="1">
      <c r="A2" s="87"/>
      <c r="B2" s="88"/>
      <c r="C2" s="89"/>
      <c r="D2" s="89"/>
      <c r="E2" s="90"/>
      <c r="F2" s="91"/>
    </row>
    <row r="3" spans="1:15" ht="99.75" customHeight="1">
      <c r="A3" s="984" t="str">
        <f>Cover!$B$2</f>
        <v>765kV AIS Substation Extension Package (SS-91) under Transmission Network Expansion in Gujarat to increase its ATC from ISTS: Part C.</v>
      </c>
      <c r="B3" s="984"/>
      <c r="C3" s="984"/>
      <c r="D3" s="984"/>
      <c r="E3" s="984"/>
    </row>
    <row r="4" spans="1:15" ht="21.95" customHeight="1">
      <c r="A4" s="985" t="s">
        <v>129</v>
      </c>
      <c r="B4" s="985"/>
      <c r="C4" s="985"/>
      <c r="D4" s="985"/>
      <c r="E4" s="985"/>
    </row>
    <row r="5" spans="1:15" ht="12" customHeight="1">
      <c r="A5" s="92"/>
      <c r="B5" s="93"/>
      <c r="C5" s="93"/>
      <c r="D5" s="93"/>
      <c r="E5" s="93"/>
    </row>
    <row r="6" spans="1:15" ht="24" customHeight="1">
      <c r="A6" s="928" t="s">
        <v>350</v>
      </c>
      <c r="B6" s="928"/>
      <c r="C6" s="4"/>
      <c r="D6" s="352"/>
      <c r="E6" s="4"/>
      <c r="F6" s="4"/>
      <c r="G6" s="4"/>
      <c r="H6" s="4"/>
      <c r="I6" s="4"/>
    </row>
    <row r="7" spans="1:15" ht="18" customHeight="1">
      <c r="A7" s="951">
        <f>'Sch-1'!A7</f>
        <v>0</v>
      </c>
      <c r="B7" s="951"/>
      <c r="C7" s="951"/>
      <c r="D7" s="495" t="s">
        <v>1</v>
      </c>
      <c r="E7" s="575"/>
      <c r="F7" s="575"/>
      <c r="G7" s="575"/>
      <c r="H7" s="575"/>
      <c r="I7" s="575"/>
    </row>
    <row r="8" spans="1:15" ht="18" customHeight="1">
      <c r="A8" s="929" t="str">
        <f>"Bidder’s Name and Address  (" &amp; MID('Names of Bidder'!B9,9, 20) &amp; ") :"</f>
        <v>Bidder’s Name and Address  (Sole Bidder) :</v>
      </c>
      <c r="B8" s="929"/>
      <c r="C8" s="929"/>
      <c r="D8" s="12" t="s">
        <v>2</v>
      </c>
      <c r="E8" s="578"/>
      <c r="F8" s="578"/>
      <c r="G8" s="578"/>
      <c r="H8" s="531"/>
      <c r="I8" s="531"/>
    </row>
    <row r="9" spans="1:15" ht="18" customHeight="1">
      <c r="A9" s="456" t="s">
        <v>12</v>
      </c>
      <c r="B9" s="456" t="str">
        <f>IF('Names of Bidder'!D9=0, "", 'Names of Bidder'!D9)</f>
        <v/>
      </c>
      <c r="C9" s="112"/>
      <c r="D9" s="12" t="s">
        <v>3</v>
      </c>
      <c r="E9" s="577"/>
      <c r="F9" s="577"/>
      <c r="G9" s="577"/>
      <c r="H9" s="439"/>
      <c r="I9" s="407"/>
    </row>
    <row r="10" spans="1:15" ht="18" customHeight="1">
      <c r="A10" s="456" t="s">
        <v>11</v>
      </c>
      <c r="B10" s="576" t="str">
        <f>IF('Names of Bidder'!D10=0, "", 'Names of Bidder'!D10)</f>
        <v/>
      </c>
      <c r="C10" s="112"/>
      <c r="D10" s="12" t="s">
        <v>4</v>
      </c>
      <c r="E10" s="577"/>
      <c r="F10" s="577"/>
      <c r="G10" s="577"/>
      <c r="H10" s="439"/>
      <c r="I10" s="407"/>
    </row>
    <row r="11" spans="1:15" ht="18" customHeight="1">
      <c r="A11" s="407"/>
      <c r="B11" s="576" t="str">
        <f>IF('Names of Bidder'!D11=0, "", 'Names of Bidder'!D11)</f>
        <v/>
      </c>
      <c r="C11" s="112"/>
      <c r="D11" s="12" t="s">
        <v>5</v>
      </c>
      <c r="E11" s="577"/>
      <c r="F11" s="577"/>
      <c r="G11" s="577"/>
      <c r="H11" s="439"/>
      <c r="I11" s="407"/>
    </row>
    <row r="12" spans="1:15" ht="18" customHeight="1">
      <c r="A12" s="407"/>
      <c r="B12" s="576" t="str">
        <f>IF('Names of Bidder'!D12=0, "", 'Names of Bidder'!D12)</f>
        <v/>
      </c>
      <c r="C12" s="112"/>
      <c r="D12" s="12" t="s">
        <v>6</v>
      </c>
      <c r="E12" s="577"/>
      <c r="F12" s="577"/>
      <c r="G12" s="577"/>
      <c r="H12" s="439"/>
      <c r="I12" s="407"/>
    </row>
    <row r="13" spans="1:15" ht="8.1" customHeight="1" thickBot="1">
      <c r="B13" s="141"/>
    </row>
    <row r="14" spans="1:15" ht="21.95" customHeight="1">
      <c r="A14" s="634" t="s">
        <v>130</v>
      </c>
      <c r="B14" s="986" t="s">
        <v>131</v>
      </c>
      <c r="C14" s="986"/>
      <c r="D14" s="987" t="s">
        <v>132</v>
      </c>
      <c r="E14" s="988"/>
      <c r="I14" s="983" t="s">
        <v>133</v>
      </c>
      <c r="J14" s="983"/>
      <c r="K14" s="983"/>
      <c r="M14" s="976" t="s">
        <v>134</v>
      </c>
      <c r="N14" s="976"/>
      <c r="O14" s="976"/>
    </row>
    <row r="15" spans="1:15" ht="29.25" customHeight="1">
      <c r="A15" s="635" t="s">
        <v>135</v>
      </c>
      <c r="B15" s="977" t="s">
        <v>325</v>
      </c>
      <c r="C15" s="977"/>
      <c r="D15" s="978">
        <f>'Sch-1'!P227</f>
        <v>0</v>
      </c>
      <c r="E15" s="979"/>
      <c r="I15" s="388" t="s">
        <v>136</v>
      </c>
      <c r="K15" s="388" t="e">
        <f>ROUND('[9]Sch-1'!U3*#REF!,0)</f>
        <v>#REF!</v>
      </c>
      <c r="M15" s="388" t="s">
        <v>136</v>
      </c>
      <c r="O15" s="97" t="e">
        <f>ROUND('[9]Sch-1'!U5*#REF!,0)</f>
        <v>#REF!</v>
      </c>
    </row>
    <row r="16" spans="1:15" ht="87.75" customHeight="1">
      <c r="A16" s="636"/>
      <c r="B16" s="980" t="s">
        <v>326</v>
      </c>
      <c r="C16" s="980"/>
      <c r="D16" s="981"/>
      <c r="E16" s="982"/>
      <c r="G16" s="98"/>
    </row>
    <row r="17" spans="1:15" ht="25.5" customHeight="1">
      <c r="A17" s="635" t="s">
        <v>137</v>
      </c>
      <c r="B17" s="977" t="s">
        <v>327</v>
      </c>
      <c r="C17" s="977"/>
      <c r="D17" s="978">
        <f>'Sch-3'!R219</f>
        <v>0</v>
      </c>
      <c r="E17" s="979"/>
      <c r="I17" s="388" t="s">
        <v>138</v>
      </c>
      <c r="K17" s="389">
        <f>IF(ISERROR(ROUND((#REF!+#REF!)*#REF!,0)),0, ROUND((#REF!+#REF!)*#REF!,0))</f>
        <v>0</v>
      </c>
      <c r="M17" s="388" t="s">
        <v>138</v>
      </c>
      <c r="O17" s="100">
        <f>IF(ISERROR(ROUND((#REF!+#REF!)*#REF!,0)),0, ROUND((#REF!+#REF!)*#REF!,0))</f>
        <v>0</v>
      </c>
    </row>
    <row r="18" spans="1:15" ht="84" customHeight="1">
      <c r="A18" s="636"/>
      <c r="B18" s="980" t="s">
        <v>328</v>
      </c>
      <c r="C18" s="980"/>
      <c r="D18" s="993"/>
      <c r="E18" s="994"/>
      <c r="G18" s="101"/>
      <c r="I18" s="390" t="e">
        <f>#REF!/'Sch-1'!Y1</f>
        <v>#REF!</v>
      </c>
      <c r="K18" s="387">
        <f>'[9]Sch-1'!U3</f>
        <v>0</v>
      </c>
      <c r="M18" s="390" t="e">
        <f>I18</f>
        <v>#REF!</v>
      </c>
      <c r="O18" s="86">
        <f>'[9]Sch-1'!U5</f>
        <v>0</v>
      </c>
    </row>
    <row r="19" spans="1:15" ht="33" customHeight="1" thickBot="1">
      <c r="A19" s="637"/>
      <c r="B19" s="638" t="s">
        <v>331</v>
      </c>
      <c r="C19" s="639"/>
      <c r="D19" s="991">
        <f>D15+D17</f>
        <v>0</v>
      </c>
      <c r="E19" s="992"/>
    </row>
    <row r="20" spans="1:15" ht="30" customHeight="1">
      <c r="A20" s="102"/>
      <c r="B20" s="102"/>
      <c r="C20" s="103"/>
      <c r="D20" s="102"/>
      <c r="E20" s="102"/>
    </row>
    <row r="21" spans="1:15" ht="30" customHeight="1">
      <c r="A21" s="104" t="s">
        <v>143</v>
      </c>
      <c r="B21" s="642" t="str">
        <f>'Names of Bidder'!D27&amp;" "&amp;'Names of Bidder'!E27&amp;" "&amp;'Names of Bidder'!F27</f>
        <v xml:space="preserve">  </v>
      </c>
      <c r="C21" s="103" t="s">
        <v>144</v>
      </c>
      <c r="D21" s="989" t="str">
        <f>IF('Names of Bidder'!D24="","",'Names of Bidder'!D24)</f>
        <v/>
      </c>
      <c r="E21" s="990"/>
      <c r="F21" s="105"/>
    </row>
    <row r="22" spans="1:15" ht="30" customHeight="1">
      <c r="A22" s="104" t="s">
        <v>145</v>
      </c>
      <c r="B22" s="713" t="str">
        <f>IF('Names of Bidder'!D28="","",'Names of Bidder'!D28)</f>
        <v/>
      </c>
      <c r="C22" s="103" t="s">
        <v>146</v>
      </c>
      <c r="D22" s="989" t="str">
        <f>IF('Names of Bidder'!D25="","",'Names of Bidder'!D25)</f>
        <v/>
      </c>
      <c r="E22" s="990"/>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sBqoi3d6lyD00G15AhJgUikvI0vCwny6VeEy7G6JTQlkvw0Ph7fa1nKTlkK3YLIgtvd3GSOdOLzKFZanSA7gJA==" saltValue="DRW0joCdAWxzoSn+IvcHyg==" spinCount="100000" sheet="1" formatColumns="0" formatRows="0" selectLockedCells="1"/>
  <dataConsolidate/>
  <customSheetViews>
    <customSheetView guid="{F38BD2F3-61EE-4B49-A7FC-8FB2B5BA6A2F}" showPageBreaks="1" printArea="1" hiddenColumns="1" view="pageBreakPreview">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29B4069-9BED-4703-B114-D2D164877E8C}" showPageBreaks="1" printArea="1" hiddenColumns="1" view="pageBreakPreview">
      <selection activeCell="B16" sqref="B16:C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Venkatesh Karri {वेंकटेश कर्री}</cp:lastModifiedBy>
  <cp:lastPrinted>2019-08-14T05:40:59Z</cp:lastPrinted>
  <dcterms:created xsi:type="dcterms:W3CDTF">2014-08-12T11:34:40Z</dcterms:created>
  <dcterms:modified xsi:type="dcterms:W3CDTF">2022-04-29T11:47:09Z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