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updateLinks="never" codeName="ThisWorkbook" defaultThemeVersion="124226"/>
  <mc:AlternateContent xmlns:mc="http://schemas.openxmlformats.org/markup-compatibility/2006">
    <mc:Choice Requires="x15">
      <x15ac:absPath xmlns:x15ac="http://schemas.microsoft.com/office/spreadsheetml/2010/11/ac" url="https://powergrid1989-my.sharepoint.com/personal/60003216_powergrid_in/Documents/Group-5 Work/RTM Packages/09 SS-123_Sandeep Mishra/04 Bidding Documents/Final BD/"/>
    </mc:Choice>
  </mc:AlternateContent>
  <xr:revisionPtr revIDLastSave="171" documentId="13_ncr:1_{6CDB5D1C-F45E-47BC-814C-E15413AC8F00}" xr6:coauthVersionLast="47" xr6:coauthVersionMax="47" xr10:uidLastSave="{AF971C47-5346-4E44-8B07-3849AE36C342}"/>
  <workbookProtection workbookAlgorithmName="SHA-512" workbookHashValue="bU2ppHBUMlWfDtWKdDfsdgs2pp6cHMSXFhpgcYc1qoHWFrLZG0fhTv4ferKiUNXpyKQ5TLXy4bmpAVM5vfv/3A==" workbookSaltValue="H5O29/YbleJRTU3kOyI5IQ==" workbookSpinCount="100000" lockStructure="1"/>
  <bookViews>
    <workbookView xWindow="-108" yWindow="-108" windowWidth="23256" windowHeight="12576" tabRatio="670"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'Sch-1'!$A$17:$IV$330</definedName>
    <definedName name="_xlnm._FilterDatabase" localSheetId="5" hidden="1">'Sch-2'!$A$17:$AF$317</definedName>
    <definedName name="_xlnm._FilterDatabase" localSheetId="6" hidden="1">'Sch-3'!$A$17:$IN$157</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Bidder'!$B$1:$H$28</definedName>
    <definedName name="_xlnm.Print_Area" localSheetId="15">Octroi!$A$1:$E$16</definedName>
    <definedName name="_xlnm.Print_Area" localSheetId="17">'Other Taxes &amp; Duties'!$A$1:$F$16</definedName>
    <definedName name="_xlnm.Print_Area" localSheetId="4">'Sch-1'!$A$1:$N$334</definedName>
    <definedName name="_xlnm.Print_Area" localSheetId="5">'Sch-2'!$A$1:$J$320</definedName>
    <definedName name="_xlnm.Print_Area" localSheetId="6">'Sch-3'!$A$1:$P$163</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A89170_4F84_482D_A3C5_7890082E7B73_.wvu.Cols" localSheetId="0" hidden="1">Basic!$I:$I</definedName>
    <definedName name="Z_12A89170_4F84_482D_A3C5_7890082E7B73_.wvu.Cols" localSheetId="18" hidden="1">'Bid Form 2nd Envelope'!$H:$AO</definedName>
    <definedName name="Z_12A89170_4F84_482D_A3C5_7890082E7B73_.wvu.Cols" localSheetId="14" hidden="1">Discount!$H:$L</definedName>
    <definedName name="Z_12A89170_4F84_482D_A3C5_7890082E7B73_.wvu.Cols" localSheetId="3" hidden="1">'Names of Bidder'!$H:$H,'Names of Bidder'!$K:$K</definedName>
    <definedName name="Z_12A89170_4F84_482D_A3C5_7890082E7B73_.wvu.Cols" localSheetId="21" hidden="1">'N-W (Cr.)'!$A:$O,'N-W (Cr.)'!$T:$DL</definedName>
    <definedName name="Z_12A89170_4F84_482D_A3C5_7890082E7B73_.wvu.Cols" localSheetId="4" hidden="1">'Sch-1'!$O:$V,'Sch-1'!$X:$AK</definedName>
    <definedName name="Z_12A89170_4F84_482D_A3C5_7890082E7B73_.wvu.Cols" localSheetId="6" hidden="1">'Sch-3'!$Q:$V</definedName>
    <definedName name="Z_12A89170_4F84_482D_A3C5_7890082E7B73_.wvu.Cols" localSheetId="8" hidden="1">'Sch-5'!$F:$T</definedName>
    <definedName name="Z_12A89170_4F84_482D_A3C5_7890082E7B73_.wvu.Cols" localSheetId="12" hidden="1">'Sch-6 (After Discount)'!$E:$F</definedName>
    <definedName name="Z_12A89170_4F84_482D_A3C5_7890082E7B73_.wvu.Cols" localSheetId="13" hidden="1">'Sch-7'!$AA:$AG</definedName>
    <definedName name="Z_12A89170_4F84_482D_A3C5_7890082E7B73_.wvu.FilterData" localSheetId="4" hidden="1">'Sch-1'!$A$17:$IV$330</definedName>
    <definedName name="Z_12A89170_4F84_482D_A3C5_7890082E7B73_.wvu.FilterData" localSheetId="5" hidden="1">'Sch-2'!$A$17:$AF$317</definedName>
    <definedName name="Z_12A89170_4F84_482D_A3C5_7890082E7B73_.wvu.PrintArea" localSheetId="18" hidden="1">'Bid Form 2nd Envelope'!$A$1:$F$67</definedName>
    <definedName name="Z_12A89170_4F84_482D_A3C5_7890082E7B73_.wvu.PrintArea" localSheetId="14" hidden="1">Discount!$A$2:$G$40</definedName>
    <definedName name="Z_12A89170_4F84_482D_A3C5_7890082E7B73_.wvu.PrintArea" localSheetId="16" hidden="1">'Entry Tax'!$A$1:$E$16</definedName>
    <definedName name="Z_12A89170_4F84_482D_A3C5_7890082E7B73_.wvu.PrintArea" localSheetId="2" hidden="1">Instructions!$A$1:$C$65</definedName>
    <definedName name="Z_12A89170_4F84_482D_A3C5_7890082E7B73_.wvu.PrintArea" localSheetId="3" hidden="1">'Names of Bidder'!$B$1:$H$28</definedName>
    <definedName name="Z_12A89170_4F84_482D_A3C5_7890082E7B73_.wvu.PrintArea" localSheetId="15" hidden="1">Octroi!$A$1:$E$16</definedName>
    <definedName name="Z_12A89170_4F84_482D_A3C5_7890082E7B73_.wvu.PrintArea" localSheetId="17" hidden="1">'Other Taxes &amp; Duties'!$A$1:$F$16</definedName>
    <definedName name="Z_12A89170_4F84_482D_A3C5_7890082E7B73_.wvu.PrintArea" localSheetId="4" hidden="1">'Sch-1'!$A$1:$N$334</definedName>
    <definedName name="Z_12A89170_4F84_482D_A3C5_7890082E7B73_.wvu.PrintArea" localSheetId="5" hidden="1">'Sch-2'!$A$1:$J$320</definedName>
    <definedName name="Z_12A89170_4F84_482D_A3C5_7890082E7B73_.wvu.PrintArea" localSheetId="6" hidden="1">'Sch-3'!$A$1:$P$163</definedName>
    <definedName name="Z_12A89170_4F84_482D_A3C5_7890082E7B73_.wvu.PrintArea" localSheetId="7" hidden="1">'Sch-4'!$A$1:$P$26</definedName>
    <definedName name="Z_12A89170_4F84_482D_A3C5_7890082E7B73_.wvu.PrintArea" localSheetId="8" hidden="1">'Sch-5'!$A$1:$E$23</definedName>
    <definedName name="Z_12A89170_4F84_482D_A3C5_7890082E7B73_.wvu.PrintArea" localSheetId="9" hidden="1">'Sch-5 after discount'!$A$1:$E$23</definedName>
    <definedName name="Z_12A89170_4F84_482D_A3C5_7890082E7B73_.wvu.PrintArea" localSheetId="10" hidden="1">'Sch-6'!$A$1:$D$32</definedName>
    <definedName name="Z_12A89170_4F84_482D_A3C5_7890082E7B73_.wvu.PrintArea" localSheetId="12" hidden="1">'Sch-6 (After Discount)'!$A$1:$D$32</definedName>
    <definedName name="Z_12A89170_4F84_482D_A3C5_7890082E7B73_.wvu.PrintArea" localSheetId="11" hidden="1">'Sch-6 After Discount'!$A$1:$D$31</definedName>
    <definedName name="Z_12A89170_4F84_482D_A3C5_7890082E7B73_.wvu.PrintArea" localSheetId="13" hidden="1">'Sch-7'!$A$1:$M$22</definedName>
    <definedName name="Z_12A89170_4F84_482D_A3C5_7890082E7B73_.wvu.PrintTitles" localSheetId="4" hidden="1">'Sch-1'!$15:$16</definedName>
    <definedName name="Z_12A89170_4F84_482D_A3C5_7890082E7B73_.wvu.PrintTitles" localSheetId="5" hidden="1">'Sch-2'!$15:$16</definedName>
    <definedName name="Z_12A89170_4F84_482D_A3C5_7890082E7B73_.wvu.PrintTitles" localSheetId="6" hidden="1">'Sch-3'!$15:$16</definedName>
    <definedName name="Z_12A89170_4F84_482D_A3C5_7890082E7B73_.wvu.PrintTitles" localSheetId="8" hidden="1">'Sch-5'!$3:$14</definedName>
    <definedName name="Z_12A89170_4F84_482D_A3C5_7890082E7B73_.wvu.PrintTitles" localSheetId="9" hidden="1">'Sch-5 after discount'!$3:$14</definedName>
    <definedName name="Z_12A89170_4F84_482D_A3C5_7890082E7B73_.wvu.PrintTitles" localSheetId="10" hidden="1">'Sch-6'!$3:$14</definedName>
    <definedName name="Z_12A89170_4F84_482D_A3C5_7890082E7B73_.wvu.PrintTitles" localSheetId="12" hidden="1">'Sch-6 (After Discount)'!$3:$14</definedName>
    <definedName name="Z_12A89170_4F84_482D_A3C5_7890082E7B73_.wvu.PrintTitles" localSheetId="11" hidden="1">'Sch-6 After Discount'!$3:$13</definedName>
    <definedName name="Z_12A89170_4F84_482D_A3C5_7890082E7B73_.wvu.Rows" localSheetId="1" hidden="1">Cover!$7:$7</definedName>
    <definedName name="Z_12A89170_4F84_482D_A3C5_7890082E7B73_.wvu.Rows" localSheetId="14" hidden="1">Discount!$29:$32</definedName>
    <definedName name="Z_12A89170_4F84_482D_A3C5_7890082E7B73_.wvu.Rows" localSheetId="3" hidden="1">'Names of Bidder'!$19:$22</definedName>
    <definedName name="Z_12A89170_4F84_482D_A3C5_7890082E7B7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'Sch-1'!$C$1:$C$330</definedName>
    <definedName name="Z_357C9841_BEC3_434B_AC63_C04FB4321BA3_.wvu.FilterData" localSheetId="5" hidden="1">'Sch-2'!$C$1:$C$322</definedName>
    <definedName name="Z_357C9841_BEC3_434B_AC63_C04FB4321BA3_.wvu.FilterData" localSheetId="6" hidden="1">'Sch-3'!$C$1:$C$165</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'Sch-1'!$A$1:$N$334</definedName>
    <definedName name="Z_357C9841_BEC3_434B_AC63_C04FB4321BA3_.wvu.PrintArea" localSheetId="5" hidden="1">'Sch-2'!$A$1:$J$322</definedName>
    <definedName name="Z_357C9841_BEC3_434B_AC63_C04FB4321BA3_.wvu.PrintArea" localSheetId="6" hidden="1">'Sch-3'!$A$1:$P$165</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'Sch-1'!$C$1:$C$330</definedName>
    <definedName name="Z_3C00DDA0_7DDE_4169_A739_550DAF5DCF8D_.wvu.FilterData" localSheetId="5" hidden="1">'Sch-2'!$C$1:$C$322</definedName>
    <definedName name="Z_3C00DDA0_7DDE_4169_A739_550DAF5DCF8D_.wvu.FilterData" localSheetId="6" hidden="1">'Sch-3'!$C$1:$C$165</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'Sch-1'!$A$1:$N$334</definedName>
    <definedName name="Z_3C00DDA0_7DDE_4169_A739_550DAF5DCF8D_.wvu.PrintArea" localSheetId="5" hidden="1">'Sch-2'!$A$1:$J$322</definedName>
    <definedName name="Z_3C00DDA0_7DDE_4169_A739_550DAF5DCF8D_.wvu.PrintArea" localSheetId="6" hidden="1">'Sch-3'!$A$1:$P$165</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97EA202_A8B8_45C5_9E6C_C3CD104F3979_.wvu.Cols" localSheetId="0" hidden="1">Basic!$I:$I</definedName>
    <definedName name="Z_497EA202_A8B8_45C5_9E6C_C3CD104F3979_.wvu.Cols" localSheetId="18" hidden="1">'Bid Form 2nd Envelope'!$H:$AO</definedName>
    <definedName name="Z_497EA202_A8B8_45C5_9E6C_C3CD104F3979_.wvu.Cols" localSheetId="14" hidden="1">Discount!$H:$L</definedName>
    <definedName name="Z_497EA202_A8B8_45C5_9E6C_C3CD104F3979_.wvu.Cols" localSheetId="3" hidden="1">'Names of Bidder'!$H:$H,'Names of Bidder'!$K:$K</definedName>
    <definedName name="Z_497EA202_A8B8_45C5_9E6C_C3CD104F3979_.wvu.Cols" localSheetId="21" hidden="1">'N-W (Cr.)'!$A:$O,'N-W (Cr.)'!$T:$DL</definedName>
    <definedName name="Z_497EA202_A8B8_45C5_9E6C_C3CD104F3979_.wvu.Cols" localSheetId="4" hidden="1">'Sch-1'!$O:$T,'Sch-1'!$X:$AK</definedName>
    <definedName name="Z_497EA202_A8B8_45C5_9E6C_C3CD104F3979_.wvu.Cols" localSheetId="6" hidden="1">'Sch-3'!$Q:$V</definedName>
    <definedName name="Z_497EA202_A8B8_45C5_9E6C_C3CD104F3979_.wvu.Cols" localSheetId="8" hidden="1">'Sch-5'!$F:$T</definedName>
    <definedName name="Z_497EA202_A8B8_45C5_9E6C_C3CD104F3979_.wvu.Cols" localSheetId="12" hidden="1">'Sch-6 (After Discount)'!$E:$F</definedName>
    <definedName name="Z_497EA202_A8B8_45C5_9E6C_C3CD104F3979_.wvu.Cols" localSheetId="13" hidden="1">'Sch-7'!$AA:$AG</definedName>
    <definedName name="Z_497EA202_A8B8_45C5_9E6C_C3CD104F3979_.wvu.FilterData" localSheetId="4" hidden="1">'Sch-1'!$16:$330</definedName>
    <definedName name="Z_497EA202_A8B8_45C5_9E6C_C3CD104F3979_.wvu.FilterData" localSheetId="5" hidden="1">'Sch-2'!$A$16:$AF$317</definedName>
    <definedName name="Z_497EA202_A8B8_45C5_9E6C_C3CD104F3979_.wvu.PrintArea" localSheetId="18" hidden="1">'Bid Form 2nd Envelope'!$A$1:$F$67</definedName>
    <definedName name="Z_497EA202_A8B8_45C5_9E6C_C3CD104F3979_.wvu.PrintArea" localSheetId="14" hidden="1">Discount!$A$2:$G$40</definedName>
    <definedName name="Z_497EA202_A8B8_45C5_9E6C_C3CD104F3979_.wvu.PrintArea" localSheetId="16" hidden="1">'Entry Tax'!$A$1:$E$16</definedName>
    <definedName name="Z_497EA202_A8B8_45C5_9E6C_C3CD104F3979_.wvu.PrintArea" localSheetId="2" hidden="1">Instructions!$A$1:$C$65</definedName>
    <definedName name="Z_497EA202_A8B8_45C5_9E6C_C3CD104F3979_.wvu.PrintArea" localSheetId="3" hidden="1">'Names of Bidder'!$B$1:$G$28</definedName>
    <definedName name="Z_497EA202_A8B8_45C5_9E6C_C3CD104F3979_.wvu.PrintArea" localSheetId="15" hidden="1">Octroi!$A$1:$E$16</definedName>
    <definedName name="Z_497EA202_A8B8_45C5_9E6C_C3CD104F3979_.wvu.PrintArea" localSheetId="17" hidden="1">'Other Taxes &amp; Duties'!$A$1:$F$16</definedName>
    <definedName name="Z_497EA202_A8B8_45C5_9E6C_C3CD104F3979_.wvu.PrintArea" localSheetId="4" hidden="1">'Sch-1'!$A$1:$N$334</definedName>
    <definedName name="Z_497EA202_A8B8_45C5_9E6C_C3CD104F3979_.wvu.PrintArea" localSheetId="5" hidden="1">'Sch-2'!$A$1:$J$320</definedName>
    <definedName name="Z_497EA202_A8B8_45C5_9E6C_C3CD104F3979_.wvu.PrintArea" localSheetId="6" hidden="1">'Sch-3'!$A$1:$P$163</definedName>
    <definedName name="Z_497EA202_A8B8_45C5_9E6C_C3CD104F3979_.wvu.PrintArea" localSheetId="7" hidden="1">'Sch-4'!$A$1:$P$26</definedName>
    <definedName name="Z_497EA202_A8B8_45C5_9E6C_C3CD104F3979_.wvu.PrintArea" localSheetId="8" hidden="1">'Sch-5'!$A$1:$E$23</definedName>
    <definedName name="Z_497EA202_A8B8_45C5_9E6C_C3CD104F3979_.wvu.PrintArea" localSheetId="9" hidden="1">'Sch-5 after discount'!$A$1:$E$23</definedName>
    <definedName name="Z_497EA202_A8B8_45C5_9E6C_C3CD104F3979_.wvu.PrintArea" localSheetId="10" hidden="1">'Sch-6'!$A$1:$D$32</definedName>
    <definedName name="Z_497EA202_A8B8_45C5_9E6C_C3CD104F3979_.wvu.PrintArea" localSheetId="12" hidden="1">'Sch-6 (After Discount)'!$A$1:$D$32</definedName>
    <definedName name="Z_497EA202_A8B8_45C5_9E6C_C3CD104F3979_.wvu.PrintArea" localSheetId="11" hidden="1">'Sch-6 After Discount'!$A$1:$D$31</definedName>
    <definedName name="Z_497EA202_A8B8_45C5_9E6C_C3CD104F3979_.wvu.PrintArea" localSheetId="13" hidden="1">'Sch-7'!$A$1:$M$22</definedName>
    <definedName name="Z_497EA202_A8B8_45C5_9E6C_C3CD104F3979_.wvu.PrintTitles" localSheetId="4" hidden="1">'Sch-1'!$15:$16</definedName>
    <definedName name="Z_497EA202_A8B8_45C5_9E6C_C3CD104F3979_.wvu.PrintTitles" localSheetId="5" hidden="1">'Sch-2'!$15:$16</definedName>
    <definedName name="Z_497EA202_A8B8_45C5_9E6C_C3CD104F3979_.wvu.PrintTitles" localSheetId="6" hidden="1">'Sch-3'!$15:$16</definedName>
    <definedName name="Z_497EA202_A8B8_45C5_9E6C_C3CD104F3979_.wvu.PrintTitles" localSheetId="8" hidden="1">'Sch-5'!$3:$14</definedName>
    <definedName name="Z_497EA202_A8B8_45C5_9E6C_C3CD104F3979_.wvu.PrintTitles" localSheetId="9" hidden="1">'Sch-5 after discount'!$3:$14</definedName>
    <definedName name="Z_497EA202_A8B8_45C5_9E6C_C3CD104F3979_.wvu.PrintTitles" localSheetId="10" hidden="1">'Sch-6'!$3:$14</definedName>
    <definedName name="Z_497EA202_A8B8_45C5_9E6C_C3CD104F3979_.wvu.PrintTitles" localSheetId="12" hidden="1">'Sch-6 (After Discount)'!$3:$14</definedName>
    <definedName name="Z_497EA202_A8B8_45C5_9E6C_C3CD104F3979_.wvu.PrintTitles" localSheetId="11" hidden="1">'Sch-6 After Discount'!$3:$13</definedName>
    <definedName name="Z_497EA202_A8B8_45C5_9E6C_C3CD104F3979_.wvu.Rows" localSheetId="1" hidden="1">Cover!$7:$7</definedName>
    <definedName name="Z_497EA202_A8B8_45C5_9E6C_C3CD104F3979_.wvu.Rows" localSheetId="14" hidden="1">Discount!$29:$32</definedName>
    <definedName name="Z_497EA202_A8B8_45C5_9E6C_C3CD104F3979_.wvu.Rows" localSheetId="3" hidden="1">'Names of Bidder'!$19:$22</definedName>
    <definedName name="Z_497EA202_A8B8_45C5_9E6C_C3CD104F3979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'Sch-1'!$O:$V,'Sch-1'!$X:$AK</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'Sch-1'!$A$17:$IV$330</definedName>
    <definedName name="Z_63D51328_7CBC_4A1E_B96D_BAE91416501B_.wvu.FilterData" localSheetId="5" hidden="1">'Sch-2'!$A$17:$AF$317</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'Sch-1'!$A$1:$N$334</definedName>
    <definedName name="Z_63D51328_7CBC_4A1E_B96D_BAE91416501B_.wvu.PrintArea" localSheetId="5" hidden="1">'Sch-2'!$A$1:$J$320</definedName>
    <definedName name="Z_63D51328_7CBC_4A1E_B96D_BAE91416501B_.wvu.PrintArea" localSheetId="6" hidden="1">'Sch-3'!$A$1:$P$163</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AB1F867_F01E_4EB9_A93D_DDCFDB9AA444_.wvu.Cols" localSheetId="0" hidden="1">Basic!$I:$I</definedName>
    <definedName name="Z_7AB1F867_F01E_4EB9_A93D_DDCFDB9AA444_.wvu.Cols" localSheetId="18" hidden="1">'Bid Form 2nd Envelope'!$H:$AO</definedName>
    <definedName name="Z_7AB1F867_F01E_4EB9_A93D_DDCFDB9AA444_.wvu.Cols" localSheetId="14" hidden="1">Discount!$H:$L</definedName>
    <definedName name="Z_7AB1F867_F01E_4EB9_A93D_DDCFDB9AA444_.wvu.Cols" localSheetId="3" hidden="1">'Names of Bidder'!$H:$H,'Names of Bidder'!$K:$K</definedName>
    <definedName name="Z_7AB1F867_F01E_4EB9_A93D_DDCFDB9AA444_.wvu.Cols" localSheetId="21" hidden="1">'N-W (Cr.)'!$A:$O,'N-W (Cr.)'!$T:$DL</definedName>
    <definedName name="Z_7AB1F867_F01E_4EB9_A93D_DDCFDB9AA444_.wvu.Cols" localSheetId="4" hidden="1">'Sch-1'!$O:$V,'Sch-1'!$X:$AK</definedName>
    <definedName name="Z_7AB1F867_F01E_4EB9_A93D_DDCFDB9AA444_.wvu.Cols" localSheetId="6" hidden="1">'Sch-3'!$Q:$V</definedName>
    <definedName name="Z_7AB1F867_F01E_4EB9_A93D_DDCFDB9AA444_.wvu.Cols" localSheetId="8" hidden="1">'Sch-5'!$F:$T</definedName>
    <definedName name="Z_7AB1F867_F01E_4EB9_A93D_DDCFDB9AA444_.wvu.Cols" localSheetId="12" hidden="1">'Sch-6 (After Discount)'!$E:$F</definedName>
    <definedName name="Z_7AB1F867_F01E_4EB9_A93D_DDCFDB9AA444_.wvu.Cols" localSheetId="13" hidden="1">'Sch-7'!$AA:$AG</definedName>
    <definedName name="Z_7AB1F867_F01E_4EB9_A93D_DDCFDB9AA444_.wvu.FilterData" localSheetId="4" hidden="1">'Sch-1'!$A$17:$IV$330</definedName>
    <definedName name="Z_7AB1F867_F01E_4EB9_A93D_DDCFDB9AA444_.wvu.FilterData" localSheetId="5" hidden="1">'Sch-2'!$A$17:$AF$317</definedName>
    <definedName name="Z_7AB1F867_F01E_4EB9_A93D_DDCFDB9AA444_.wvu.PrintArea" localSheetId="18" hidden="1">'Bid Form 2nd Envelope'!$A$1:$F$67</definedName>
    <definedName name="Z_7AB1F867_F01E_4EB9_A93D_DDCFDB9AA444_.wvu.PrintArea" localSheetId="14" hidden="1">Discount!$A$2:$G$40</definedName>
    <definedName name="Z_7AB1F867_F01E_4EB9_A93D_DDCFDB9AA444_.wvu.PrintArea" localSheetId="16" hidden="1">'Entry Tax'!$A$1:$E$16</definedName>
    <definedName name="Z_7AB1F867_F01E_4EB9_A93D_DDCFDB9AA444_.wvu.PrintArea" localSheetId="2" hidden="1">Instructions!$A$1:$C$65</definedName>
    <definedName name="Z_7AB1F867_F01E_4EB9_A93D_DDCFDB9AA444_.wvu.PrintArea" localSheetId="3" hidden="1">'Names of Bidder'!$B$1:$H$28</definedName>
    <definedName name="Z_7AB1F867_F01E_4EB9_A93D_DDCFDB9AA444_.wvu.PrintArea" localSheetId="15" hidden="1">Octroi!$A$1:$E$16</definedName>
    <definedName name="Z_7AB1F867_F01E_4EB9_A93D_DDCFDB9AA444_.wvu.PrintArea" localSheetId="17" hidden="1">'Other Taxes &amp; Duties'!$A$1:$F$16</definedName>
    <definedName name="Z_7AB1F867_F01E_4EB9_A93D_DDCFDB9AA444_.wvu.PrintArea" localSheetId="4" hidden="1">'Sch-1'!$A$1:$N$334</definedName>
    <definedName name="Z_7AB1F867_F01E_4EB9_A93D_DDCFDB9AA444_.wvu.PrintArea" localSheetId="5" hidden="1">'Sch-2'!$A$1:$J$320</definedName>
    <definedName name="Z_7AB1F867_F01E_4EB9_A93D_DDCFDB9AA444_.wvu.PrintArea" localSheetId="6" hidden="1">'Sch-3'!$A$1:$P$163</definedName>
    <definedName name="Z_7AB1F867_F01E_4EB9_A93D_DDCFDB9AA444_.wvu.PrintArea" localSheetId="7" hidden="1">'Sch-4'!$A$1:$P$26</definedName>
    <definedName name="Z_7AB1F867_F01E_4EB9_A93D_DDCFDB9AA444_.wvu.PrintArea" localSheetId="8" hidden="1">'Sch-5'!$A$1:$E$23</definedName>
    <definedName name="Z_7AB1F867_F01E_4EB9_A93D_DDCFDB9AA444_.wvu.PrintArea" localSheetId="9" hidden="1">'Sch-5 after discount'!$A$1:$E$23</definedName>
    <definedName name="Z_7AB1F867_F01E_4EB9_A93D_DDCFDB9AA444_.wvu.PrintArea" localSheetId="10" hidden="1">'Sch-6'!$A$1:$D$32</definedName>
    <definedName name="Z_7AB1F867_F01E_4EB9_A93D_DDCFDB9AA444_.wvu.PrintArea" localSheetId="12" hidden="1">'Sch-6 (After Discount)'!$A$1:$D$32</definedName>
    <definedName name="Z_7AB1F867_F01E_4EB9_A93D_DDCFDB9AA444_.wvu.PrintArea" localSheetId="11" hidden="1">'Sch-6 After Discount'!$A$1:$D$31</definedName>
    <definedName name="Z_7AB1F867_F01E_4EB9_A93D_DDCFDB9AA444_.wvu.PrintArea" localSheetId="13" hidden="1">'Sch-7'!$A$1:$M$22</definedName>
    <definedName name="Z_7AB1F867_F01E_4EB9_A93D_DDCFDB9AA444_.wvu.PrintTitles" localSheetId="4" hidden="1">'Sch-1'!$15:$16</definedName>
    <definedName name="Z_7AB1F867_F01E_4EB9_A93D_DDCFDB9AA444_.wvu.PrintTitles" localSheetId="5" hidden="1">'Sch-2'!$15:$16</definedName>
    <definedName name="Z_7AB1F867_F01E_4EB9_A93D_DDCFDB9AA444_.wvu.PrintTitles" localSheetId="6" hidden="1">'Sch-3'!$15:$16</definedName>
    <definedName name="Z_7AB1F867_F01E_4EB9_A93D_DDCFDB9AA444_.wvu.PrintTitles" localSheetId="8" hidden="1">'Sch-5'!$3:$14</definedName>
    <definedName name="Z_7AB1F867_F01E_4EB9_A93D_DDCFDB9AA444_.wvu.PrintTitles" localSheetId="9" hidden="1">'Sch-5 after discount'!$3:$14</definedName>
    <definedName name="Z_7AB1F867_F01E_4EB9_A93D_DDCFDB9AA444_.wvu.PrintTitles" localSheetId="10" hidden="1">'Sch-6'!$3:$14</definedName>
    <definedName name="Z_7AB1F867_F01E_4EB9_A93D_DDCFDB9AA444_.wvu.PrintTitles" localSheetId="12" hidden="1">'Sch-6 (After Discount)'!$3:$14</definedName>
    <definedName name="Z_7AB1F867_F01E_4EB9_A93D_DDCFDB9AA444_.wvu.PrintTitles" localSheetId="11" hidden="1">'Sch-6 After Discount'!$3:$13</definedName>
    <definedName name="Z_7AB1F867_F01E_4EB9_A93D_DDCFDB9AA444_.wvu.Rows" localSheetId="1" hidden="1">Cover!$7:$7</definedName>
    <definedName name="Z_7AB1F867_F01E_4EB9_A93D_DDCFDB9AA444_.wvu.Rows" localSheetId="14" hidden="1">Discount!$29:$32</definedName>
    <definedName name="Z_7AB1F867_F01E_4EB9_A93D_DDCFDB9AA444_.wvu.Rows" localSheetId="3" hidden="1">'Names of Bidder'!$19:$22</definedName>
    <definedName name="Z_7AB1F867_F01E_4EB9_A93D_DDCFDB9AA44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'Sch-1'!$16:$330</definedName>
    <definedName name="Z_99CA2F10_F926_46DC_8609_4EAE5B9F3585_.wvu.FilterData" localSheetId="5" hidden="1">'Sch-2'!$A$16:$AF$317</definedName>
    <definedName name="Z_99CA2F10_F926_46DC_8609_4EAE5B9F3585_.wvu.FilterData" localSheetId="6" hidden="1">'Sch-3'!$A$16:$AE$157</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'Sch-1'!$A$1:$N$334</definedName>
    <definedName name="Z_99CA2F10_F926_46DC_8609_4EAE5B9F3585_.wvu.PrintArea" localSheetId="5" hidden="1">'Sch-2'!$A$1:$J$320</definedName>
    <definedName name="Z_99CA2F10_F926_46DC_8609_4EAE5B9F3585_.wvu.PrintArea" localSheetId="6" hidden="1">'Sch-3'!$A$1:$P$163</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85D7887_A299_45C0_BD97_6C28577A6A5C_.wvu.Cols" localSheetId="0" hidden="1">Basic!$I:$I</definedName>
    <definedName name="Z_B85D7887_A299_45C0_BD97_6C28577A6A5C_.wvu.Cols" localSheetId="18" hidden="1">'Bid Form 2nd Envelope'!$H:$AO</definedName>
    <definedName name="Z_B85D7887_A299_45C0_BD97_6C28577A6A5C_.wvu.Cols" localSheetId="14" hidden="1">Discount!$H:$L</definedName>
    <definedName name="Z_B85D7887_A299_45C0_BD97_6C28577A6A5C_.wvu.Cols" localSheetId="3" hidden="1">'Names of Bidder'!$H:$H,'Names of Bidder'!$K:$K</definedName>
    <definedName name="Z_B85D7887_A299_45C0_BD97_6C28577A6A5C_.wvu.Cols" localSheetId="21" hidden="1">'N-W (Cr.)'!$A:$O,'N-W (Cr.)'!$T:$DL</definedName>
    <definedName name="Z_B85D7887_A299_45C0_BD97_6C28577A6A5C_.wvu.Cols" localSheetId="4" hidden="1">'Sch-1'!$O:$V,'Sch-1'!$X:$AK</definedName>
    <definedName name="Z_B85D7887_A299_45C0_BD97_6C28577A6A5C_.wvu.Cols" localSheetId="6" hidden="1">'Sch-3'!$Q:$V</definedName>
    <definedName name="Z_B85D7887_A299_45C0_BD97_6C28577A6A5C_.wvu.Cols" localSheetId="8" hidden="1">'Sch-5'!$F:$T</definedName>
    <definedName name="Z_B85D7887_A299_45C0_BD97_6C28577A6A5C_.wvu.Cols" localSheetId="12" hidden="1">'Sch-6 (After Discount)'!$E:$F</definedName>
    <definedName name="Z_B85D7887_A299_45C0_BD97_6C28577A6A5C_.wvu.Cols" localSheetId="13" hidden="1">'Sch-7'!$AA:$AG</definedName>
    <definedName name="Z_B85D7887_A299_45C0_BD97_6C28577A6A5C_.wvu.FilterData" localSheetId="4" hidden="1">'Sch-1'!$A$184:$IV$184</definedName>
    <definedName name="Z_B85D7887_A299_45C0_BD97_6C28577A6A5C_.wvu.FilterData" localSheetId="5" hidden="1">'Sch-2'!$A$17:$AF$317</definedName>
    <definedName name="Z_B85D7887_A299_45C0_BD97_6C28577A6A5C_.wvu.PrintArea" localSheetId="18" hidden="1">'Bid Form 2nd Envelope'!$A$1:$F$67</definedName>
    <definedName name="Z_B85D7887_A299_45C0_BD97_6C28577A6A5C_.wvu.PrintArea" localSheetId="14" hidden="1">Discount!$A$2:$G$40</definedName>
    <definedName name="Z_B85D7887_A299_45C0_BD97_6C28577A6A5C_.wvu.PrintArea" localSheetId="16" hidden="1">'Entry Tax'!$A$1:$E$16</definedName>
    <definedName name="Z_B85D7887_A299_45C0_BD97_6C28577A6A5C_.wvu.PrintArea" localSheetId="2" hidden="1">Instructions!$A$1:$C$65</definedName>
    <definedName name="Z_B85D7887_A299_45C0_BD97_6C28577A6A5C_.wvu.PrintArea" localSheetId="3" hidden="1">'Names of Bidder'!$B$1:$H$28</definedName>
    <definedName name="Z_B85D7887_A299_45C0_BD97_6C28577A6A5C_.wvu.PrintArea" localSheetId="15" hidden="1">Octroi!$A$1:$E$16</definedName>
    <definedName name="Z_B85D7887_A299_45C0_BD97_6C28577A6A5C_.wvu.PrintArea" localSheetId="17" hidden="1">'Other Taxes &amp; Duties'!$A$1:$F$16</definedName>
    <definedName name="Z_B85D7887_A299_45C0_BD97_6C28577A6A5C_.wvu.PrintArea" localSheetId="4" hidden="1">'Sch-1'!$A$1:$N$334</definedName>
    <definedName name="Z_B85D7887_A299_45C0_BD97_6C28577A6A5C_.wvu.PrintArea" localSheetId="5" hidden="1">'Sch-2'!$A$1:$J$320</definedName>
    <definedName name="Z_B85D7887_A299_45C0_BD97_6C28577A6A5C_.wvu.PrintArea" localSheetId="6" hidden="1">'Sch-3'!$A$1:$P$163</definedName>
    <definedName name="Z_B85D7887_A299_45C0_BD97_6C28577A6A5C_.wvu.PrintArea" localSheetId="7" hidden="1">'Sch-4'!$A$1:$P$26</definedName>
    <definedName name="Z_B85D7887_A299_45C0_BD97_6C28577A6A5C_.wvu.PrintArea" localSheetId="8" hidden="1">'Sch-5'!$A$1:$E$23</definedName>
    <definedName name="Z_B85D7887_A299_45C0_BD97_6C28577A6A5C_.wvu.PrintArea" localSheetId="9" hidden="1">'Sch-5 after discount'!$A$1:$E$23</definedName>
    <definedName name="Z_B85D7887_A299_45C0_BD97_6C28577A6A5C_.wvu.PrintArea" localSheetId="10" hidden="1">'Sch-6'!$A$1:$D$32</definedName>
    <definedName name="Z_B85D7887_A299_45C0_BD97_6C28577A6A5C_.wvu.PrintArea" localSheetId="12" hidden="1">'Sch-6 (After Discount)'!$A$1:$D$32</definedName>
    <definedName name="Z_B85D7887_A299_45C0_BD97_6C28577A6A5C_.wvu.PrintArea" localSheetId="11" hidden="1">'Sch-6 After Discount'!$A$1:$D$31</definedName>
    <definedName name="Z_B85D7887_A299_45C0_BD97_6C28577A6A5C_.wvu.PrintArea" localSheetId="13" hidden="1">'Sch-7'!$A$1:$M$22</definedName>
    <definedName name="Z_B85D7887_A299_45C0_BD97_6C28577A6A5C_.wvu.PrintTitles" localSheetId="4" hidden="1">'Sch-1'!$15:$16</definedName>
    <definedName name="Z_B85D7887_A299_45C0_BD97_6C28577A6A5C_.wvu.PrintTitles" localSheetId="5" hidden="1">'Sch-2'!$15:$16</definedName>
    <definedName name="Z_B85D7887_A299_45C0_BD97_6C28577A6A5C_.wvu.PrintTitles" localSheetId="6" hidden="1">'Sch-3'!$15:$16</definedName>
    <definedName name="Z_B85D7887_A299_45C0_BD97_6C28577A6A5C_.wvu.PrintTitles" localSheetId="8" hidden="1">'Sch-5'!$3:$14</definedName>
    <definedName name="Z_B85D7887_A299_45C0_BD97_6C28577A6A5C_.wvu.PrintTitles" localSheetId="9" hidden="1">'Sch-5 after discount'!$3:$14</definedName>
    <definedName name="Z_B85D7887_A299_45C0_BD97_6C28577A6A5C_.wvu.PrintTitles" localSheetId="10" hidden="1">'Sch-6'!$3:$14</definedName>
    <definedName name="Z_B85D7887_A299_45C0_BD97_6C28577A6A5C_.wvu.PrintTitles" localSheetId="12" hidden="1">'Sch-6 (After Discount)'!$3:$14</definedName>
    <definedName name="Z_B85D7887_A299_45C0_BD97_6C28577A6A5C_.wvu.PrintTitles" localSheetId="11" hidden="1">'Sch-6 After Discount'!$3:$13</definedName>
    <definedName name="Z_B85D7887_A299_45C0_BD97_6C28577A6A5C_.wvu.Rows" localSheetId="1" hidden="1">Cover!$7:$7</definedName>
    <definedName name="Z_B85D7887_A299_45C0_BD97_6C28577A6A5C_.wvu.Rows" localSheetId="14" hidden="1">Discount!$29:$32</definedName>
    <definedName name="Z_B85D7887_A299_45C0_BD97_6C28577A6A5C_.wvu.Rows" localSheetId="3" hidden="1">'Names of Bidder'!$19:$22</definedName>
    <definedName name="Z_B85D7887_A299_45C0_BD97_6C28577A6A5C_.wvu.Rows" localSheetId="13" hidden="1">'Sch-7'!$62:$180</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'Sch-1'!$C$1:$C$330</definedName>
    <definedName name="Z_B96E710B_6DD7_4DE1_95AB_C9EE060CD030_.wvu.FilterData" localSheetId="5" hidden="1">'Sch-2'!$C$1:$C$322</definedName>
    <definedName name="Z_B96E710B_6DD7_4DE1_95AB_C9EE060CD030_.wvu.FilterData" localSheetId="6" hidden="1">'Sch-3'!$C$1:$C$165</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'Sch-1'!$A$1:$N$334</definedName>
    <definedName name="Z_B96E710B_6DD7_4DE1_95AB_C9EE060CD030_.wvu.PrintArea" localSheetId="5" hidden="1">'Sch-2'!$A$1:$J$322</definedName>
    <definedName name="Z_B96E710B_6DD7_4DE1_95AB_C9EE060CD030_.wvu.PrintArea" localSheetId="6" hidden="1">'Sch-3'!$A$1:$P$165</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A9345C4_09FE_4F27_BFD9_3D9BCD2DED09_.wvu.Cols" localSheetId="0" hidden="1">Basic!$I:$I</definedName>
    <definedName name="Z_CA9345C4_09FE_4F27_BFD9_3D9BCD2DED09_.wvu.Cols" localSheetId="18" hidden="1">'Bid Form 2nd Envelope'!$H:$AO</definedName>
    <definedName name="Z_CA9345C4_09FE_4F27_BFD9_3D9BCD2DED09_.wvu.Cols" localSheetId="14" hidden="1">Discount!$H:$L</definedName>
    <definedName name="Z_CA9345C4_09FE_4F27_BFD9_3D9BCD2DED09_.wvu.Cols" localSheetId="3" hidden="1">'Names of Bidder'!$H:$H,'Names of Bidder'!$K:$K</definedName>
    <definedName name="Z_CA9345C4_09FE_4F27_BFD9_3D9BCD2DED09_.wvu.Cols" localSheetId="21" hidden="1">'N-W (Cr.)'!$A:$O,'N-W (Cr.)'!$T:$DL</definedName>
    <definedName name="Z_CA9345C4_09FE_4F27_BFD9_3D9BCD2DED09_.wvu.Cols" localSheetId="4" hidden="1">'Sch-1'!$O:$V,'Sch-1'!$X:$AK</definedName>
    <definedName name="Z_CA9345C4_09FE_4F27_BFD9_3D9BCD2DED09_.wvu.Cols" localSheetId="6" hidden="1">'Sch-3'!$Q:$V</definedName>
    <definedName name="Z_CA9345C4_09FE_4F27_BFD9_3D9BCD2DED09_.wvu.Cols" localSheetId="8" hidden="1">'Sch-5'!$F:$T</definedName>
    <definedName name="Z_CA9345C4_09FE_4F27_BFD9_3D9BCD2DED09_.wvu.Cols" localSheetId="12" hidden="1">'Sch-6 (After Discount)'!$E:$F</definedName>
    <definedName name="Z_CA9345C4_09FE_4F27_BFD9_3D9BCD2DED09_.wvu.Cols" localSheetId="13" hidden="1">'Sch-7'!$AA:$AG</definedName>
    <definedName name="Z_CA9345C4_09FE_4F27_BFD9_3D9BCD2DED09_.wvu.FilterData" localSheetId="4" hidden="1">'Sch-1'!$A$16:$IV$330</definedName>
    <definedName name="Z_CA9345C4_09FE_4F27_BFD9_3D9BCD2DED09_.wvu.FilterData" localSheetId="5" hidden="1">'Sch-2'!$A$17:$AF$317</definedName>
    <definedName name="Z_CA9345C4_09FE_4F27_BFD9_3D9BCD2DED09_.wvu.PrintArea" localSheetId="18" hidden="1">'Bid Form 2nd Envelope'!$A$1:$F$67</definedName>
    <definedName name="Z_CA9345C4_09FE_4F27_BFD9_3D9BCD2DED09_.wvu.PrintArea" localSheetId="1" hidden="1">Cover!$A$1:$F$14</definedName>
    <definedName name="Z_CA9345C4_09FE_4F27_BFD9_3D9BCD2DED09_.wvu.PrintArea" localSheetId="14" hidden="1">Discount!$A$2:$G$40</definedName>
    <definedName name="Z_CA9345C4_09FE_4F27_BFD9_3D9BCD2DED09_.wvu.PrintArea" localSheetId="16" hidden="1">'Entry Tax'!$A$1:$E$16</definedName>
    <definedName name="Z_CA9345C4_09FE_4F27_BFD9_3D9BCD2DED09_.wvu.PrintArea" localSheetId="2" hidden="1">Instructions!$A$1:$C$65</definedName>
    <definedName name="Z_CA9345C4_09FE_4F27_BFD9_3D9BCD2DED09_.wvu.PrintArea" localSheetId="3" hidden="1">'Names of Bidder'!$B$1:$H$28</definedName>
    <definedName name="Z_CA9345C4_09FE_4F27_BFD9_3D9BCD2DED09_.wvu.PrintArea" localSheetId="15" hidden="1">Octroi!$A$1:$E$16</definedName>
    <definedName name="Z_CA9345C4_09FE_4F27_BFD9_3D9BCD2DED09_.wvu.PrintArea" localSheetId="17" hidden="1">'Other Taxes &amp; Duties'!$A$1:$F$16</definedName>
    <definedName name="Z_CA9345C4_09FE_4F27_BFD9_3D9BCD2DED09_.wvu.PrintArea" localSheetId="4" hidden="1">'Sch-1'!$A$1:$N$334</definedName>
    <definedName name="Z_CA9345C4_09FE_4F27_BFD9_3D9BCD2DED09_.wvu.PrintArea" localSheetId="5" hidden="1">'Sch-2'!$A$1:$J$320</definedName>
    <definedName name="Z_CA9345C4_09FE_4F27_BFD9_3D9BCD2DED09_.wvu.PrintArea" localSheetId="6" hidden="1">'Sch-3'!$A$1:$P$163</definedName>
    <definedName name="Z_CA9345C4_09FE_4F27_BFD9_3D9BCD2DED09_.wvu.PrintArea" localSheetId="7" hidden="1">'Sch-4'!$A$1:$P$26</definedName>
    <definedName name="Z_CA9345C4_09FE_4F27_BFD9_3D9BCD2DED09_.wvu.PrintArea" localSheetId="8" hidden="1">'Sch-5'!$A$1:$E$23</definedName>
    <definedName name="Z_CA9345C4_09FE_4F27_BFD9_3D9BCD2DED09_.wvu.PrintArea" localSheetId="9" hidden="1">'Sch-5 after discount'!$A$1:$E$23</definedName>
    <definedName name="Z_CA9345C4_09FE_4F27_BFD9_3D9BCD2DED09_.wvu.PrintArea" localSheetId="10" hidden="1">'Sch-6'!$A$1:$D$32</definedName>
    <definedName name="Z_CA9345C4_09FE_4F27_BFD9_3D9BCD2DED09_.wvu.PrintArea" localSheetId="12" hidden="1">'Sch-6 (After Discount)'!$A$1:$D$32</definedName>
    <definedName name="Z_CA9345C4_09FE_4F27_BFD9_3D9BCD2DED09_.wvu.PrintArea" localSheetId="11" hidden="1">'Sch-6 After Discount'!$A$1:$D$31</definedName>
    <definedName name="Z_CA9345C4_09FE_4F27_BFD9_3D9BCD2DED09_.wvu.PrintArea" localSheetId="13" hidden="1">'Sch-7'!$A$1:$M$22</definedName>
    <definedName name="Z_CA9345C4_09FE_4F27_BFD9_3D9BCD2DED09_.wvu.PrintTitles" localSheetId="4" hidden="1">'Sch-1'!$15:$16</definedName>
    <definedName name="Z_CA9345C4_09FE_4F27_BFD9_3D9BCD2DED09_.wvu.PrintTitles" localSheetId="5" hidden="1">'Sch-2'!$15:$16</definedName>
    <definedName name="Z_CA9345C4_09FE_4F27_BFD9_3D9BCD2DED09_.wvu.PrintTitles" localSheetId="6" hidden="1">'Sch-3'!$15:$16</definedName>
    <definedName name="Z_CA9345C4_09FE_4F27_BFD9_3D9BCD2DED09_.wvu.PrintTitles" localSheetId="8" hidden="1">'Sch-5'!$3:$14</definedName>
    <definedName name="Z_CA9345C4_09FE_4F27_BFD9_3D9BCD2DED09_.wvu.PrintTitles" localSheetId="9" hidden="1">'Sch-5 after discount'!$3:$14</definedName>
    <definedName name="Z_CA9345C4_09FE_4F27_BFD9_3D9BCD2DED09_.wvu.PrintTitles" localSheetId="10" hidden="1">'Sch-6'!$3:$14</definedName>
    <definedName name="Z_CA9345C4_09FE_4F27_BFD9_3D9BCD2DED09_.wvu.PrintTitles" localSheetId="12" hidden="1">'Sch-6 (After Discount)'!$3:$14</definedName>
    <definedName name="Z_CA9345C4_09FE_4F27_BFD9_3D9BCD2DED09_.wvu.PrintTitles" localSheetId="11" hidden="1">'Sch-6 After Discount'!$3:$13</definedName>
    <definedName name="Z_CA9345C4_09FE_4F27_BFD9_3D9BCD2DED09_.wvu.Rows" localSheetId="1" hidden="1">Cover!$7:$7</definedName>
    <definedName name="Z_CA9345C4_09FE_4F27_BFD9_3D9BCD2DED09_.wvu.Rows" localSheetId="14" hidden="1">Discount!$29:$32</definedName>
    <definedName name="Z_CA9345C4_09FE_4F27_BFD9_3D9BCD2DED09_.wvu.Rows" localSheetId="3" hidden="1">'Names of Bidder'!$19:$22</definedName>
    <definedName name="Z_CA9345C4_09FE_4F27_BFD9_3D9BCD2DED09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'Sch-1'!$O:$V,'Sch-1'!$X:$AK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'Sch-1'!$A$184:$IV$184</definedName>
    <definedName name="Z_CCA37BAE_906F_43D5_9FD9_B13563E4B9D7_.wvu.FilterData" localSheetId="5" hidden="1">'Sch-2'!$A$17:$AF$317</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Bidder'!$B$1:$H$28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'Sch-1'!$A$1:$N$334</definedName>
    <definedName name="Z_CCA37BAE_906F_43D5_9FD9_B13563E4B9D7_.wvu.PrintArea" localSheetId="5" hidden="1">'Sch-2'!$A$1:$J$320</definedName>
    <definedName name="Z_CCA37BAE_906F_43D5_9FD9_B13563E4B9D7_.wvu.PrintArea" localSheetId="6" hidden="1">'Sch-3'!$A$1:$P$163</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5521983_A70D_48A3_9506_C0263CBBC57D_.wvu.Cols" localSheetId="0" hidden="1">Basic!$I:$I</definedName>
    <definedName name="Z_D5521983_A70D_48A3_9506_C0263CBBC57D_.wvu.Cols" localSheetId="18" hidden="1">'Bid Form 2nd Envelope'!$H:$AO</definedName>
    <definedName name="Z_D5521983_A70D_48A3_9506_C0263CBBC57D_.wvu.Cols" localSheetId="14" hidden="1">Discount!$H:$L</definedName>
    <definedName name="Z_D5521983_A70D_48A3_9506_C0263CBBC57D_.wvu.Cols" localSheetId="3" hidden="1">'Names of Bidder'!$H:$H,'Names of Bidder'!$K:$K</definedName>
    <definedName name="Z_D5521983_A70D_48A3_9506_C0263CBBC57D_.wvu.Cols" localSheetId="21" hidden="1">'N-W (Cr.)'!$A:$O,'N-W (Cr.)'!$T:$DL</definedName>
    <definedName name="Z_D5521983_A70D_48A3_9506_C0263CBBC57D_.wvu.Cols" localSheetId="4" hidden="1">'Sch-1'!$O:$V,'Sch-1'!$X:$AK</definedName>
    <definedName name="Z_D5521983_A70D_48A3_9506_C0263CBBC57D_.wvu.Cols" localSheetId="6" hidden="1">'Sch-3'!$Q:$V</definedName>
    <definedName name="Z_D5521983_A70D_48A3_9506_C0263CBBC57D_.wvu.Cols" localSheetId="8" hidden="1">'Sch-5'!$F:$T</definedName>
    <definedName name="Z_D5521983_A70D_48A3_9506_C0263CBBC57D_.wvu.Cols" localSheetId="12" hidden="1">'Sch-6 (After Discount)'!$E:$F</definedName>
    <definedName name="Z_D5521983_A70D_48A3_9506_C0263CBBC57D_.wvu.Cols" localSheetId="13" hidden="1">'Sch-7'!$AA:$AG</definedName>
    <definedName name="Z_D5521983_A70D_48A3_9506_C0263CBBC57D_.wvu.FilterData" localSheetId="4" hidden="1">'Sch-1'!$A$17:$IV$330</definedName>
    <definedName name="Z_D5521983_A70D_48A3_9506_C0263CBBC57D_.wvu.FilterData" localSheetId="5" hidden="1">'Sch-2'!$A$17:$AF$317</definedName>
    <definedName name="Z_D5521983_A70D_48A3_9506_C0263CBBC57D_.wvu.PrintArea" localSheetId="18" hidden="1">'Bid Form 2nd Envelope'!$A$1:$F$67</definedName>
    <definedName name="Z_D5521983_A70D_48A3_9506_C0263CBBC57D_.wvu.PrintArea" localSheetId="14" hidden="1">Discount!$A$2:$G$40</definedName>
    <definedName name="Z_D5521983_A70D_48A3_9506_C0263CBBC57D_.wvu.PrintArea" localSheetId="16" hidden="1">'Entry Tax'!$A$1:$E$16</definedName>
    <definedName name="Z_D5521983_A70D_48A3_9506_C0263CBBC57D_.wvu.PrintArea" localSheetId="2" hidden="1">Instructions!$A$1:$C$65</definedName>
    <definedName name="Z_D5521983_A70D_48A3_9506_C0263CBBC57D_.wvu.PrintArea" localSheetId="3" hidden="1">'Names of Bidder'!$B$1:$H$28</definedName>
    <definedName name="Z_D5521983_A70D_48A3_9506_C0263CBBC57D_.wvu.PrintArea" localSheetId="15" hidden="1">Octroi!$A$1:$E$16</definedName>
    <definedName name="Z_D5521983_A70D_48A3_9506_C0263CBBC57D_.wvu.PrintArea" localSheetId="17" hidden="1">'Other Taxes &amp; Duties'!$A$1:$F$16</definedName>
    <definedName name="Z_D5521983_A70D_48A3_9506_C0263CBBC57D_.wvu.PrintArea" localSheetId="4" hidden="1">'Sch-1'!$A$1:$N$334</definedName>
    <definedName name="Z_D5521983_A70D_48A3_9506_C0263CBBC57D_.wvu.PrintArea" localSheetId="5" hidden="1">'Sch-2'!$A$1:$J$320</definedName>
    <definedName name="Z_D5521983_A70D_48A3_9506_C0263CBBC57D_.wvu.PrintArea" localSheetId="6" hidden="1">'Sch-3'!$A$1:$P$163</definedName>
    <definedName name="Z_D5521983_A70D_48A3_9506_C0263CBBC57D_.wvu.PrintArea" localSheetId="7" hidden="1">'Sch-4'!$A$1:$P$26</definedName>
    <definedName name="Z_D5521983_A70D_48A3_9506_C0263CBBC57D_.wvu.PrintArea" localSheetId="8" hidden="1">'Sch-5'!$A$1:$E$23</definedName>
    <definedName name="Z_D5521983_A70D_48A3_9506_C0263CBBC57D_.wvu.PrintArea" localSheetId="9" hidden="1">'Sch-5 after discount'!$A$1:$E$23</definedName>
    <definedName name="Z_D5521983_A70D_48A3_9506_C0263CBBC57D_.wvu.PrintArea" localSheetId="10" hidden="1">'Sch-6'!$A$1:$D$32</definedName>
    <definedName name="Z_D5521983_A70D_48A3_9506_C0263CBBC57D_.wvu.PrintArea" localSheetId="12" hidden="1">'Sch-6 (After Discount)'!$A$1:$D$32</definedName>
    <definedName name="Z_D5521983_A70D_48A3_9506_C0263CBBC57D_.wvu.PrintArea" localSheetId="11" hidden="1">'Sch-6 After Discount'!$A$1:$D$31</definedName>
    <definedName name="Z_D5521983_A70D_48A3_9506_C0263CBBC57D_.wvu.PrintArea" localSheetId="13" hidden="1">'Sch-7'!$A$1:$M$22</definedName>
    <definedName name="Z_D5521983_A70D_48A3_9506_C0263CBBC57D_.wvu.PrintTitles" localSheetId="4" hidden="1">'Sch-1'!$15:$16</definedName>
    <definedName name="Z_D5521983_A70D_48A3_9506_C0263CBBC57D_.wvu.PrintTitles" localSheetId="5" hidden="1">'Sch-2'!$15:$16</definedName>
    <definedName name="Z_D5521983_A70D_48A3_9506_C0263CBBC57D_.wvu.PrintTitles" localSheetId="6" hidden="1">'Sch-3'!$15:$16</definedName>
    <definedName name="Z_D5521983_A70D_48A3_9506_C0263CBBC57D_.wvu.PrintTitles" localSheetId="8" hidden="1">'Sch-5'!$3:$14</definedName>
    <definedName name="Z_D5521983_A70D_48A3_9506_C0263CBBC57D_.wvu.PrintTitles" localSheetId="9" hidden="1">'Sch-5 after discount'!$3:$14</definedName>
    <definedName name="Z_D5521983_A70D_48A3_9506_C0263CBBC57D_.wvu.PrintTitles" localSheetId="10" hidden="1">'Sch-6'!$3:$14</definedName>
    <definedName name="Z_D5521983_A70D_48A3_9506_C0263CBBC57D_.wvu.PrintTitles" localSheetId="12" hidden="1">'Sch-6 (After Discount)'!$3:$14</definedName>
    <definedName name="Z_D5521983_A70D_48A3_9506_C0263CBBC57D_.wvu.PrintTitles" localSheetId="11" hidden="1">'Sch-6 After Discount'!$3:$13</definedName>
    <definedName name="Z_D5521983_A70D_48A3_9506_C0263CBBC57D_.wvu.Rows" localSheetId="1" hidden="1">Cover!$7:$7</definedName>
    <definedName name="Z_D5521983_A70D_48A3_9506_C0263CBBC57D_.wvu.Rows" localSheetId="14" hidden="1">Discount!$29:$32</definedName>
    <definedName name="Z_D5521983_A70D_48A3_9506_C0263CBBC57D_.wvu.Rows" localSheetId="3" hidden="1">'Names of Bidder'!$19:$22</definedName>
    <definedName name="Z_D5521983_A70D_48A3_9506_C0263CBBC57D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60001714 - Personal View" guid="{B85D7887-A299-45C0-BD97-6C28577A6A5C}" mergeInterval="0" personalView="1" maximized="1" xWindow="-8" yWindow="-8" windowWidth="1936" windowHeight="1056" tabRatio="670" activeSheetId="7"/>
    <customWorkbookView name="Adil Iqbal Khan {Adil Iqbal Khan} - Personal View" guid="{CA9345C4-09FE-4F27-BFD9-3D9BCD2DED09}" mergeInterval="0" personalView="1" maximized="1" xWindow="-9" yWindow="-9" windowWidth="1938" windowHeight="1048" tabRatio="786" activeSheetId="19"/>
    <customWorkbookView name="Charanya Ambati {चरण्या अंबटि} - Personal View" guid="{7AB1F867-F01E-4EB9-A93D-DDCFDB9AA444}" mergeInterval="0" personalView="1" maximized="1" xWindow="-9" yWindow="-9" windowWidth="1938" windowHeight="1048" tabRatio="786"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Neelam Singh {नीलम सिंह} - Personal View" guid="{497EA202-A8B8-45C5-9E6C-C3CD104F3979}" mergeInterval="0" personalView="1" maximized="1" windowWidth="1916" windowHeight="853" tabRatio="786" activeSheetId="7"/>
    <customWorkbookView name="Rahul {Rahul} - Personal View" guid="{63D51328-7CBC-4A1E-B96D-BAE91416501B}" mergeInterval="0" personalView="1" maximized="1" xWindow="-8" yWindow="-8" windowWidth="1936" windowHeight="1056" tabRatio="786" activeSheetId="5"/>
    <customWorkbookView name="Atul Singh - Personal View" guid="{D5521983-A70D-48A3-9506-C0263CBBC57D}" mergeInterval="0" personalView="1" maximized="1" windowWidth="1362" windowHeight="542" tabRatio="786" activeSheetId="19"/>
    <customWorkbookView name="Atul Kumar Singh {अतुल कुमार सिंह} - Personal View" guid="{12A89170-4F84-482D-A3C5-7890082E7B73}" mergeInterval="0" personalView="1" maximized="1" xWindow="-8" yWindow="-8" windowWidth="1936" windowHeight="1056" tabRatio="786" activeSheetId="19"/>
    <customWorkbookView name="Umesh Kumar Yadav {उमेश कुमार यादव} - Personal View" guid="{CCA37BAE-906F-43D5-9FD9-B13563E4B9D7}" mergeInterval="0" personalView="1" maximized="1" xWindow="-8" yWindow="-8" windowWidth="1936" windowHeight="1056" tabRatio="67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2" i="5" l="1"/>
  <c r="N182" i="5"/>
  <c r="O182" i="5" s="1"/>
  <c r="T181" i="5"/>
  <c r="N181" i="5"/>
  <c r="P181" i="5" s="1"/>
  <c r="T180" i="5"/>
  <c r="N180" i="5"/>
  <c r="P180" i="5" s="1"/>
  <c r="T179" i="5"/>
  <c r="N179" i="5"/>
  <c r="P179" i="5" s="1"/>
  <c r="T178" i="5"/>
  <c r="P178" i="5"/>
  <c r="N178" i="5"/>
  <c r="O178" i="5" s="1"/>
  <c r="T177" i="5"/>
  <c r="N177" i="5"/>
  <c r="P177" i="5" s="1"/>
  <c r="T176" i="5"/>
  <c r="N176" i="5"/>
  <c r="P176" i="5" s="1"/>
  <c r="T175" i="5"/>
  <c r="N175" i="5"/>
  <c r="P175" i="5" s="1"/>
  <c r="T174" i="5"/>
  <c r="P174" i="5"/>
  <c r="N174" i="5"/>
  <c r="O174" i="5" s="1"/>
  <c r="T173" i="5"/>
  <c r="N173" i="5"/>
  <c r="P173" i="5" s="1"/>
  <c r="T172" i="5"/>
  <c r="N172" i="5"/>
  <c r="P172" i="5" s="1"/>
  <c r="V156" i="7"/>
  <c r="P156" i="7"/>
  <c r="R156" i="7" s="1"/>
  <c r="O173" i="5" l="1"/>
  <c r="O177" i="5"/>
  <c r="O181" i="5"/>
  <c r="P182" i="5"/>
  <c r="O172" i="5"/>
  <c r="O176" i="5"/>
  <c r="O180" i="5"/>
  <c r="O175" i="5"/>
  <c r="O179" i="5"/>
  <c r="Q156" i="7"/>
  <c r="V85" i="7" l="1"/>
  <c r="P85" i="7"/>
  <c r="R85" i="7" s="1"/>
  <c r="V84" i="7"/>
  <c r="P84" i="7"/>
  <c r="R84" i="7" s="1"/>
  <c r="V83" i="7"/>
  <c r="P83" i="7"/>
  <c r="Q83" i="7" s="1"/>
  <c r="V82" i="7"/>
  <c r="P82" i="7"/>
  <c r="V81" i="7"/>
  <c r="P81" i="7"/>
  <c r="R81" i="7" s="1"/>
  <c r="V80" i="7"/>
  <c r="P80" i="7"/>
  <c r="Q80" i="7" s="1"/>
  <c r="V79" i="7"/>
  <c r="P79" i="7"/>
  <c r="R79" i="7" s="1"/>
  <c r="V78" i="7"/>
  <c r="P78" i="7"/>
  <c r="R78" i="7" s="1"/>
  <c r="V77" i="7"/>
  <c r="P77" i="7"/>
  <c r="Q77" i="7" s="1"/>
  <c r="V76" i="7"/>
  <c r="P76" i="7"/>
  <c r="V75" i="7"/>
  <c r="P75" i="7"/>
  <c r="R75" i="7" s="1"/>
  <c r="V74" i="7"/>
  <c r="P74" i="7"/>
  <c r="Q74" i="7" s="1"/>
  <c r="V73" i="7"/>
  <c r="P73" i="7"/>
  <c r="R73" i="7" s="1"/>
  <c r="V72" i="7"/>
  <c r="P72" i="7"/>
  <c r="Q72" i="7" s="1"/>
  <c r="V71" i="7"/>
  <c r="P71" i="7"/>
  <c r="Q71" i="7" s="1"/>
  <c r="V70" i="7"/>
  <c r="P70" i="7"/>
  <c r="V69" i="7"/>
  <c r="P69" i="7"/>
  <c r="Q69" i="7" s="1"/>
  <c r="V68" i="7"/>
  <c r="P68" i="7"/>
  <c r="Q68" i="7" s="1"/>
  <c r="V67" i="7"/>
  <c r="P67" i="7"/>
  <c r="R67" i="7" s="1"/>
  <c r="V66" i="7"/>
  <c r="P66" i="7"/>
  <c r="R66" i="7" s="1"/>
  <c r="V65" i="7"/>
  <c r="P65" i="7"/>
  <c r="Q65" i="7" s="1"/>
  <c r="V64" i="7"/>
  <c r="P64" i="7"/>
  <c r="V63" i="7"/>
  <c r="P63" i="7"/>
  <c r="Q63" i="7" s="1"/>
  <c r="V62" i="7"/>
  <c r="P62" i="7"/>
  <c r="Q62" i="7" s="1"/>
  <c r="V61" i="7"/>
  <c r="P61" i="7"/>
  <c r="R61" i="7" s="1"/>
  <c r="V60" i="7"/>
  <c r="P60" i="7"/>
  <c r="R60" i="7" s="1"/>
  <c r="V59" i="7"/>
  <c r="P59" i="7"/>
  <c r="Q59" i="7" s="1"/>
  <c r="V58" i="7"/>
  <c r="P58" i="7"/>
  <c r="V57" i="7"/>
  <c r="P57" i="7"/>
  <c r="Q57" i="7" s="1"/>
  <c r="V56" i="7"/>
  <c r="P56" i="7"/>
  <c r="Q56" i="7" s="1"/>
  <c r="V55" i="7"/>
  <c r="P55" i="7"/>
  <c r="R55" i="7" s="1"/>
  <c r="V54" i="7"/>
  <c r="P54" i="7"/>
  <c r="R54" i="7" s="1"/>
  <c r="V53" i="7"/>
  <c r="P53" i="7"/>
  <c r="Q53" i="7" s="1"/>
  <c r="V52" i="7"/>
  <c r="P52" i="7"/>
  <c r="V51" i="7"/>
  <c r="P51" i="7"/>
  <c r="Q51" i="7" s="1"/>
  <c r="V50" i="7"/>
  <c r="P50" i="7"/>
  <c r="Q50" i="7" s="1"/>
  <c r="V49" i="7"/>
  <c r="P49" i="7"/>
  <c r="R49" i="7" s="1"/>
  <c r="V48" i="7"/>
  <c r="P48" i="7"/>
  <c r="R48" i="7" s="1"/>
  <c r="V47" i="7"/>
  <c r="P47" i="7"/>
  <c r="Q47" i="7" s="1"/>
  <c r="V46" i="7"/>
  <c r="P46" i="7"/>
  <c r="V45" i="7"/>
  <c r="P45" i="7"/>
  <c r="Q45" i="7" s="1"/>
  <c r="V44" i="7"/>
  <c r="P44" i="7"/>
  <c r="Q44" i="7" s="1"/>
  <c r="V43" i="7"/>
  <c r="P43" i="7"/>
  <c r="R43" i="7" s="1"/>
  <c r="V42" i="7"/>
  <c r="P42" i="7"/>
  <c r="R42" i="7" s="1"/>
  <c r="V41" i="7"/>
  <c r="P41" i="7"/>
  <c r="Q41" i="7" s="1"/>
  <c r="V40" i="7"/>
  <c r="P40" i="7"/>
  <c r="V39" i="7"/>
  <c r="P39" i="7"/>
  <c r="Q39" i="7" s="1"/>
  <c r="V38" i="7"/>
  <c r="P38" i="7"/>
  <c r="Q38" i="7" s="1"/>
  <c r="V37" i="7"/>
  <c r="P37" i="7"/>
  <c r="R37" i="7" s="1"/>
  <c r="V36" i="7"/>
  <c r="P36" i="7"/>
  <c r="R36" i="7" s="1"/>
  <c r="V35" i="7"/>
  <c r="P35" i="7"/>
  <c r="Q35" i="7" s="1"/>
  <c r="V34" i="7"/>
  <c r="P34" i="7"/>
  <c r="V33" i="7"/>
  <c r="P33" i="7"/>
  <c r="Q33" i="7" s="1"/>
  <c r="V32" i="7"/>
  <c r="P32" i="7"/>
  <c r="Q32" i="7" s="1"/>
  <c r="V31" i="7"/>
  <c r="P31" i="7"/>
  <c r="R31" i="7" s="1"/>
  <c r="V30" i="7"/>
  <c r="P30" i="7"/>
  <c r="R30" i="7" s="1"/>
  <c r="V29" i="7"/>
  <c r="P29" i="7"/>
  <c r="Q29" i="7" s="1"/>
  <c r="V28" i="7"/>
  <c r="P28" i="7"/>
  <c r="V27" i="7"/>
  <c r="P27" i="7"/>
  <c r="R27" i="7" s="1"/>
  <c r="V26" i="7"/>
  <c r="P26" i="7"/>
  <c r="Q26" i="7" s="1"/>
  <c r="V25" i="7"/>
  <c r="P25" i="7"/>
  <c r="R25" i="7" s="1"/>
  <c r="V24" i="7"/>
  <c r="P24" i="7"/>
  <c r="R24" i="7" s="1"/>
  <c r="V23" i="7"/>
  <c r="P23" i="7"/>
  <c r="Q23" i="7" s="1"/>
  <c r="V22" i="7"/>
  <c r="P22" i="7"/>
  <c r="V21" i="7"/>
  <c r="P21" i="7"/>
  <c r="Q21" i="7" s="1"/>
  <c r="V20" i="7"/>
  <c r="P20" i="7"/>
  <c r="Q20" i="7" s="1"/>
  <c r="V19" i="7"/>
  <c r="P19" i="7"/>
  <c r="R19" i="7" s="1"/>
  <c r="V18" i="7"/>
  <c r="P18" i="7"/>
  <c r="Q18" i="7" s="1"/>
  <c r="A315" i="6"/>
  <c r="B315" i="6"/>
  <c r="C315" i="6"/>
  <c r="D315" i="6"/>
  <c r="E315" i="6"/>
  <c r="F315" i="6"/>
  <c r="G315" i="6"/>
  <c r="H315" i="6"/>
  <c r="J315" i="6"/>
  <c r="A175" i="6"/>
  <c r="B175" i="6"/>
  <c r="C175" i="6"/>
  <c r="D175" i="6"/>
  <c r="E175" i="6"/>
  <c r="F175" i="6"/>
  <c r="G175" i="6"/>
  <c r="H175" i="6"/>
  <c r="A176" i="6"/>
  <c r="B176" i="6"/>
  <c r="C176" i="6"/>
  <c r="D176" i="6"/>
  <c r="E176" i="6"/>
  <c r="F176" i="6"/>
  <c r="G176" i="6"/>
  <c r="H176" i="6"/>
  <c r="A177" i="6"/>
  <c r="B177" i="6"/>
  <c r="C177" i="6"/>
  <c r="D177" i="6"/>
  <c r="E177" i="6"/>
  <c r="F177" i="6"/>
  <c r="G177" i="6"/>
  <c r="H177" i="6"/>
  <c r="A178" i="6"/>
  <c r="B178" i="6"/>
  <c r="C178" i="6"/>
  <c r="D178" i="6"/>
  <c r="E178" i="6"/>
  <c r="F178" i="6"/>
  <c r="G178" i="6"/>
  <c r="H178" i="6"/>
  <c r="A179" i="6"/>
  <c r="B179" i="6"/>
  <c r="C179" i="6"/>
  <c r="D179" i="6"/>
  <c r="E179" i="6"/>
  <c r="F179" i="6"/>
  <c r="G179" i="6"/>
  <c r="H179" i="6"/>
  <c r="A180" i="6"/>
  <c r="B180" i="6"/>
  <c r="C180" i="6"/>
  <c r="D180" i="6"/>
  <c r="E180" i="6"/>
  <c r="F180" i="6"/>
  <c r="G180" i="6"/>
  <c r="H180" i="6"/>
  <c r="A181" i="6"/>
  <c r="B181" i="6"/>
  <c r="C181" i="6"/>
  <c r="D181" i="6"/>
  <c r="E181" i="6"/>
  <c r="F181" i="6"/>
  <c r="G181" i="6"/>
  <c r="H181" i="6"/>
  <c r="A182" i="6"/>
  <c r="B182" i="6"/>
  <c r="C182" i="6"/>
  <c r="D182" i="6"/>
  <c r="E182" i="6"/>
  <c r="F182" i="6"/>
  <c r="G182" i="6"/>
  <c r="H182" i="6"/>
  <c r="A183" i="6"/>
  <c r="B183" i="6"/>
  <c r="C183" i="6"/>
  <c r="D183" i="6"/>
  <c r="E183" i="6"/>
  <c r="F183" i="6"/>
  <c r="G183" i="6"/>
  <c r="H183" i="6"/>
  <c r="A184" i="6"/>
  <c r="B184" i="6"/>
  <c r="C184" i="6"/>
  <c r="D184" i="6"/>
  <c r="E184" i="6"/>
  <c r="F184" i="6"/>
  <c r="G184" i="6"/>
  <c r="H184" i="6"/>
  <c r="A185" i="6"/>
  <c r="B185" i="6"/>
  <c r="C185" i="6"/>
  <c r="D185" i="6"/>
  <c r="E185" i="6"/>
  <c r="F185" i="6"/>
  <c r="G185" i="6"/>
  <c r="H185" i="6"/>
  <c r="A186" i="6"/>
  <c r="B186" i="6"/>
  <c r="C186" i="6"/>
  <c r="D186" i="6"/>
  <c r="E186" i="6"/>
  <c r="F186" i="6"/>
  <c r="G186" i="6"/>
  <c r="H186" i="6"/>
  <c r="A187" i="6"/>
  <c r="B187" i="6"/>
  <c r="C187" i="6"/>
  <c r="D187" i="6"/>
  <c r="E187" i="6"/>
  <c r="F187" i="6"/>
  <c r="G187" i="6"/>
  <c r="H187" i="6"/>
  <c r="A188" i="6"/>
  <c r="B188" i="6"/>
  <c r="C188" i="6"/>
  <c r="D188" i="6"/>
  <c r="E188" i="6"/>
  <c r="F188" i="6"/>
  <c r="G188" i="6"/>
  <c r="H188" i="6"/>
  <c r="A189" i="6"/>
  <c r="B189" i="6"/>
  <c r="C189" i="6"/>
  <c r="D189" i="6"/>
  <c r="E189" i="6"/>
  <c r="F189" i="6"/>
  <c r="G189" i="6"/>
  <c r="H189" i="6"/>
  <c r="A190" i="6"/>
  <c r="B190" i="6"/>
  <c r="C190" i="6"/>
  <c r="D190" i="6"/>
  <c r="E190" i="6"/>
  <c r="F190" i="6"/>
  <c r="G190" i="6"/>
  <c r="H190" i="6"/>
  <c r="A191" i="6"/>
  <c r="B191" i="6"/>
  <c r="C191" i="6"/>
  <c r="D191" i="6"/>
  <c r="E191" i="6"/>
  <c r="F191" i="6"/>
  <c r="G191" i="6"/>
  <c r="H191" i="6"/>
  <c r="A192" i="6"/>
  <c r="B192" i="6"/>
  <c r="C192" i="6"/>
  <c r="D192" i="6"/>
  <c r="E192" i="6"/>
  <c r="F192" i="6"/>
  <c r="G192" i="6"/>
  <c r="H192" i="6"/>
  <c r="A193" i="6"/>
  <c r="B193" i="6"/>
  <c r="C193" i="6"/>
  <c r="D193" i="6"/>
  <c r="E193" i="6"/>
  <c r="F193" i="6"/>
  <c r="G193" i="6"/>
  <c r="H193" i="6"/>
  <c r="A194" i="6"/>
  <c r="B194" i="6"/>
  <c r="C194" i="6"/>
  <c r="D194" i="6"/>
  <c r="E194" i="6"/>
  <c r="F194" i="6"/>
  <c r="G194" i="6"/>
  <c r="H194" i="6"/>
  <c r="A195" i="6"/>
  <c r="B195" i="6"/>
  <c r="C195" i="6"/>
  <c r="D195" i="6"/>
  <c r="E195" i="6"/>
  <c r="F195" i="6"/>
  <c r="G195" i="6"/>
  <c r="H195" i="6"/>
  <c r="A196" i="6"/>
  <c r="B196" i="6"/>
  <c r="C196" i="6"/>
  <c r="D196" i="6"/>
  <c r="E196" i="6"/>
  <c r="F196" i="6"/>
  <c r="G196" i="6"/>
  <c r="H196" i="6"/>
  <c r="A197" i="6"/>
  <c r="B197" i="6"/>
  <c r="C197" i="6"/>
  <c r="D197" i="6"/>
  <c r="E197" i="6"/>
  <c r="F197" i="6"/>
  <c r="G197" i="6"/>
  <c r="H197" i="6"/>
  <c r="A198" i="6"/>
  <c r="B198" i="6"/>
  <c r="C198" i="6"/>
  <c r="D198" i="6"/>
  <c r="E198" i="6"/>
  <c r="F198" i="6"/>
  <c r="G198" i="6"/>
  <c r="H198" i="6"/>
  <c r="A199" i="6"/>
  <c r="B199" i="6"/>
  <c r="C199" i="6"/>
  <c r="D199" i="6"/>
  <c r="E199" i="6"/>
  <c r="F199" i="6"/>
  <c r="G199" i="6"/>
  <c r="H199" i="6"/>
  <c r="A200" i="6"/>
  <c r="B200" i="6"/>
  <c r="C200" i="6"/>
  <c r="D200" i="6"/>
  <c r="E200" i="6"/>
  <c r="F200" i="6"/>
  <c r="G200" i="6"/>
  <c r="H200" i="6"/>
  <c r="A201" i="6"/>
  <c r="B201" i="6"/>
  <c r="C201" i="6"/>
  <c r="D201" i="6"/>
  <c r="E201" i="6"/>
  <c r="F201" i="6"/>
  <c r="G201" i="6"/>
  <c r="H201" i="6"/>
  <c r="A202" i="6"/>
  <c r="B202" i="6"/>
  <c r="C202" i="6"/>
  <c r="D202" i="6"/>
  <c r="E202" i="6"/>
  <c r="F202" i="6"/>
  <c r="G202" i="6"/>
  <c r="H202" i="6"/>
  <c r="A203" i="6"/>
  <c r="B203" i="6"/>
  <c r="C203" i="6"/>
  <c r="D203" i="6"/>
  <c r="E203" i="6"/>
  <c r="F203" i="6"/>
  <c r="G203" i="6"/>
  <c r="H203" i="6"/>
  <c r="A204" i="6"/>
  <c r="B204" i="6"/>
  <c r="C204" i="6"/>
  <c r="D204" i="6"/>
  <c r="E204" i="6"/>
  <c r="F204" i="6"/>
  <c r="G204" i="6"/>
  <c r="H204" i="6"/>
  <c r="A205" i="6"/>
  <c r="B205" i="6"/>
  <c r="C205" i="6"/>
  <c r="D205" i="6"/>
  <c r="E205" i="6"/>
  <c r="F205" i="6"/>
  <c r="G205" i="6"/>
  <c r="H205" i="6"/>
  <c r="A206" i="6"/>
  <c r="B206" i="6"/>
  <c r="C206" i="6"/>
  <c r="D206" i="6"/>
  <c r="E206" i="6"/>
  <c r="F206" i="6"/>
  <c r="G206" i="6"/>
  <c r="H206" i="6"/>
  <c r="A207" i="6"/>
  <c r="B207" i="6"/>
  <c r="C207" i="6"/>
  <c r="D207" i="6"/>
  <c r="E207" i="6"/>
  <c r="F207" i="6"/>
  <c r="G207" i="6"/>
  <c r="H207" i="6"/>
  <c r="A208" i="6"/>
  <c r="B208" i="6"/>
  <c r="C208" i="6"/>
  <c r="D208" i="6"/>
  <c r="E208" i="6"/>
  <c r="F208" i="6"/>
  <c r="G208" i="6"/>
  <c r="H208" i="6"/>
  <c r="A209" i="6"/>
  <c r="B209" i="6"/>
  <c r="C209" i="6"/>
  <c r="D209" i="6"/>
  <c r="E209" i="6"/>
  <c r="F209" i="6"/>
  <c r="G209" i="6"/>
  <c r="H209" i="6"/>
  <c r="A210" i="6"/>
  <c r="B210" i="6"/>
  <c r="C210" i="6"/>
  <c r="D210" i="6"/>
  <c r="E210" i="6"/>
  <c r="F210" i="6"/>
  <c r="G210" i="6"/>
  <c r="H210" i="6"/>
  <c r="A211" i="6"/>
  <c r="B211" i="6"/>
  <c r="C211" i="6"/>
  <c r="D211" i="6"/>
  <c r="E211" i="6"/>
  <c r="F211" i="6"/>
  <c r="G211" i="6"/>
  <c r="H211" i="6"/>
  <c r="A212" i="6"/>
  <c r="B212" i="6"/>
  <c r="C212" i="6"/>
  <c r="D212" i="6"/>
  <c r="E212" i="6"/>
  <c r="F212" i="6"/>
  <c r="G212" i="6"/>
  <c r="H212" i="6"/>
  <c r="A213" i="6"/>
  <c r="B213" i="6"/>
  <c r="C213" i="6"/>
  <c r="D213" i="6"/>
  <c r="E213" i="6"/>
  <c r="F213" i="6"/>
  <c r="G213" i="6"/>
  <c r="H213" i="6"/>
  <c r="A214" i="6"/>
  <c r="B214" i="6"/>
  <c r="C214" i="6"/>
  <c r="D214" i="6"/>
  <c r="E214" i="6"/>
  <c r="F214" i="6"/>
  <c r="G214" i="6"/>
  <c r="H214" i="6"/>
  <c r="A215" i="6"/>
  <c r="B215" i="6"/>
  <c r="C215" i="6"/>
  <c r="D215" i="6"/>
  <c r="E215" i="6"/>
  <c r="F215" i="6"/>
  <c r="G215" i="6"/>
  <c r="H215" i="6"/>
  <c r="A216" i="6"/>
  <c r="B216" i="6"/>
  <c r="C216" i="6"/>
  <c r="D216" i="6"/>
  <c r="E216" i="6"/>
  <c r="F216" i="6"/>
  <c r="G216" i="6"/>
  <c r="H216" i="6"/>
  <c r="A217" i="6"/>
  <c r="B217" i="6"/>
  <c r="C217" i="6"/>
  <c r="D217" i="6"/>
  <c r="E217" i="6"/>
  <c r="F217" i="6"/>
  <c r="G217" i="6"/>
  <c r="H217" i="6"/>
  <c r="A218" i="6"/>
  <c r="B218" i="6"/>
  <c r="C218" i="6"/>
  <c r="D218" i="6"/>
  <c r="E218" i="6"/>
  <c r="F218" i="6"/>
  <c r="G218" i="6"/>
  <c r="H218" i="6"/>
  <c r="A219" i="6"/>
  <c r="B219" i="6"/>
  <c r="C219" i="6"/>
  <c r="D219" i="6"/>
  <c r="E219" i="6"/>
  <c r="F219" i="6"/>
  <c r="G219" i="6"/>
  <c r="H219" i="6"/>
  <c r="A220" i="6"/>
  <c r="B220" i="6"/>
  <c r="C220" i="6"/>
  <c r="D220" i="6"/>
  <c r="E220" i="6"/>
  <c r="F220" i="6"/>
  <c r="G220" i="6"/>
  <c r="H220" i="6"/>
  <c r="A221" i="6"/>
  <c r="B221" i="6"/>
  <c r="C221" i="6"/>
  <c r="D221" i="6"/>
  <c r="E221" i="6"/>
  <c r="F221" i="6"/>
  <c r="G221" i="6"/>
  <c r="H221" i="6"/>
  <c r="A222" i="6"/>
  <c r="B222" i="6"/>
  <c r="C222" i="6"/>
  <c r="D222" i="6"/>
  <c r="E222" i="6"/>
  <c r="F222" i="6"/>
  <c r="G222" i="6"/>
  <c r="H222" i="6"/>
  <c r="A223" i="6"/>
  <c r="B223" i="6"/>
  <c r="C223" i="6"/>
  <c r="D223" i="6"/>
  <c r="E223" i="6"/>
  <c r="F223" i="6"/>
  <c r="G223" i="6"/>
  <c r="H223" i="6"/>
  <c r="A224" i="6"/>
  <c r="B224" i="6"/>
  <c r="C224" i="6"/>
  <c r="D224" i="6"/>
  <c r="E224" i="6"/>
  <c r="F224" i="6"/>
  <c r="G224" i="6"/>
  <c r="H224" i="6"/>
  <c r="A225" i="6"/>
  <c r="B225" i="6"/>
  <c r="C225" i="6"/>
  <c r="D225" i="6"/>
  <c r="E225" i="6"/>
  <c r="F225" i="6"/>
  <c r="G225" i="6"/>
  <c r="H225" i="6"/>
  <c r="A226" i="6"/>
  <c r="B226" i="6"/>
  <c r="C226" i="6"/>
  <c r="D226" i="6"/>
  <c r="E226" i="6"/>
  <c r="F226" i="6"/>
  <c r="G226" i="6"/>
  <c r="H226" i="6"/>
  <c r="A227" i="6"/>
  <c r="B227" i="6"/>
  <c r="C227" i="6"/>
  <c r="D227" i="6"/>
  <c r="E227" i="6"/>
  <c r="F227" i="6"/>
  <c r="G227" i="6"/>
  <c r="H227" i="6"/>
  <c r="A228" i="6"/>
  <c r="B228" i="6"/>
  <c r="C228" i="6"/>
  <c r="D228" i="6"/>
  <c r="E228" i="6"/>
  <c r="F228" i="6"/>
  <c r="G228" i="6"/>
  <c r="H228" i="6"/>
  <c r="A229" i="6"/>
  <c r="B229" i="6"/>
  <c r="C229" i="6"/>
  <c r="D229" i="6"/>
  <c r="E229" i="6"/>
  <c r="F229" i="6"/>
  <c r="G229" i="6"/>
  <c r="H229" i="6"/>
  <c r="A230" i="6"/>
  <c r="B230" i="6"/>
  <c r="C230" i="6"/>
  <c r="D230" i="6"/>
  <c r="E230" i="6"/>
  <c r="F230" i="6"/>
  <c r="G230" i="6"/>
  <c r="H230" i="6"/>
  <c r="A231" i="6"/>
  <c r="B231" i="6"/>
  <c r="C231" i="6"/>
  <c r="D231" i="6"/>
  <c r="E231" i="6"/>
  <c r="F231" i="6"/>
  <c r="G231" i="6"/>
  <c r="H231" i="6"/>
  <c r="A232" i="6"/>
  <c r="B232" i="6"/>
  <c r="C232" i="6"/>
  <c r="D232" i="6"/>
  <c r="E232" i="6"/>
  <c r="F232" i="6"/>
  <c r="G232" i="6"/>
  <c r="H232" i="6"/>
  <c r="A233" i="6"/>
  <c r="B233" i="6"/>
  <c r="C233" i="6"/>
  <c r="D233" i="6"/>
  <c r="E233" i="6"/>
  <c r="F233" i="6"/>
  <c r="G233" i="6"/>
  <c r="H233" i="6"/>
  <c r="A234" i="6"/>
  <c r="B234" i="6"/>
  <c r="C234" i="6"/>
  <c r="D234" i="6"/>
  <c r="E234" i="6"/>
  <c r="F234" i="6"/>
  <c r="G234" i="6"/>
  <c r="H234" i="6"/>
  <c r="A235" i="6"/>
  <c r="B235" i="6"/>
  <c r="C235" i="6"/>
  <c r="D235" i="6"/>
  <c r="E235" i="6"/>
  <c r="F235" i="6"/>
  <c r="G235" i="6"/>
  <c r="H235" i="6"/>
  <c r="A236" i="6"/>
  <c r="B236" i="6"/>
  <c r="C236" i="6"/>
  <c r="D236" i="6"/>
  <c r="E236" i="6"/>
  <c r="F236" i="6"/>
  <c r="G236" i="6"/>
  <c r="H236" i="6"/>
  <c r="A237" i="6"/>
  <c r="B237" i="6"/>
  <c r="C237" i="6"/>
  <c r="D237" i="6"/>
  <c r="E237" i="6"/>
  <c r="F237" i="6"/>
  <c r="G237" i="6"/>
  <c r="H237" i="6"/>
  <c r="A238" i="6"/>
  <c r="B238" i="6"/>
  <c r="C238" i="6"/>
  <c r="D238" i="6"/>
  <c r="E238" i="6"/>
  <c r="F238" i="6"/>
  <c r="G238" i="6"/>
  <c r="H238" i="6"/>
  <c r="A239" i="6"/>
  <c r="B239" i="6"/>
  <c r="C239" i="6"/>
  <c r="D239" i="6"/>
  <c r="E239" i="6"/>
  <c r="F239" i="6"/>
  <c r="G239" i="6"/>
  <c r="H239" i="6"/>
  <c r="A240" i="6"/>
  <c r="B240" i="6"/>
  <c r="C240" i="6"/>
  <c r="D240" i="6"/>
  <c r="E240" i="6"/>
  <c r="F240" i="6"/>
  <c r="G240" i="6"/>
  <c r="H240" i="6"/>
  <c r="A241" i="6"/>
  <c r="B241" i="6"/>
  <c r="C241" i="6"/>
  <c r="D241" i="6"/>
  <c r="E241" i="6"/>
  <c r="F241" i="6"/>
  <c r="G241" i="6"/>
  <c r="H241" i="6"/>
  <c r="A242" i="6"/>
  <c r="B242" i="6"/>
  <c r="C242" i="6"/>
  <c r="D242" i="6"/>
  <c r="E242" i="6"/>
  <c r="F242" i="6"/>
  <c r="G242" i="6"/>
  <c r="H242" i="6"/>
  <c r="A243" i="6"/>
  <c r="B243" i="6"/>
  <c r="C243" i="6"/>
  <c r="D243" i="6"/>
  <c r="E243" i="6"/>
  <c r="F243" i="6"/>
  <c r="G243" i="6"/>
  <c r="H243" i="6"/>
  <c r="A244" i="6"/>
  <c r="B244" i="6"/>
  <c r="C244" i="6"/>
  <c r="D244" i="6"/>
  <c r="E244" i="6"/>
  <c r="F244" i="6"/>
  <c r="G244" i="6"/>
  <c r="H244" i="6"/>
  <c r="A245" i="6"/>
  <c r="B245" i="6"/>
  <c r="C245" i="6"/>
  <c r="D245" i="6"/>
  <c r="E245" i="6"/>
  <c r="F245" i="6"/>
  <c r="G245" i="6"/>
  <c r="H245" i="6"/>
  <c r="A246" i="6"/>
  <c r="B246" i="6"/>
  <c r="C246" i="6"/>
  <c r="D246" i="6"/>
  <c r="E246" i="6"/>
  <c r="F246" i="6"/>
  <c r="G246" i="6"/>
  <c r="H246" i="6"/>
  <c r="A247" i="6"/>
  <c r="B247" i="6"/>
  <c r="C247" i="6"/>
  <c r="D247" i="6"/>
  <c r="E247" i="6"/>
  <c r="F247" i="6"/>
  <c r="G247" i="6"/>
  <c r="H247" i="6"/>
  <c r="A248" i="6"/>
  <c r="B248" i="6"/>
  <c r="C248" i="6"/>
  <c r="D248" i="6"/>
  <c r="E248" i="6"/>
  <c r="F248" i="6"/>
  <c r="G248" i="6"/>
  <c r="H248" i="6"/>
  <c r="A249" i="6"/>
  <c r="B249" i="6"/>
  <c r="C249" i="6"/>
  <c r="D249" i="6"/>
  <c r="E249" i="6"/>
  <c r="F249" i="6"/>
  <c r="G249" i="6"/>
  <c r="H249" i="6"/>
  <c r="A250" i="6"/>
  <c r="B250" i="6"/>
  <c r="C250" i="6"/>
  <c r="D250" i="6"/>
  <c r="E250" i="6"/>
  <c r="F250" i="6"/>
  <c r="G250" i="6"/>
  <c r="H250" i="6"/>
  <c r="A251" i="6"/>
  <c r="B251" i="6"/>
  <c r="C251" i="6"/>
  <c r="D251" i="6"/>
  <c r="E251" i="6"/>
  <c r="F251" i="6"/>
  <c r="G251" i="6"/>
  <c r="H251" i="6"/>
  <c r="A252" i="6"/>
  <c r="B252" i="6"/>
  <c r="C252" i="6"/>
  <c r="D252" i="6"/>
  <c r="E252" i="6"/>
  <c r="F252" i="6"/>
  <c r="G252" i="6"/>
  <c r="H252" i="6"/>
  <c r="A253" i="6"/>
  <c r="B253" i="6"/>
  <c r="C253" i="6"/>
  <c r="D253" i="6"/>
  <c r="E253" i="6"/>
  <c r="F253" i="6"/>
  <c r="G253" i="6"/>
  <c r="H253" i="6"/>
  <c r="A254" i="6"/>
  <c r="B254" i="6"/>
  <c r="C254" i="6"/>
  <c r="D254" i="6"/>
  <c r="E254" i="6"/>
  <c r="F254" i="6"/>
  <c r="G254" i="6"/>
  <c r="H254" i="6"/>
  <c r="A255" i="6"/>
  <c r="B255" i="6"/>
  <c r="C255" i="6"/>
  <c r="D255" i="6"/>
  <c r="E255" i="6"/>
  <c r="F255" i="6"/>
  <c r="G255" i="6"/>
  <c r="H255" i="6"/>
  <c r="A256" i="6"/>
  <c r="B256" i="6"/>
  <c r="C256" i="6"/>
  <c r="D256" i="6"/>
  <c r="E256" i="6"/>
  <c r="F256" i="6"/>
  <c r="G256" i="6"/>
  <c r="H256" i="6"/>
  <c r="A257" i="6"/>
  <c r="B257" i="6"/>
  <c r="C257" i="6"/>
  <c r="D257" i="6"/>
  <c r="E257" i="6"/>
  <c r="F257" i="6"/>
  <c r="G257" i="6"/>
  <c r="H257" i="6"/>
  <c r="A258" i="6"/>
  <c r="B258" i="6"/>
  <c r="C258" i="6"/>
  <c r="D258" i="6"/>
  <c r="E258" i="6"/>
  <c r="F258" i="6"/>
  <c r="G258" i="6"/>
  <c r="H258" i="6"/>
  <c r="A259" i="6"/>
  <c r="B259" i="6"/>
  <c r="C259" i="6"/>
  <c r="D259" i="6"/>
  <c r="E259" i="6"/>
  <c r="F259" i="6"/>
  <c r="G259" i="6"/>
  <c r="H259" i="6"/>
  <c r="A260" i="6"/>
  <c r="B260" i="6"/>
  <c r="C260" i="6"/>
  <c r="D260" i="6"/>
  <c r="E260" i="6"/>
  <c r="F260" i="6"/>
  <c r="G260" i="6"/>
  <c r="H260" i="6"/>
  <c r="A261" i="6"/>
  <c r="B261" i="6"/>
  <c r="C261" i="6"/>
  <c r="D261" i="6"/>
  <c r="E261" i="6"/>
  <c r="F261" i="6"/>
  <c r="G261" i="6"/>
  <c r="H261" i="6"/>
  <c r="A262" i="6"/>
  <c r="B262" i="6"/>
  <c r="C262" i="6"/>
  <c r="D262" i="6"/>
  <c r="E262" i="6"/>
  <c r="F262" i="6"/>
  <c r="G262" i="6"/>
  <c r="H262" i="6"/>
  <c r="A263" i="6"/>
  <c r="B263" i="6"/>
  <c r="C263" i="6"/>
  <c r="D263" i="6"/>
  <c r="E263" i="6"/>
  <c r="F263" i="6"/>
  <c r="G263" i="6"/>
  <c r="H263" i="6"/>
  <c r="A264" i="6"/>
  <c r="B264" i="6"/>
  <c r="C264" i="6"/>
  <c r="D264" i="6"/>
  <c r="E264" i="6"/>
  <c r="F264" i="6"/>
  <c r="G264" i="6"/>
  <c r="H264" i="6"/>
  <c r="A265" i="6"/>
  <c r="B265" i="6"/>
  <c r="C265" i="6"/>
  <c r="D265" i="6"/>
  <c r="E265" i="6"/>
  <c r="F265" i="6"/>
  <c r="G265" i="6"/>
  <c r="H265" i="6"/>
  <c r="A266" i="6"/>
  <c r="B266" i="6"/>
  <c r="C266" i="6"/>
  <c r="D266" i="6"/>
  <c r="E266" i="6"/>
  <c r="F266" i="6"/>
  <c r="G266" i="6"/>
  <c r="H266" i="6"/>
  <c r="A267" i="6"/>
  <c r="B267" i="6"/>
  <c r="C267" i="6"/>
  <c r="D267" i="6"/>
  <c r="E267" i="6"/>
  <c r="F267" i="6"/>
  <c r="G267" i="6"/>
  <c r="H267" i="6"/>
  <c r="A268" i="6"/>
  <c r="B268" i="6"/>
  <c r="C268" i="6"/>
  <c r="D268" i="6"/>
  <c r="E268" i="6"/>
  <c r="F268" i="6"/>
  <c r="G268" i="6"/>
  <c r="H268" i="6"/>
  <c r="A269" i="6"/>
  <c r="B269" i="6"/>
  <c r="C269" i="6"/>
  <c r="D269" i="6"/>
  <c r="E269" i="6"/>
  <c r="F269" i="6"/>
  <c r="G269" i="6"/>
  <c r="H269" i="6"/>
  <c r="A270" i="6"/>
  <c r="B270" i="6"/>
  <c r="C270" i="6"/>
  <c r="D270" i="6"/>
  <c r="E270" i="6"/>
  <c r="F270" i="6"/>
  <c r="G270" i="6"/>
  <c r="H270" i="6"/>
  <c r="A271" i="6"/>
  <c r="B271" i="6"/>
  <c r="C271" i="6"/>
  <c r="D271" i="6"/>
  <c r="E271" i="6"/>
  <c r="F271" i="6"/>
  <c r="G271" i="6"/>
  <c r="H271" i="6"/>
  <c r="A272" i="6"/>
  <c r="B272" i="6"/>
  <c r="C272" i="6"/>
  <c r="D272" i="6"/>
  <c r="E272" i="6"/>
  <c r="F272" i="6"/>
  <c r="G272" i="6"/>
  <c r="H272" i="6"/>
  <c r="A273" i="6"/>
  <c r="B273" i="6"/>
  <c r="C273" i="6"/>
  <c r="D273" i="6"/>
  <c r="E273" i="6"/>
  <c r="F273" i="6"/>
  <c r="G273" i="6"/>
  <c r="H273" i="6"/>
  <c r="A274" i="6"/>
  <c r="B274" i="6"/>
  <c r="C274" i="6"/>
  <c r="D274" i="6"/>
  <c r="E274" i="6"/>
  <c r="F274" i="6"/>
  <c r="G274" i="6"/>
  <c r="H274" i="6"/>
  <c r="A275" i="6"/>
  <c r="B275" i="6"/>
  <c r="C275" i="6"/>
  <c r="D275" i="6"/>
  <c r="E275" i="6"/>
  <c r="F275" i="6"/>
  <c r="G275" i="6"/>
  <c r="H275" i="6"/>
  <c r="A276" i="6"/>
  <c r="B276" i="6"/>
  <c r="C276" i="6"/>
  <c r="D276" i="6"/>
  <c r="E276" i="6"/>
  <c r="F276" i="6"/>
  <c r="G276" i="6"/>
  <c r="H276" i="6"/>
  <c r="A277" i="6"/>
  <c r="B277" i="6"/>
  <c r="C277" i="6"/>
  <c r="D277" i="6"/>
  <c r="E277" i="6"/>
  <c r="F277" i="6"/>
  <c r="G277" i="6"/>
  <c r="H277" i="6"/>
  <c r="A278" i="6"/>
  <c r="B278" i="6"/>
  <c r="C278" i="6"/>
  <c r="D278" i="6"/>
  <c r="E278" i="6"/>
  <c r="F278" i="6"/>
  <c r="G278" i="6"/>
  <c r="H278" i="6"/>
  <c r="A279" i="6"/>
  <c r="B279" i="6"/>
  <c r="C279" i="6"/>
  <c r="D279" i="6"/>
  <c r="E279" i="6"/>
  <c r="F279" i="6"/>
  <c r="G279" i="6"/>
  <c r="H279" i="6"/>
  <c r="A280" i="6"/>
  <c r="B280" i="6"/>
  <c r="C280" i="6"/>
  <c r="D280" i="6"/>
  <c r="E280" i="6"/>
  <c r="F280" i="6"/>
  <c r="G280" i="6"/>
  <c r="H280" i="6"/>
  <c r="A281" i="6"/>
  <c r="B281" i="6"/>
  <c r="C281" i="6"/>
  <c r="D281" i="6"/>
  <c r="E281" i="6"/>
  <c r="F281" i="6"/>
  <c r="G281" i="6"/>
  <c r="H281" i="6"/>
  <c r="A282" i="6"/>
  <c r="B282" i="6"/>
  <c r="C282" i="6"/>
  <c r="D282" i="6"/>
  <c r="E282" i="6"/>
  <c r="F282" i="6"/>
  <c r="G282" i="6"/>
  <c r="H282" i="6"/>
  <c r="A283" i="6"/>
  <c r="B283" i="6"/>
  <c r="C283" i="6"/>
  <c r="D283" i="6"/>
  <c r="E283" i="6"/>
  <c r="F283" i="6"/>
  <c r="G283" i="6"/>
  <c r="H283" i="6"/>
  <c r="A284" i="6"/>
  <c r="B284" i="6"/>
  <c r="C284" i="6"/>
  <c r="D284" i="6"/>
  <c r="E284" i="6"/>
  <c r="F284" i="6"/>
  <c r="G284" i="6"/>
  <c r="H284" i="6"/>
  <c r="A285" i="6"/>
  <c r="B285" i="6"/>
  <c r="C285" i="6"/>
  <c r="D285" i="6"/>
  <c r="E285" i="6"/>
  <c r="F285" i="6"/>
  <c r="G285" i="6"/>
  <c r="H285" i="6"/>
  <c r="A286" i="6"/>
  <c r="B286" i="6"/>
  <c r="C286" i="6"/>
  <c r="D286" i="6"/>
  <c r="E286" i="6"/>
  <c r="F286" i="6"/>
  <c r="G286" i="6"/>
  <c r="H286" i="6"/>
  <c r="A287" i="6"/>
  <c r="B287" i="6"/>
  <c r="C287" i="6"/>
  <c r="D287" i="6"/>
  <c r="E287" i="6"/>
  <c r="F287" i="6"/>
  <c r="G287" i="6"/>
  <c r="H287" i="6"/>
  <c r="A288" i="6"/>
  <c r="B288" i="6"/>
  <c r="C288" i="6"/>
  <c r="D288" i="6"/>
  <c r="E288" i="6"/>
  <c r="F288" i="6"/>
  <c r="G288" i="6"/>
  <c r="H288" i="6"/>
  <c r="A289" i="6"/>
  <c r="B289" i="6"/>
  <c r="C289" i="6"/>
  <c r="D289" i="6"/>
  <c r="E289" i="6"/>
  <c r="F289" i="6"/>
  <c r="G289" i="6"/>
  <c r="H289" i="6"/>
  <c r="A290" i="6"/>
  <c r="B290" i="6"/>
  <c r="C290" i="6"/>
  <c r="D290" i="6"/>
  <c r="E290" i="6"/>
  <c r="F290" i="6"/>
  <c r="G290" i="6"/>
  <c r="H290" i="6"/>
  <c r="A291" i="6"/>
  <c r="B291" i="6"/>
  <c r="C291" i="6"/>
  <c r="D291" i="6"/>
  <c r="E291" i="6"/>
  <c r="F291" i="6"/>
  <c r="G291" i="6"/>
  <c r="H291" i="6"/>
  <c r="A292" i="6"/>
  <c r="B292" i="6"/>
  <c r="C292" i="6"/>
  <c r="D292" i="6"/>
  <c r="E292" i="6"/>
  <c r="F292" i="6"/>
  <c r="G292" i="6"/>
  <c r="H292" i="6"/>
  <c r="A293" i="6"/>
  <c r="B293" i="6"/>
  <c r="C293" i="6"/>
  <c r="D293" i="6"/>
  <c r="E293" i="6"/>
  <c r="F293" i="6"/>
  <c r="G293" i="6"/>
  <c r="H293" i="6"/>
  <c r="A294" i="6"/>
  <c r="B294" i="6"/>
  <c r="C294" i="6"/>
  <c r="D294" i="6"/>
  <c r="E294" i="6"/>
  <c r="F294" i="6"/>
  <c r="G294" i="6"/>
  <c r="H294" i="6"/>
  <c r="A295" i="6"/>
  <c r="B295" i="6"/>
  <c r="C295" i="6"/>
  <c r="D295" i="6"/>
  <c r="E295" i="6"/>
  <c r="F295" i="6"/>
  <c r="G295" i="6"/>
  <c r="H295" i="6"/>
  <c r="A296" i="6"/>
  <c r="B296" i="6"/>
  <c r="C296" i="6"/>
  <c r="D296" i="6"/>
  <c r="E296" i="6"/>
  <c r="F296" i="6"/>
  <c r="G296" i="6"/>
  <c r="H296" i="6"/>
  <c r="A297" i="6"/>
  <c r="B297" i="6"/>
  <c r="C297" i="6"/>
  <c r="D297" i="6"/>
  <c r="E297" i="6"/>
  <c r="F297" i="6"/>
  <c r="G297" i="6"/>
  <c r="H297" i="6"/>
  <c r="A298" i="6"/>
  <c r="B298" i="6"/>
  <c r="C298" i="6"/>
  <c r="D298" i="6"/>
  <c r="E298" i="6"/>
  <c r="F298" i="6"/>
  <c r="G298" i="6"/>
  <c r="H298" i="6"/>
  <c r="A299" i="6"/>
  <c r="B299" i="6"/>
  <c r="C299" i="6"/>
  <c r="D299" i="6"/>
  <c r="E299" i="6"/>
  <c r="F299" i="6"/>
  <c r="G299" i="6"/>
  <c r="H299" i="6"/>
  <c r="A300" i="6"/>
  <c r="B300" i="6"/>
  <c r="C300" i="6"/>
  <c r="D300" i="6"/>
  <c r="E300" i="6"/>
  <c r="F300" i="6"/>
  <c r="G300" i="6"/>
  <c r="H300" i="6"/>
  <c r="A301" i="6"/>
  <c r="B301" i="6"/>
  <c r="C301" i="6"/>
  <c r="D301" i="6"/>
  <c r="E301" i="6"/>
  <c r="F301" i="6"/>
  <c r="G301" i="6"/>
  <c r="H301" i="6"/>
  <c r="A302" i="6"/>
  <c r="B302" i="6"/>
  <c r="C302" i="6"/>
  <c r="D302" i="6"/>
  <c r="E302" i="6"/>
  <c r="F302" i="6"/>
  <c r="G302" i="6"/>
  <c r="H302" i="6"/>
  <c r="A303" i="6"/>
  <c r="B303" i="6"/>
  <c r="C303" i="6"/>
  <c r="D303" i="6"/>
  <c r="E303" i="6"/>
  <c r="F303" i="6"/>
  <c r="G303" i="6"/>
  <c r="H303" i="6"/>
  <c r="A304" i="6"/>
  <c r="B304" i="6"/>
  <c r="C304" i="6"/>
  <c r="D304" i="6"/>
  <c r="E304" i="6"/>
  <c r="F304" i="6"/>
  <c r="G304" i="6"/>
  <c r="H304" i="6"/>
  <c r="A305" i="6"/>
  <c r="B305" i="6"/>
  <c r="C305" i="6"/>
  <c r="D305" i="6"/>
  <c r="E305" i="6"/>
  <c r="F305" i="6"/>
  <c r="G305" i="6"/>
  <c r="H305" i="6"/>
  <c r="A306" i="6"/>
  <c r="B306" i="6"/>
  <c r="C306" i="6"/>
  <c r="D306" i="6"/>
  <c r="E306" i="6"/>
  <c r="F306" i="6"/>
  <c r="G306" i="6"/>
  <c r="H306" i="6"/>
  <c r="A307" i="6"/>
  <c r="B307" i="6"/>
  <c r="C307" i="6"/>
  <c r="D307" i="6"/>
  <c r="E307" i="6"/>
  <c r="F307" i="6"/>
  <c r="G307" i="6"/>
  <c r="H307" i="6"/>
  <c r="A308" i="6"/>
  <c r="B308" i="6"/>
  <c r="C308" i="6"/>
  <c r="D308" i="6"/>
  <c r="E308" i="6"/>
  <c r="F308" i="6"/>
  <c r="G308" i="6"/>
  <c r="H308" i="6"/>
  <c r="A309" i="6"/>
  <c r="B309" i="6"/>
  <c r="C309" i="6"/>
  <c r="D309" i="6"/>
  <c r="E309" i="6"/>
  <c r="F309" i="6"/>
  <c r="G309" i="6"/>
  <c r="H309" i="6"/>
  <c r="A310" i="6"/>
  <c r="B310" i="6"/>
  <c r="C310" i="6"/>
  <c r="D310" i="6"/>
  <c r="E310" i="6"/>
  <c r="F310" i="6"/>
  <c r="G310" i="6"/>
  <c r="H310" i="6"/>
  <c r="A311" i="6"/>
  <c r="B311" i="6"/>
  <c r="C311" i="6"/>
  <c r="D311" i="6"/>
  <c r="E311" i="6"/>
  <c r="F311" i="6"/>
  <c r="G311" i="6"/>
  <c r="H311" i="6"/>
  <c r="A312" i="6"/>
  <c r="B312" i="6"/>
  <c r="C312" i="6"/>
  <c r="D312" i="6"/>
  <c r="E312" i="6"/>
  <c r="F312" i="6"/>
  <c r="G312" i="6"/>
  <c r="H312" i="6"/>
  <c r="A313" i="6"/>
  <c r="B313" i="6"/>
  <c r="C313" i="6"/>
  <c r="D313" i="6"/>
  <c r="E313" i="6"/>
  <c r="F313" i="6"/>
  <c r="G313" i="6"/>
  <c r="H313" i="6"/>
  <c r="A314" i="6"/>
  <c r="B314" i="6"/>
  <c r="C314" i="6"/>
  <c r="D314" i="6"/>
  <c r="E314" i="6"/>
  <c r="F314" i="6"/>
  <c r="G314" i="6"/>
  <c r="H314" i="6"/>
  <c r="J311" i="6"/>
  <c r="J310" i="6"/>
  <c r="J309" i="6"/>
  <c r="J308" i="6"/>
  <c r="J307" i="6"/>
  <c r="J306" i="6"/>
  <c r="J305" i="6"/>
  <c r="J304" i="6"/>
  <c r="J303" i="6"/>
  <c r="J302" i="6"/>
  <c r="J301" i="6"/>
  <c r="J300" i="6"/>
  <c r="J299" i="6"/>
  <c r="J298" i="6"/>
  <c r="J297" i="6"/>
  <c r="J296" i="6"/>
  <c r="J295" i="6"/>
  <c r="J294" i="6"/>
  <c r="J293" i="6"/>
  <c r="J292" i="6"/>
  <c r="J291" i="6"/>
  <c r="J290" i="6"/>
  <c r="J289" i="6"/>
  <c r="J288" i="6"/>
  <c r="J287" i="6"/>
  <c r="J286" i="6"/>
  <c r="J285" i="6"/>
  <c r="T325" i="5"/>
  <c r="N325" i="5"/>
  <c r="P325" i="5" s="1"/>
  <c r="T324" i="5"/>
  <c r="N324" i="5"/>
  <c r="P324" i="5" s="1"/>
  <c r="T323" i="5"/>
  <c r="N323" i="5"/>
  <c r="O323" i="5" s="1"/>
  <c r="T322" i="5"/>
  <c r="N322" i="5"/>
  <c r="P322" i="5" s="1"/>
  <c r="T321" i="5"/>
  <c r="N321" i="5"/>
  <c r="O321" i="5" s="1"/>
  <c r="T320" i="5"/>
  <c r="N320" i="5"/>
  <c r="O320" i="5" s="1"/>
  <c r="T319" i="5"/>
  <c r="N319" i="5"/>
  <c r="P319" i="5" s="1"/>
  <c r="T318" i="5"/>
  <c r="N318" i="5"/>
  <c r="O318" i="5" s="1"/>
  <c r="T317" i="5"/>
  <c r="N317" i="5"/>
  <c r="P317" i="5" s="1"/>
  <c r="T316" i="5"/>
  <c r="N316" i="5"/>
  <c r="P316" i="5" s="1"/>
  <c r="T315" i="5"/>
  <c r="N315" i="5"/>
  <c r="P315" i="5" s="1"/>
  <c r="T314" i="5"/>
  <c r="N314" i="5"/>
  <c r="O314" i="5" s="1"/>
  <c r="T313" i="5"/>
  <c r="N313" i="5"/>
  <c r="P313" i="5" s="1"/>
  <c r="T312" i="5"/>
  <c r="N312" i="5"/>
  <c r="P312" i="5" s="1"/>
  <c r="T311" i="5"/>
  <c r="N311" i="5"/>
  <c r="P311" i="5" s="1"/>
  <c r="T310" i="5"/>
  <c r="N310" i="5"/>
  <c r="P310" i="5" s="1"/>
  <c r="T309" i="5"/>
  <c r="N309" i="5"/>
  <c r="P309" i="5" s="1"/>
  <c r="T308" i="5"/>
  <c r="N308" i="5"/>
  <c r="O308" i="5" s="1"/>
  <c r="T307" i="5"/>
  <c r="N307" i="5"/>
  <c r="P307" i="5" s="1"/>
  <c r="T306" i="5"/>
  <c r="N306" i="5"/>
  <c r="P306" i="5" s="1"/>
  <c r="T305" i="5"/>
  <c r="N305" i="5"/>
  <c r="P305" i="5" s="1"/>
  <c r="T304" i="5"/>
  <c r="N304" i="5"/>
  <c r="P304" i="5" s="1"/>
  <c r="T303" i="5"/>
  <c r="N303" i="5"/>
  <c r="P303" i="5" s="1"/>
  <c r="T302" i="5"/>
  <c r="N302" i="5"/>
  <c r="O302" i="5" s="1"/>
  <c r="T301" i="5"/>
  <c r="N301" i="5"/>
  <c r="P301" i="5" s="1"/>
  <c r="Q27" i="7" l="1"/>
  <c r="R29" i="7"/>
  <c r="Q25" i="7"/>
  <c r="Q24" i="7"/>
  <c r="R72" i="7"/>
  <c r="R83" i="7"/>
  <c r="R21" i="7"/>
  <c r="Q75" i="7"/>
  <c r="R20" i="7"/>
  <c r="R18" i="7"/>
  <c r="R26" i="7"/>
  <c r="Q30" i="7"/>
  <c r="Q84" i="7"/>
  <c r="R33" i="7"/>
  <c r="R39" i="7"/>
  <c r="R69" i="7"/>
  <c r="R32" i="7"/>
  <c r="Q36" i="7"/>
  <c r="R38" i="7"/>
  <c r="Q42" i="7"/>
  <c r="R44" i="7"/>
  <c r="Q48" i="7"/>
  <c r="R50" i="7"/>
  <c r="Q54" i="7"/>
  <c r="R56" i="7"/>
  <c r="Q60" i="7"/>
  <c r="R62" i="7"/>
  <c r="Q66" i="7"/>
  <c r="R68" i="7"/>
  <c r="Q78" i="7"/>
  <c r="R80" i="7"/>
  <c r="R45" i="7"/>
  <c r="R51" i="7"/>
  <c r="R57" i="7"/>
  <c r="R63" i="7"/>
  <c r="R71" i="7"/>
  <c r="Q19" i="7"/>
  <c r="R23" i="7"/>
  <c r="R74" i="7"/>
  <c r="Q31" i="7"/>
  <c r="R35" i="7"/>
  <c r="R41" i="7"/>
  <c r="R47" i="7"/>
  <c r="R53" i="7"/>
  <c r="R59" i="7"/>
  <c r="R65" i="7"/>
  <c r="R77" i="7"/>
  <c r="Q81" i="7"/>
  <c r="R82" i="7"/>
  <c r="Q82" i="7"/>
  <c r="R34" i="7"/>
  <c r="Q34" i="7"/>
  <c r="R46" i="7"/>
  <c r="Q46" i="7"/>
  <c r="R70" i="7"/>
  <c r="Q70" i="7"/>
  <c r="R58" i="7"/>
  <c r="Q58" i="7"/>
  <c r="R28" i="7"/>
  <c r="Q28" i="7"/>
  <c r="R40" i="7"/>
  <c r="Q40" i="7"/>
  <c r="R52" i="7"/>
  <c r="Q52" i="7"/>
  <c r="R64" i="7"/>
  <c r="Q64" i="7"/>
  <c r="R76" i="7"/>
  <c r="Q76" i="7"/>
  <c r="R22" i="7"/>
  <c r="Q22" i="7"/>
  <c r="Q37" i="7"/>
  <c r="Q43" i="7"/>
  <c r="Q49" i="7"/>
  <c r="Q55" i="7"/>
  <c r="Q61" i="7"/>
  <c r="Q67" i="7"/>
  <c r="Q73" i="7"/>
  <c r="Q79" i="7"/>
  <c r="Q85" i="7"/>
  <c r="P320" i="5"/>
  <c r="P314" i="5"/>
  <c r="O315" i="5"/>
  <c r="P308" i="5"/>
  <c r="P323" i="5"/>
  <c r="O303" i="5"/>
  <c r="P321" i="5"/>
  <c r="O317" i="5"/>
  <c r="P302" i="5"/>
  <c r="O309" i="5"/>
  <c r="O316" i="5"/>
  <c r="O322" i="5"/>
  <c r="O304" i="5"/>
  <c r="O310" i="5"/>
  <c r="O305" i="5"/>
  <c r="O311" i="5"/>
  <c r="O306" i="5"/>
  <c r="O313" i="5"/>
  <c r="P318" i="5"/>
  <c r="O319" i="5"/>
  <c r="O325" i="5"/>
  <c r="O312" i="5"/>
  <c r="O324" i="5"/>
  <c r="O301" i="5"/>
  <c r="O307" i="5"/>
  <c r="N122" i="5" l="1"/>
  <c r="O122" i="5" s="1"/>
  <c r="T122" i="5"/>
  <c r="N123" i="5"/>
  <c r="O123" i="5" s="1"/>
  <c r="T123" i="5"/>
  <c r="N124" i="5"/>
  <c r="P124" i="5" s="1"/>
  <c r="T124" i="5"/>
  <c r="N125" i="5"/>
  <c r="O125" i="5" s="1"/>
  <c r="T125" i="5"/>
  <c r="N126" i="5"/>
  <c r="O126" i="5" s="1"/>
  <c r="T126" i="5"/>
  <c r="N127" i="5"/>
  <c r="O127" i="5" s="1"/>
  <c r="T127" i="5"/>
  <c r="N128" i="5"/>
  <c r="P128" i="5" s="1"/>
  <c r="T128" i="5"/>
  <c r="N129" i="5"/>
  <c r="O129" i="5" s="1"/>
  <c r="T129" i="5"/>
  <c r="N130" i="5"/>
  <c r="O130" i="5" s="1"/>
  <c r="T130" i="5"/>
  <c r="N131" i="5"/>
  <c r="O131" i="5" s="1"/>
  <c r="T131" i="5"/>
  <c r="N132" i="5"/>
  <c r="P132" i="5" s="1"/>
  <c r="T132" i="5"/>
  <c r="N133" i="5"/>
  <c r="O133" i="5" s="1"/>
  <c r="T133" i="5"/>
  <c r="N134" i="5"/>
  <c r="O134" i="5" s="1"/>
  <c r="T134" i="5"/>
  <c r="N135" i="5"/>
  <c r="O135" i="5" s="1"/>
  <c r="T135" i="5"/>
  <c r="N136" i="5"/>
  <c r="P136" i="5" s="1"/>
  <c r="T136" i="5"/>
  <c r="N137" i="5"/>
  <c r="P137" i="5" s="1"/>
  <c r="T137" i="5"/>
  <c r="N138" i="5"/>
  <c r="P138" i="5" s="1"/>
  <c r="T138" i="5"/>
  <c r="N139" i="5"/>
  <c r="O139" i="5" s="1"/>
  <c r="T139" i="5"/>
  <c r="N140" i="5"/>
  <c r="P140" i="5" s="1"/>
  <c r="T140" i="5"/>
  <c r="N141" i="5"/>
  <c r="O141" i="5" s="1"/>
  <c r="T141" i="5"/>
  <c r="N142" i="5"/>
  <c r="O142" i="5" s="1"/>
  <c r="T142" i="5"/>
  <c r="N143" i="5"/>
  <c r="O143" i="5" s="1"/>
  <c r="T143" i="5"/>
  <c r="N144" i="5"/>
  <c r="P144" i="5" s="1"/>
  <c r="T144" i="5"/>
  <c r="N145" i="5"/>
  <c r="O145" i="5" s="1"/>
  <c r="T145" i="5"/>
  <c r="N146" i="5"/>
  <c r="O146" i="5" s="1"/>
  <c r="T146" i="5"/>
  <c r="N147" i="5"/>
  <c r="O147" i="5" s="1"/>
  <c r="T147" i="5"/>
  <c r="N148" i="5"/>
  <c r="P148" i="5" s="1"/>
  <c r="T148" i="5"/>
  <c r="N149" i="5"/>
  <c r="O149" i="5" s="1"/>
  <c r="T149" i="5"/>
  <c r="N150" i="5"/>
  <c r="O150" i="5" s="1"/>
  <c r="T150" i="5"/>
  <c r="N151" i="5"/>
  <c r="O151" i="5" s="1"/>
  <c r="T151" i="5"/>
  <c r="N152" i="5"/>
  <c r="P152" i="5" s="1"/>
  <c r="T152" i="5"/>
  <c r="N153" i="5"/>
  <c r="O153" i="5" s="1"/>
  <c r="T153" i="5"/>
  <c r="N154" i="5"/>
  <c r="O154" i="5" s="1"/>
  <c r="T154" i="5"/>
  <c r="N155" i="5"/>
  <c r="O155" i="5" s="1"/>
  <c r="T155" i="5"/>
  <c r="N156" i="5"/>
  <c r="P156" i="5" s="1"/>
  <c r="T156" i="5"/>
  <c r="N157" i="5"/>
  <c r="O157" i="5" s="1"/>
  <c r="T157" i="5"/>
  <c r="N158" i="5"/>
  <c r="O158" i="5" s="1"/>
  <c r="T158" i="5"/>
  <c r="N159" i="5"/>
  <c r="O159" i="5" s="1"/>
  <c r="T159" i="5"/>
  <c r="N160" i="5"/>
  <c r="P160" i="5" s="1"/>
  <c r="T160" i="5"/>
  <c r="A173" i="6"/>
  <c r="B173" i="6"/>
  <c r="A174" i="6"/>
  <c r="B174" i="6"/>
  <c r="C174" i="6"/>
  <c r="D174" i="6"/>
  <c r="E174" i="6"/>
  <c r="F174" i="6"/>
  <c r="G174" i="6"/>
  <c r="H174"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A161" i="6"/>
  <c r="A162" i="6"/>
  <c r="A163" i="6"/>
  <c r="A164" i="6"/>
  <c r="A165" i="6"/>
  <c r="A166" i="6"/>
  <c r="A167" i="6"/>
  <c r="A168" i="6"/>
  <c r="A169" i="6"/>
  <c r="A170" i="6"/>
  <c r="A171" i="6"/>
  <c r="A172" i="6"/>
  <c r="P153" i="5" l="1"/>
  <c r="O138" i="5"/>
  <c r="P141" i="5"/>
  <c r="P158" i="5"/>
  <c r="P142" i="5"/>
  <c r="P145" i="5"/>
  <c r="O132" i="5"/>
  <c r="P150" i="5"/>
  <c r="O137" i="5"/>
  <c r="P126" i="5"/>
  <c r="P154" i="5"/>
  <c r="P146" i="5"/>
  <c r="P157" i="5"/>
  <c r="P149" i="5"/>
  <c r="O136" i="5"/>
  <c r="P134" i="5"/>
  <c r="P133" i="5"/>
  <c r="P130" i="5"/>
  <c r="P129" i="5"/>
  <c r="O128" i="5"/>
  <c r="O124" i="5"/>
  <c r="O160" i="5"/>
  <c r="O156" i="5"/>
  <c r="O152" i="5"/>
  <c r="O148" i="5"/>
  <c r="O144" i="5"/>
  <c r="O140" i="5"/>
  <c r="P125" i="5"/>
  <c r="P122" i="5"/>
  <c r="P159" i="5"/>
  <c r="P155" i="5"/>
  <c r="P151" i="5"/>
  <c r="P147" i="5"/>
  <c r="P143" i="5"/>
  <c r="P139" i="5"/>
  <c r="P135" i="5"/>
  <c r="P131" i="5"/>
  <c r="P127" i="5"/>
  <c r="P123" i="5"/>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22" i="6"/>
  <c r="A20" i="6"/>
  <c r="A21" i="6"/>
  <c r="V145" i="7"/>
  <c r="P145" i="7"/>
  <c r="R145" i="7" s="1"/>
  <c r="J71" i="6"/>
  <c r="H71" i="6"/>
  <c r="G71" i="6"/>
  <c r="F71" i="6"/>
  <c r="E71" i="6"/>
  <c r="D71" i="6"/>
  <c r="C71" i="6"/>
  <c r="B71" i="6"/>
  <c r="T71" i="5"/>
  <c r="N71" i="5"/>
  <c r="P71" i="5" s="1"/>
  <c r="Q145" i="7" l="1"/>
  <c r="O71" i="5"/>
  <c r="B162" i="6"/>
  <c r="C162" i="6"/>
  <c r="D162" i="6"/>
  <c r="E162" i="6"/>
  <c r="F162" i="6"/>
  <c r="G162" i="6"/>
  <c r="H162" i="6"/>
  <c r="B163" i="6"/>
  <c r="C163" i="6"/>
  <c r="D163" i="6"/>
  <c r="E163" i="6"/>
  <c r="F163" i="6"/>
  <c r="G163" i="6"/>
  <c r="H163" i="6"/>
  <c r="B164" i="6"/>
  <c r="C164" i="6"/>
  <c r="D164" i="6"/>
  <c r="E164" i="6"/>
  <c r="F164" i="6"/>
  <c r="G164" i="6"/>
  <c r="H164" i="6"/>
  <c r="B165" i="6"/>
  <c r="C165" i="6"/>
  <c r="D165" i="6"/>
  <c r="E165" i="6"/>
  <c r="F165" i="6"/>
  <c r="G165" i="6"/>
  <c r="H165" i="6"/>
  <c r="B166" i="6"/>
  <c r="C166" i="6"/>
  <c r="D166" i="6"/>
  <c r="E166" i="6"/>
  <c r="F166" i="6"/>
  <c r="G166" i="6"/>
  <c r="H166" i="6"/>
  <c r="B167" i="6"/>
  <c r="C167" i="6"/>
  <c r="D167" i="6"/>
  <c r="E167" i="6"/>
  <c r="F167" i="6"/>
  <c r="G167" i="6"/>
  <c r="H167" i="6"/>
  <c r="B168" i="6"/>
  <c r="C168" i="6"/>
  <c r="D168" i="6"/>
  <c r="E168" i="6"/>
  <c r="F168" i="6"/>
  <c r="G168" i="6"/>
  <c r="H168" i="6"/>
  <c r="B169" i="6"/>
  <c r="C169" i="6"/>
  <c r="D169" i="6"/>
  <c r="E169" i="6"/>
  <c r="F169" i="6"/>
  <c r="G169" i="6"/>
  <c r="H169" i="6"/>
  <c r="B170" i="6"/>
  <c r="C170" i="6"/>
  <c r="D170" i="6"/>
  <c r="E170" i="6"/>
  <c r="F170" i="6"/>
  <c r="G170" i="6"/>
  <c r="H170" i="6"/>
  <c r="B171" i="6"/>
  <c r="C171" i="6"/>
  <c r="D171" i="6"/>
  <c r="E171" i="6"/>
  <c r="F171" i="6"/>
  <c r="G171" i="6"/>
  <c r="H171" i="6"/>
  <c r="B172" i="6"/>
  <c r="C172" i="6"/>
  <c r="D172" i="6"/>
  <c r="E172" i="6"/>
  <c r="F172" i="6"/>
  <c r="G172" i="6"/>
  <c r="H172" i="6"/>
  <c r="H161" i="6"/>
  <c r="G161" i="6"/>
  <c r="F161" i="6"/>
  <c r="E161" i="6"/>
  <c r="D161" i="6"/>
  <c r="C161" i="6"/>
  <c r="B161" i="6"/>
  <c r="A19" i="6"/>
  <c r="B19" i="6"/>
  <c r="C19" i="6"/>
  <c r="D19" i="6"/>
  <c r="E19" i="6"/>
  <c r="F19" i="6"/>
  <c r="G19" i="6"/>
  <c r="H19" i="6"/>
  <c r="B20" i="6"/>
  <c r="C20" i="6"/>
  <c r="D20" i="6"/>
  <c r="E20" i="6"/>
  <c r="F20" i="6"/>
  <c r="G20" i="6"/>
  <c r="H20" i="6"/>
  <c r="B21" i="6"/>
  <c r="C21" i="6"/>
  <c r="D21" i="6"/>
  <c r="E21" i="6"/>
  <c r="F21" i="6"/>
  <c r="G21" i="6"/>
  <c r="H21" i="6"/>
  <c r="B22" i="6"/>
  <c r="C22" i="6"/>
  <c r="D22" i="6"/>
  <c r="E22" i="6"/>
  <c r="F22" i="6"/>
  <c r="G22" i="6"/>
  <c r="H22" i="6"/>
  <c r="B23" i="6"/>
  <c r="C23" i="6"/>
  <c r="D23" i="6"/>
  <c r="E23" i="6"/>
  <c r="F23" i="6"/>
  <c r="G23" i="6"/>
  <c r="H23" i="6"/>
  <c r="B24" i="6"/>
  <c r="C24" i="6"/>
  <c r="D24" i="6"/>
  <c r="E24" i="6"/>
  <c r="F24" i="6"/>
  <c r="G24" i="6"/>
  <c r="H24" i="6"/>
  <c r="B25" i="6"/>
  <c r="C25" i="6"/>
  <c r="D25" i="6"/>
  <c r="E25" i="6"/>
  <c r="F25" i="6"/>
  <c r="G25" i="6"/>
  <c r="H25" i="6"/>
  <c r="B26" i="6"/>
  <c r="C26" i="6"/>
  <c r="D26" i="6"/>
  <c r="E26" i="6"/>
  <c r="F26" i="6"/>
  <c r="G26" i="6"/>
  <c r="H26" i="6"/>
  <c r="B27" i="6"/>
  <c r="C27" i="6"/>
  <c r="D27" i="6"/>
  <c r="E27" i="6"/>
  <c r="F27" i="6"/>
  <c r="G27" i="6"/>
  <c r="H27" i="6"/>
  <c r="B28" i="6"/>
  <c r="C28" i="6"/>
  <c r="D28" i="6"/>
  <c r="E28" i="6"/>
  <c r="F28" i="6"/>
  <c r="G28" i="6"/>
  <c r="H28" i="6"/>
  <c r="B29" i="6"/>
  <c r="C29" i="6"/>
  <c r="D29" i="6"/>
  <c r="E29" i="6"/>
  <c r="F29" i="6"/>
  <c r="G29" i="6"/>
  <c r="H29" i="6"/>
  <c r="B30" i="6"/>
  <c r="C30" i="6"/>
  <c r="D30" i="6"/>
  <c r="E30" i="6"/>
  <c r="F30" i="6"/>
  <c r="G30" i="6"/>
  <c r="H30" i="6"/>
  <c r="B31" i="6"/>
  <c r="C31" i="6"/>
  <c r="D31" i="6"/>
  <c r="E31" i="6"/>
  <c r="F31" i="6"/>
  <c r="G31" i="6"/>
  <c r="H31" i="6"/>
  <c r="B32" i="6"/>
  <c r="C32" i="6"/>
  <c r="D32" i="6"/>
  <c r="E32" i="6"/>
  <c r="F32" i="6"/>
  <c r="G32" i="6"/>
  <c r="H32" i="6"/>
  <c r="B33" i="6"/>
  <c r="C33" i="6"/>
  <c r="D33" i="6"/>
  <c r="E33" i="6"/>
  <c r="F33" i="6"/>
  <c r="G33" i="6"/>
  <c r="H33" i="6"/>
  <c r="B34" i="6"/>
  <c r="C34" i="6"/>
  <c r="D34" i="6"/>
  <c r="E34" i="6"/>
  <c r="F34" i="6"/>
  <c r="G34" i="6"/>
  <c r="H34" i="6"/>
  <c r="B35" i="6"/>
  <c r="C35" i="6"/>
  <c r="D35" i="6"/>
  <c r="E35" i="6"/>
  <c r="F35" i="6"/>
  <c r="G35" i="6"/>
  <c r="H35" i="6"/>
  <c r="B36" i="6"/>
  <c r="C36" i="6"/>
  <c r="D36" i="6"/>
  <c r="E36" i="6"/>
  <c r="F36" i="6"/>
  <c r="G36" i="6"/>
  <c r="H36" i="6"/>
  <c r="B37" i="6"/>
  <c r="C37" i="6"/>
  <c r="D37" i="6"/>
  <c r="E37" i="6"/>
  <c r="F37" i="6"/>
  <c r="G37" i="6"/>
  <c r="H37" i="6"/>
  <c r="B38" i="6"/>
  <c r="C38" i="6"/>
  <c r="D38" i="6"/>
  <c r="E38" i="6"/>
  <c r="F38" i="6"/>
  <c r="G38" i="6"/>
  <c r="H38" i="6"/>
  <c r="B39" i="6"/>
  <c r="C39" i="6"/>
  <c r="D39" i="6"/>
  <c r="E39" i="6"/>
  <c r="F39" i="6"/>
  <c r="G39" i="6"/>
  <c r="H39" i="6"/>
  <c r="B40" i="6"/>
  <c r="C40" i="6"/>
  <c r="D40" i="6"/>
  <c r="E40" i="6"/>
  <c r="F40" i="6"/>
  <c r="G40" i="6"/>
  <c r="H40" i="6"/>
  <c r="B41" i="6"/>
  <c r="C41" i="6"/>
  <c r="D41" i="6"/>
  <c r="E41" i="6"/>
  <c r="F41" i="6"/>
  <c r="G41" i="6"/>
  <c r="H41" i="6"/>
  <c r="B42" i="6"/>
  <c r="C42" i="6"/>
  <c r="D42" i="6"/>
  <c r="E42" i="6"/>
  <c r="F42" i="6"/>
  <c r="G42" i="6"/>
  <c r="H42" i="6"/>
  <c r="B43" i="6"/>
  <c r="C43" i="6"/>
  <c r="D43" i="6"/>
  <c r="E43" i="6"/>
  <c r="F43" i="6"/>
  <c r="G43" i="6"/>
  <c r="H43" i="6"/>
  <c r="B44" i="6"/>
  <c r="C44" i="6"/>
  <c r="D44" i="6"/>
  <c r="E44" i="6"/>
  <c r="F44" i="6"/>
  <c r="G44" i="6"/>
  <c r="H44" i="6"/>
  <c r="B45" i="6"/>
  <c r="C45" i="6"/>
  <c r="D45" i="6"/>
  <c r="E45" i="6"/>
  <c r="F45" i="6"/>
  <c r="G45" i="6"/>
  <c r="H45" i="6"/>
  <c r="B46" i="6"/>
  <c r="C46" i="6"/>
  <c r="D46" i="6"/>
  <c r="E46" i="6"/>
  <c r="F46" i="6"/>
  <c r="G46" i="6"/>
  <c r="H46" i="6"/>
  <c r="B47" i="6"/>
  <c r="C47" i="6"/>
  <c r="D47" i="6"/>
  <c r="E47" i="6"/>
  <c r="F47" i="6"/>
  <c r="G47" i="6"/>
  <c r="H47" i="6"/>
  <c r="B48" i="6"/>
  <c r="C48" i="6"/>
  <c r="D48" i="6"/>
  <c r="E48" i="6"/>
  <c r="F48" i="6"/>
  <c r="G48" i="6"/>
  <c r="H48" i="6"/>
  <c r="B49" i="6"/>
  <c r="C49" i="6"/>
  <c r="D49" i="6"/>
  <c r="E49" i="6"/>
  <c r="F49" i="6"/>
  <c r="G49" i="6"/>
  <c r="H49" i="6"/>
  <c r="B50" i="6"/>
  <c r="C50" i="6"/>
  <c r="D50" i="6"/>
  <c r="E50" i="6"/>
  <c r="F50" i="6"/>
  <c r="G50" i="6"/>
  <c r="H50" i="6"/>
  <c r="B51" i="6"/>
  <c r="C51" i="6"/>
  <c r="D51" i="6"/>
  <c r="E51" i="6"/>
  <c r="F51" i="6"/>
  <c r="G51" i="6"/>
  <c r="H51" i="6"/>
  <c r="B52" i="6"/>
  <c r="C52" i="6"/>
  <c r="D52" i="6"/>
  <c r="E52" i="6"/>
  <c r="F52" i="6"/>
  <c r="G52" i="6"/>
  <c r="H52" i="6"/>
  <c r="B53" i="6"/>
  <c r="C53" i="6"/>
  <c r="D53" i="6"/>
  <c r="E53" i="6"/>
  <c r="F53" i="6"/>
  <c r="G53" i="6"/>
  <c r="H53" i="6"/>
  <c r="B54" i="6"/>
  <c r="C54" i="6"/>
  <c r="D54" i="6"/>
  <c r="E54" i="6"/>
  <c r="F54" i="6"/>
  <c r="G54" i="6"/>
  <c r="H54" i="6"/>
  <c r="B55" i="6"/>
  <c r="C55" i="6"/>
  <c r="D55" i="6"/>
  <c r="E55" i="6"/>
  <c r="F55" i="6"/>
  <c r="G55" i="6"/>
  <c r="H55" i="6"/>
  <c r="B56" i="6"/>
  <c r="C56" i="6"/>
  <c r="D56" i="6"/>
  <c r="E56" i="6"/>
  <c r="F56" i="6"/>
  <c r="G56" i="6"/>
  <c r="H56" i="6"/>
  <c r="B57" i="6"/>
  <c r="C57" i="6"/>
  <c r="D57" i="6"/>
  <c r="E57" i="6"/>
  <c r="F57" i="6"/>
  <c r="G57" i="6"/>
  <c r="H57" i="6"/>
  <c r="B58" i="6"/>
  <c r="C58" i="6"/>
  <c r="D58" i="6"/>
  <c r="E58" i="6"/>
  <c r="F58" i="6"/>
  <c r="G58" i="6"/>
  <c r="H58" i="6"/>
  <c r="B59" i="6"/>
  <c r="C59" i="6"/>
  <c r="D59" i="6"/>
  <c r="E59" i="6"/>
  <c r="F59" i="6"/>
  <c r="G59" i="6"/>
  <c r="H59" i="6"/>
  <c r="B60" i="6"/>
  <c r="C60" i="6"/>
  <c r="D60" i="6"/>
  <c r="E60" i="6"/>
  <c r="F60" i="6"/>
  <c r="G60" i="6"/>
  <c r="H60" i="6"/>
  <c r="B61" i="6"/>
  <c r="C61" i="6"/>
  <c r="D61" i="6"/>
  <c r="E61" i="6"/>
  <c r="F61" i="6"/>
  <c r="G61" i="6"/>
  <c r="H61" i="6"/>
  <c r="B62" i="6"/>
  <c r="C62" i="6"/>
  <c r="D62" i="6"/>
  <c r="E62" i="6"/>
  <c r="F62" i="6"/>
  <c r="G62" i="6"/>
  <c r="H62" i="6"/>
  <c r="B63" i="6"/>
  <c r="C63" i="6"/>
  <c r="D63" i="6"/>
  <c r="E63" i="6"/>
  <c r="F63" i="6"/>
  <c r="G63" i="6"/>
  <c r="H63" i="6"/>
  <c r="B64" i="6"/>
  <c r="C64" i="6"/>
  <c r="D64" i="6"/>
  <c r="E64" i="6"/>
  <c r="F64" i="6"/>
  <c r="G64" i="6"/>
  <c r="H64" i="6"/>
  <c r="B65" i="6"/>
  <c r="C65" i="6"/>
  <c r="D65" i="6"/>
  <c r="E65" i="6"/>
  <c r="F65" i="6"/>
  <c r="G65" i="6"/>
  <c r="H65" i="6"/>
  <c r="B66" i="6"/>
  <c r="C66" i="6"/>
  <c r="D66" i="6"/>
  <c r="E66" i="6"/>
  <c r="F66" i="6"/>
  <c r="G66" i="6"/>
  <c r="H66" i="6"/>
  <c r="B67" i="6"/>
  <c r="C67" i="6"/>
  <c r="D67" i="6"/>
  <c r="E67" i="6"/>
  <c r="F67" i="6"/>
  <c r="G67" i="6"/>
  <c r="H67" i="6"/>
  <c r="B68" i="6"/>
  <c r="C68" i="6"/>
  <c r="D68" i="6"/>
  <c r="E68" i="6"/>
  <c r="F68" i="6"/>
  <c r="G68" i="6"/>
  <c r="H68" i="6"/>
  <c r="B69" i="6"/>
  <c r="C69" i="6"/>
  <c r="D69" i="6"/>
  <c r="E69" i="6"/>
  <c r="F69" i="6"/>
  <c r="G69" i="6"/>
  <c r="H69" i="6"/>
  <c r="B70" i="6"/>
  <c r="C70" i="6"/>
  <c r="D70" i="6"/>
  <c r="E70" i="6"/>
  <c r="F70" i="6"/>
  <c r="G70" i="6"/>
  <c r="H70" i="6"/>
  <c r="B72" i="6"/>
  <c r="C72" i="6"/>
  <c r="D72" i="6"/>
  <c r="E72" i="6"/>
  <c r="F72" i="6"/>
  <c r="G72" i="6"/>
  <c r="H72" i="6"/>
  <c r="B73" i="6"/>
  <c r="C73" i="6"/>
  <c r="D73" i="6"/>
  <c r="E73" i="6"/>
  <c r="F73" i="6"/>
  <c r="G73" i="6"/>
  <c r="H73" i="6"/>
  <c r="B74" i="6"/>
  <c r="C74" i="6"/>
  <c r="D74" i="6"/>
  <c r="E74" i="6"/>
  <c r="F74" i="6"/>
  <c r="G74" i="6"/>
  <c r="H74" i="6"/>
  <c r="B75" i="6"/>
  <c r="C75" i="6"/>
  <c r="D75" i="6"/>
  <c r="E75" i="6"/>
  <c r="F75" i="6"/>
  <c r="G75" i="6"/>
  <c r="H75" i="6"/>
  <c r="B76" i="6"/>
  <c r="C76" i="6"/>
  <c r="D76" i="6"/>
  <c r="E76" i="6"/>
  <c r="F76" i="6"/>
  <c r="G76" i="6"/>
  <c r="H76" i="6"/>
  <c r="B77" i="6"/>
  <c r="C77" i="6"/>
  <c r="D77" i="6"/>
  <c r="E77" i="6"/>
  <c r="F77" i="6"/>
  <c r="G77" i="6"/>
  <c r="H77" i="6"/>
  <c r="B78" i="6"/>
  <c r="C78" i="6"/>
  <c r="D78" i="6"/>
  <c r="E78" i="6"/>
  <c r="F78" i="6"/>
  <c r="G78" i="6"/>
  <c r="H78" i="6"/>
  <c r="B79" i="6"/>
  <c r="C79" i="6"/>
  <c r="D79" i="6"/>
  <c r="E79" i="6"/>
  <c r="F79" i="6"/>
  <c r="G79" i="6"/>
  <c r="H79" i="6"/>
  <c r="B80" i="6"/>
  <c r="C80" i="6"/>
  <c r="D80" i="6"/>
  <c r="E80" i="6"/>
  <c r="F80" i="6"/>
  <c r="G80" i="6"/>
  <c r="H80" i="6"/>
  <c r="B81" i="6"/>
  <c r="C81" i="6"/>
  <c r="D81" i="6"/>
  <c r="E81" i="6"/>
  <c r="F81" i="6"/>
  <c r="G81" i="6"/>
  <c r="H81" i="6"/>
  <c r="B82" i="6"/>
  <c r="C82" i="6"/>
  <c r="D82" i="6"/>
  <c r="E82" i="6"/>
  <c r="F82" i="6"/>
  <c r="G82" i="6"/>
  <c r="H82" i="6"/>
  <c r="B83" i="6"/>
  <c r="C83" i="6"/>
  <c r="D83" i="6"/>
  <c r="E83" i="6"/>
  <c r="F83" i="6"/>
  <c r="G83" i="6"/>
  <c r="H83" i="6"/>
  <c r="B84" i="6"/>
  <c r="C84" i="6"/>
  <c r="D84" i="6"/>
  <c r="E84" i="6"/>
  <c r="F84" i="6"/>
  <c r="G84" i="6"/>
  <c r="H84" i="6"/>
  <c r="B85" i="6"/>
  <c r="C85" i="6"/>
  <c r="D85" i="6"/>
  <c r="E85" i="6"/>
  <c r="F85" i="6"/>
  <c r="G85" i="6"/>
  <c r="H85" i="6"/>
  <c r="B86" i="6"/>
  <c r="C86" i="6"/>
  <c r="D86" i="6"/>
  <c r="E86" i="6"/>
  <c r="F86" i="6"/>
  <c r="G86" i="6"/>
  <c r="H86" i="6"/>
  <c r="B87" i="6"/>
  <c r="C87" i="6"/>
  <c r="D87" i="6"/>
  <c r="E87" i="6"/>
  <c r="F87" i="6"/>
  <c r="G87" i="6"/>
  <c r="H87" i="6"/>
  <c r="B88" i="6"/>
  <c r="C88" i="6"/>
  <c r="D88" i="6"/>
  <c r="E88" i="6"/>
  <c r="F88" i="6"/>
  <c r="G88" i="6"/>
  <c r="H88" i="6"/>
  <c r="B89" i="6"/>
  <c r="C89" i="6"/>
  <c r="D89" i="6"/>
  <c r="E89" i="6"/>
  <c r="F89" i="6"/>
  <c r="G89" i="6"/>
  <c r="H89" i="6"/>
  <c r="B90" i="6"/>
  <c r="C90" i="6"/>
  <c r="D90" i="6"/>
  <c r="E90" i="6"/>
  <c r="F90" i="6"/>
  <c r="G90" i="6"/>
  <c r="H90" i="6"/>
  <c r="B91" i="6"/>
  <c r="C91" i="6"/>
  <c r="D91" i="6"/>
  <c r="E91" i="6"/>
  <c r="F91" i="6"/>
  <c r="G91" i="6"/>
  <c r="H91" i="6"/>
  <c r="B92" i="6"/>
  <c r="C92" i="6"/>
  <c r="D92" i="6"/>
  <c r="E92" i="6"/>
  <c r="F92" i="6"/>
  <c r="G92" i="6"/>
  <c r="H92" i="6"/>
  <c r="B93" i="6"/>
  <c r="C93" i="6"/>
  <c r="D93" i="6"/>
  <c r="E93" i="6"/>
  <c r="F93" i="6"/>
  <c r="G93" i="6"/>
  <c r="H93" i="6"/>
  <c r="B94" i="6"/>
  <c r="C94" i="6"/>
  <c r="D94" i="6"/>
  <c r="E94" i="6"/>
  <c r="F94" i="6"/>
  <c r="G94" i="6"/>
  <c r="H94" i="6"/>
  <c r="B95" i="6"/>
  <c r="C95" i="6"/>
  <c r="D95" i="6"/>
  <c r="E95" i="6"/>
  <c r="F95" i="6"/>
  <c r="G95" i="6"/>
  <c r="H95" i="6"/>
  <c r="B96" i="6"/>
  <c r="C96" i="6"/>
  <c r="D96" i="6"/>
  <c r="E96" i="6"/>
  <c r="F96" i="6"/>
  <c r="G96" i="6"/>
  <c r="H96" i="6"/>
  <c r="B97" i="6"/>
  <c r="C97" i="6"/>
  <c r="D97" i="6"/>
  <c r="E97" i="6"/>
  <c r="F97" i="6"/>
  <c r="G97" i="6"/>
  <c r="H97" i="6"/>
  <c r="B98" i="6"/>
  <c r="C98" i="6"/>
  <c r="D98" i="6"/>
  <c r="E98" i="6"/>
  <c r="F98" i="6"/>
  <c r="G98" i="6"/>
  <c r="H98" i="6"/>
  <c r="B99" i="6"/>
  <c r="C99" i="6"/>
  <c r="D99" i="6"/>
  <c r="E99" i="6"/>
  <c r="F99" i="6"/>
  <c r="G99" i="6"/>
  <c r="H99" i="6"/>
  <c r="B100" i="6"/>
  <c r="C100" i="6"/>
  <c r="D100" i="6"/>
  <c r="E100" i="6"/>
  <c r="F100" i="6"/>
  <c r="G100" i="6"/>
  <c r="H100" i="6"/>
  <c r="B101" i="6"/>
  <c r="C101" i="6"/>
  <c r="D101" i="6"/>
  <c r="E101" i="6"/>
  <c r="F101" i="6"/>
  <c r="G101" i="6"/>
  <c r="H101" i="6"/>
  <c r="B102" i="6"/>
  <c r="C102" i="6"/>
  <c r="D102" i="6"/>
  <c r="E102" i="6"/>
  <c r="F102" i="6"/>
  <c r="G102" i="6"/>
  <c r="H102" i="6"/>
  <c r="B103" i="6"/>
  <c r="C103" i="6"/>
  <c r="D103" i="6"/>
  <c r="E103" i="6"/>
  <c r="F103" i="6"/>
  <c r="G103" i="6"/>
  <c r="H103" i="6"/>
  <c r="B104" i="6"/>
  <c r="C104" i="6"/>
  <c r="D104" i="6"/>
  <c r="E104" i="6"/>
  <c r="F104" i="6"/>
  <c r="G104" i="6"/>
  <c r="H104" i="6"/>
  <c r="B105" i="6"/>
  <c r="C105" i="6"/>
  <c r="D105" i="6"/>
  <c r="E105" i="6"/>
  <c r="F105" i="6"/>
  <c r="G105" i="6"/>
  <c r="H105" i="6"/>
  <c r="B106" i="6"/>
  <c r="C106" i="6"/>
  <c r="D106" i="6"/>
  <c r="E106" i="6"/>
  <c r="F106" i="6"/>
  <c r="G106" i="6"/>
  <c r="H106" i="6"/>
  <c r="B107" i="6"/>
  <c r="C107" i="6"/>
  <c r="D107" i="6"/>
  <c r="E107" i="6"/>
  <c r="F107" i="6"/>
  <c r="G107" i="6"/>
  <c r="H107" i="6"/>
  <c r="B108" i="6"/>
  <c r="C108" i="6"/>
  <c r="D108" i="6"/>
  <c r="E108" i="6"/>
  <c r="F108" i="6"/>
  <c r="G108" i="6"/>
  <c r="H108" i="6"/>
  <c r="B109" i="6"/>
  <c r="C109" i="6"/>
  <c r="D109" i="6"/>
  <c r="E109" i="6"/>
  <c r="F109" i="6"/>
  <c r="G109" i="6"/>
  <c r="H109" i="6"/>
  <c r="B110" i="6"/>
  <c r="C110" i="6"/>
  <c r="D110" i="6"/>
  <c r="E110" i="6"/>
  <c r="F110" i="6"/>
  <c r="G110" i="6"/>
  <c r="H110" i="6"/>
  <c r="B111" i="6"/>
  <c r="C111" i="6"/>
  <c r="D111" i="6"/>
  <c r="E111" i="6"/>
  <c r="F111" i="6"/>
  <c r="G111" i="6"/>
  <c r="H111" i="6"/>
  <c r="B112" i="6"/>
  <c r="C112" i="6"/>
  <c r="D112" i="6"/>
  <c r="E112" i="6"/>
  <c r="F112" i="6"/>
  <c r="G112" i="6"/>
  <c r="H112" i="6"/>
  <c r="B113" i="6"/>
  <c r="C113" i="6"/>
  <c r="D113" i="6"/>
  <c r="E113" i="6"/>
  <c r="F113" i="6"/>
  <c r="G113" i="6"/>
  <c r="H113" i="6"/>
  <c r="B114" i="6"/>
  <c r="C114" i="6"/>
  <c r="D114" i="6"/>
  <c r="E114" i="6"/>
  <c r="F114" i="6"/>
  <c r="G114" i="6"/>
  <c r="H114" i="6"/>
  <c r="B115" i="6"/>
  <c r="C115" i="6"/>
  <c r="D115" i="6"/>
  <c r="E115" i="6"/>
  <c r="F115" i="6"/>
  <c r="G115" i="6"/>
  <c r="H115" i="6"/>
  <c r="B116" i="6"/>
  <c r="C116" i="6"/>
  <c r="D116" i="6"/>
  <c r="E116" i="6"/>
  <c r="F116" i="6"/>
  <c r="G116" i="6"/>
  <c r="H116" i="6"/>
  <c r="B117" i="6"/>
  <c r="C117" i="6"/>
  <c r="D117" i="6"/>
  <c r="E117" i="6"/>
  <c r="F117" i="6"/>
  <c r="G117" i="6"/>
  <c r="H117" i="6"/>
  <c r="B118" i="6"/>
  <c r="C118" i="6"/>
  <c r="D118" i="6"/>
  <c r="E118" i="6"/>
  <c r="F118" i="6"/>
  <c r="G118" i="6"/>
  <c r="H118" i="6"/>
  <c r="B119" i="6"/>
  <c r="C119" i="6"/>
  <c r="D119" i="6"/>
  <c r="E119" i="6"/>
  <c r="F119" i="6"/>
  <c r="G119" i="6"/>
  <c r="H119" i="6"/>
  <c r="B120" i="6"/>
  <c r="C120" i="6"/>
  <c r="D120" i="6"/>
  <c r="E120" i="6"/>
  <c r="F120" i="6"/>
  <c r="G120" i="6"/>
  <c r="H120" i="6"/>
  <c r="B121" i="6"/>
  <c r="C121" i="6"/>
  <c r="D121" i="6"/>
  <c r="E121" i="6"/>
  <c r="F121" i="6"/>
  <c r="G121" i="6"/>
  <c r="H121" i="6"/>
  <c r="B122" i="6"/>
  <c r="C122" i="6"/>
  <c r="D122" i="6"/>
  <c r="E122" i="6"/>
  <c r="F122" i="6"/>
  <c r="G122" i="6"/>
  <c r="H122" i="6"/>
  <c r="B123" i="6"/>
  <c r="C123" i="6"/>
  <c r="D123" i="6"/>
  <c r="E123" i="6"/>
  <c r="F123" i="6"/>
  <c r="G123" i="6"/>
  <c r="H123" i="6"/>
  <c r="B124" i="6"/>
  <c r="C124" i="6"/>
  <c r="D124" i="6"/>
  <c r="E124" i="6"/>
  <c r="F124" i="6"/>
  <c r="G124" i="6"/>
  <c r="H124" i="6"/>
  <c r="B125" i="6"/>
  <c r="C125" i="6"/>
  <c r="D125" i="6"/>
  <c r="E125" i="6"/>
  <c r="F125" i="6"/>
  <c r="G125" i="6"/>
  <c r="H125" i="6"/>
  <c r="B126" i="6"/>
  <c r="C126" i="6"/>
  <c r="D126" i="6"/>
  <c r="E126" i="6"/>
  <c r="F126" i="6"/>
  <c r="G126" i="6"/>
  <c r="H126" i="6"/>
  <c r="B127" i="6"/>
  <c r="C127" i="6"/>
  <c r="D127" i="6"/>
  <c r="E127" i="6"/>
  <c r="F127" i="6"/>
  <c r="G127" i="6"/>
  <c r="H127" i="6"/>
  <c r="B128" i="6"/>
  <c r="C128" i="6"/>
  <c r="D128" i="6"/>
  <c r="E128" i="6"/>
  <c r="F128" i="6"/>
  <c r="G128" i="6"/>
  <c r="H128" i="6"/>
  <c r="B129" i="6"/>
  <c r="C129" i="6"/>
  <c r="D129" i="6"/>
  <c r="E129" i="6"/>
  <c r="F129" i="6"/>
  <c r="G129" i="6"/>
  <c r="H129" i="6"/>
  <c r="B130" i="6"/>
  <c r="C130" i="6"/>
  <c r="D130" i="6"/>
  <c r="E130" i="6"/>
  <c r="F130" i="6"/>
  <c r="G130" i="6"/>
  <c r="H130" i="6"/>
  <c r="B131" i="6"/>
  <c r="C131" i="6"/>
  <c r="D131" i="6"/>
  <c r="E131" i="6"/>
  <c r="F131" i="6"/>
  <c r="G131" i="6"/>
  <c r="H131" i="6"/>
  <c r="B132" i="6"/>
  <c r="C132" i="6"/>
  <c r="D132" i="6"/>
  <c r="E132" i="6"/>
  <c r="F132" i="6"/>
  <c r="G132" i="6"/>
  <c r="H132" i="6"/>
  <c r="B133" i="6"/>
  <c r="C133" i="6"/>
  <c r="D133" i="6"/>
  <c r="E133" i="6"/>
  <c r="F133" i="6"/>
  <c r="G133" i="6"/>
  <c r="H133" i="6"/>
  <c r="B134" i="6"/>
  <c r="C134" i="6"/>
  <c r="D134" i="6"/>
  <c r="E134" i="6"/>
  <c r="F134" i="6"/>
  <c r="G134" i="6"/>
  <c r="H134" i="6"/>
  <c r="B135" i="6"/>
  <c r="C135" i="6"/>
  <c r="D135" i="6"/>
  <c r="E135" i="6"/>
  <c r="F135" i="6"/>
  <c r="G135" i="6"/>
  <c r="H135" i="6"/>
  <c r="B136" i="6"/>
  <c r="C136" i="6"/>
  <c r="D136" i="6"/>
  <c r="E136" i="6"/>
  <c r="F136" i="6"/>
  <c r="G136" i="6"/>
  <c r="H136" i="6"/>
  <c r="B137" i="6"/>
  <c r="C137" i="6"/>
  <c r="D137" i="6"/>
  <c r="E137" i="6"/>
  <c r="F137" i="6"/>
  <c r="G137" i="6"/>
  <c r="H137" i="6"/>
  <c r="B138" i="6"/>
  <c r="C138" i="6"/>
  <c r="D138" i="6"/>
  <c r="E138" i="6"/>
  <c r="F138" i="6"/>
  <c r="G138" i="6"/>
  <c r="H138" i="6"/>
  <c r="B139" i="6"/>
  <c r="C139" i="6"/>
  <c r="D139" i="6"/>
  <c r="E139" i="6"/>
  <c r="F139" i="6"/>
  <c r="G139" i="6"/>
  <c r="H139" i="6"/>
  <c r="B140" i="6"/>
  <c r="C140" i="6"/>
  <c r="D140" i="6"/>
  <c r="E140" i="6"/>
  <c r="F140" i="6"/>
  <c r="G140" i="6"/>
  <c r="H140" i="6"/>
  <c r="B141" i="6"/>
  <c r="C141" i="6"/>
  <c r="D141" i="6"/>
  <c r="E141" i="6"/>
  <c r="F141" i="6"/>
  <c r="G141" i="6"/>
  <c r="H141" i="6"/>
  <c r="B142" i="6"/>
  <c r="C142" i="6"/>
  <c r="D142" i="6"/>
  <c r="E142" i="6"/>
  <c r="F142" i="6"/>
  <c r="G142" i="6"/>
  <c r="H142" i="6"/>
  <c r="B143" i="6"/>
  <c r="C143" i="6"/>
  <c r="D143" i="6"/>
  <c r="E143" i="6"/>
  <c r="F143" i="6"/>
  <c r="G143" i="6"/>
  <c r="H143" i="6"/>
  <c r="B144" i="6"/>
  <c r="C144" i="6"/>
  <c r="D144" i="6"/>
  <c r="E144" i="6"/>
  <c r="F144" i="6"/>
  <c r="G144" i="6"/>
  <c r="H144" i="6"/>
  <c r="B145" i="6"/>
  <c r="C145" i="6"/>
  <c r="D145" i="6"/>
  <c r="E145" i="6"/>
  <c r="F145" i="6"/>
  <c r="G145" i="6"/>
  <c r="H145" i="6"/>
  <c r="B146" i="6"/>
  <c r="C146" i="6"/>
  <c r="D146" i="6"/>
  <c r="E146" i="6"/>
  <c r="F146" i="6"/>
  <c r="G146" i="6"/>
  <c r="H146" i="6"/>
  <c r="B147" i="6"/>
  <c r="C147" i="6"/>
  <c r="D147" i="6"/>
  <c r="E147" i="6"/>
  <c r="F147" i="6"/>
  <c r="G147" i="6"/>
  <c r="H147" i="6"/>
  <c r="B148" i="6"/>
  <c r="C148" i="6"/>
  <c r="D148" i="6"/>
  <c r="E148" i="6"/>
  <c r="F148" i="6"/>
  <c r="G148" i="6"/>
  <c r="H148" i="6"/>
  <c r="B149" i="6"/>
  <c r="C149" i="6"/>
  <c r="D149" i="6"/>
  <c r="E149" i="6"/>
  <c r="F149" i="6"/>
  <c r="G149" i="6"/>
  <c r="H149" i="6"/>
  <c r="B150" i="6"/>
  <c r="C150" i="6"/>
  <c r="D150" i="6"/>
  <c r="E150" i="6"/>
  <c r="F150" i="6"/>
  <c r="G150" i="6"/>
  <c r="H150" i="6"/>
  <c r="B151" i="6"/>
  <c r="C151" i="6"/>
  <c r="D151" i="6"/>
  <c r="E151" i="6"/>
  <c r="F151" i="6"/>
  <c r="G151" i="6"/>
  <c r="H151" i="6"/>
  <c r="B152" i="6"/>
  <c r="C152" i="6"/>
  <c r="D152" i="6"/>
  <c r="E152" i="6"/>
  <c r="F152" i="6"/>
  <c r="G152" i="6"/>
  <c r="H152" i="6"/>
  <c r="B153" i="6"/>
  <c r="C153" i="6"/>
  <c r="D153" i="6"/>
  <c r="E153" i="6"/>
  <c r="F153" i="6"/>
  <c r="G153" i="6"/>
  <c r="H153" i="6"/>
  <c r="B154" i="6"/>
  <c r="C154" i="6"/>
  <c r="D154" i="6"/>
  <c r="E154" i="6"/>
  <c r="F154" i="6"/>
  <c r="G154" i="6"/>
  <c r="H154" i="6"/>
  <c r="B155" i="6"/>
  <c r="C155" i="6"/>
  <c r="D155" i="6"/>
  <c r="E155" i="6"/>
  <c r="F155" i="6"/>
  <c r="G155" i="6"/>
  <c r="H155" i="6"/>
  <c r="B156" i="6"/>
  <c r="C156" i="6"/>
  <c r="D156" i="6"/>
  <c r="E156" i="6"/>
  <c r="F156" i="6"/>
  <c r="G156" i="6"/>
  <c r="H156" i="6"/>
  <c r="B157" i="6"/>
  <c r="C157" i="6"/>
  <c r="D157" i="6"/>
  <c r="E157" i="6"/>
  <c r="F157" i="6"/>
  <c r="G157" i="6"/>
  <c r="H157" i="6"/>
  <c r="B158" i="6"/>
  <c r="C158" i="6"/>
  <c r="D158" i="6"/>
  <c r="E158" i="6"/>
  <c r="F158" i="6"/>
  <c r="G158" i="6"/>
  <c r="H158" i="6"/>
  <c r="B159" i="6"/>
  <c r="C159" i="6"/>
  <c r="D159" i="6"/>
  <c r="E159" i="6"/>
  <c r="F159" i="6"/>
  <c r="G159" i="6"/>
  <c r="H159" i="6"/>
  <c r="B160" i="6"/>
  <c r="C160" i="6"/>
  <c r="D160" i="6"/>
  <c r="E160" i="6"/>
  <c r="F160" i="6"/>
  <c r="G160" i="6"/>
  <c r="H160" i="6"/>
  <c r="H18" i="6"/>
  <c r="G18" i="6"/>
  <c r="F18" i="6"/>
  <c r="E18" i="6"/>
  <c r="D18" i="6"/>
  <c r="C18" i="6"/>
  <c r="B18" i="6"/>
  <c r="A18"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172" i="6"/>
  <c r="J171" i="6"/>
  <c r="J170" i="6"/>
  <c r="J169" i="6"/>
  <c r="J168" i="6"/>
  <c r="J167" i="6"/>
  <c r="J166" i="6"/>
  <c r="J165" i="6"/>
  <c r="J164" i="6"/>
  <c r="J163" i="6"/>
  <c r="J162"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T294" i="5"/>
  <c r="N294" i="5"/>
  <c r="P294" i="5" s="1"/>
  <c r="T293" i="5"/>
  <c r="N293" i="5"/>
  <c r="P293" i="5" s="1"/>
  <c r="T292" i="5"/>
  <c r="N292" i="5"/>
  <c r="P292" i="5" s="1"/>
  <c r="T291" i="5"/>
  <c r="N291" i="5"/>
  <c r="P291" i="5" s="1"/>
  <c r="T290" i="5"/>
  <c r="N290" i="5"/>
  <c r="P290" i="5" s="1"/>
  <c r="T289" i="5"/>
  <c r="N289" i="5"/>
  <c r="O289" i="5" s="1"/>
  <c r="T288" i="5"/>
  <c r="N288" i="5"/>
  <c r="P288" i="5" s="1"/>
  <c r="T287" i="5"/>
  <c r="N287" i="5"/>
  <c r="P287" i="5" s="1"/>
  <c r="T286" i="5"/>
  <c r="N286" i="5"/>
  <c r="P286" i="5" s="1"/>
  <c r="T285" i="5"/>
  <c r="N285" i="5"/>
  <c r="O285" i="5" s="1"/>
  <c r="T284" i="5"/>
  <c r="N284" i="5"/>
  <c r="P284" i="5" s="1"/>
  <c r="T283" i="5"/>
  <c r="N283" i="5"/>
  <c r="O283" i="5" s="1"/>
  <c r="T282" i="5"/>
  <c r="N282" i="5"/>
  <c r="P282" i="5" s="1"/>
  <c r="T281" i="5"/>
  <c r="N281" i="5"/>
  <c r="P281" i="5" s="1"/>
  <c r="T280" i="5"/>
  <c r="N280" i="5"/>
  <c r="P280" i="5" s="1"/>
  <c r="T279" i="5"/>
  <c r="N279" i="5"/>
  <c r="O279" i="5" s="1"/>
  <c r="T278" i="5"/>
  <c r="N278" i="5"/>
  <c r="P278" i="5" s="1"/>
  <c r="T277" i="5"/>
  <c r="N277" i="5"/>
  <c r="O277" i="5" s="1"/>
  <c r="T276" i="5"/>
  <c r="N276" i="5"/>
  <c r="P276" i="5" s="1"/>
  <c r="T275" i="5"/>
  <c r="N275" i="5"/>
  <c r="P275" i="5" s="1"/>
  <c r="T274" i="5"/>
  <c r="N274" i="5"/>
  <c r="P274" i="5" s="1"/>
  <c r="T273" i="5"/>
  <c r="N273" i="5"/>
  <c r="O273" i="5" s="1"/>
  <c r="T272" i="5"/>
  <c r="N272" i="5"/>
  <c r="P272" i="5" s="1"/>
  <c r="T271" i="5"/>
  <c r="N271" i="5"/>
  <c r="O271" i="5" s="1"/>
  <c r="T270" i="5"/>
  <c r="N270" i="5"/>
  <c r="P270" i="5" s="1"/>
  <c r="T269" i="5"/>
  <c r="N269" i="5"/>
  <c r="P269" i="5" s="1"/>
  <c r="T268" i="5"/>
  <c r="N268" i="5"/>
  <c r="P268" i="5" s="1"/>
  <c r="T267" i="5"/>
  <c r="N267" i="5"/>
  <c r="P267" i="5" s="1"/>
  <c r="T266" i="5"/>
  <c r="N266" i="5"/>
  <c r="P266" i="5" s="1"/>
  <c r="T265" i="5"/>
  <c r="N265" i="5"/>
  <c r="O265" i="5" s="1"/>
  <c r="T264" i="5"/>
  <c r="N264" i="5"/>
  <c r="P264" i="5" s="1"/>
  <c r="T263" i="5"/>
  <c r="N263" i="5"/>
  <c r="P263" i="5" s="1"/>
  <c r="T262" i="5"/>
  <c r="N262" i="5"/>
  <c r="P262" i="5" s="1"/>
  <c r="T261" i="5"/>
  <c r="N261" i="5"/>
  <c r="O261" i="5" s="1"/>
  <c r="T260" i="5"/>
  <c r="N260" i="5"/>
  <c r="P260" i="5" s="1"/>
  <c r="T259" i="5"/>
  <c r="N259" i="5"/>
  <c r="O259" i="5" s="1"/>
  <c r="T258" i="5"/>
  <c r="N258" i="5"/>
  <c r="P258" i="5" s="1"/>
  <c r="T257" i="5"/>
  <c r="N257" i="5"/>
  <c r="P257" i="5" s="1"/>
  <c r="T256" i="5"/>
  <c r="N256" i="5"/>
  <c r="P256" i="5" s="1"/>
  <c r="T255" i="5"/>
  <c r="N255" i="5"/>
  <c r="O255" i="5" s="1"/>
  <c r="T254" i="5"/>
  <c r="N254" i="5"/>
  <c r="P254" i="5" s="1"/>
  <c r="T253" i="5"/>
  <c r="N253" i="5"/>
  <c r="O253" i="5" s="1"/>
  <c r="T252" i="5"/>
  <c r="N252" i="5"/>
  <c r="P252" i="5" s="1"/>
  <c r="T251" i="5"/>
  <c r="N251" i="5"/>
  <c r="P251" i="5" s="1"/>
  <c r="T250" i="5"/>
  <c r="N250" i="5"/>
  <c r="P250" i="5" s="1"/>
  <c r="T249" i="5"/>
  <c r="N249" i="5"/>
  <c r="P249" i="5" s="1"/>
  <c r="T248" i="5"/>
  <c r="N248" i="5"/>
  <c r="O248" i="5" s="1"/>
  <c r="T247" i="5"/>
  <c r="N247" i="5"/>
  <c r="O247" i="5" s="1"/>
  <c r="T246" i="5"/>
  <c r="N246" i="5"/>
  <c r="P246" i="5" s="1"/>
  <c r="T245" i="5"/>
  <c r="N245" i="5"/>
  <c r="P245" i="5" s="1"/>
  <c r="T244" i="5"/>
  <c r="N244" i="5"/>
  <c r="P244" i="5" s="1"/>
  <c r="T243" i="5"/>
  <c r="N243" i="5"/>
  <c r="P243" i="5" s="1"/>
  <c r="T242" i="5"/>
  <c r="N242" i="5"/>
  <c r="P242" i="5" s="1"/>
  <c r="T241" i="5"/>
  <c r="N241" i="5"/>
  <c r="O241" i="5" s="1"/>
  <c r="T240" i="5"/>
  <c r="N240" i="5"/>
  <c r="P240" i="5" s="1"/>
  <c r="T239" i="5"/>
  <c r="N239" i="5"/>
  <c r="O239" i="5" s="1"/>
  <c r="T238" i="5"/>
  <c r="N238" i="5"/>
  <c r="P238" i="5" s="1"/>
  <c r="T237" i="5"/>
  <c r="N237" i="5"/>
  <c r="O237" i="5" s="1"/>
  <c r="T236" i="5"/>
  <c r="N236" i="5"/>
  <c r="O236" i="5" s="1"/>
  <c r="T235" i="5"/>
  <c r="N235" i="5"/>
  <c r="O235" i="5" s="1"/>
  <c r="T183" i="5"/>
  <c r="N183" i="5"/>
  <c r="P183" i="5" s="1"/>
  <c r="T171" i="5"/>
  <c r="N171" i="5"/>
  <c r="O171" i="5" s="1"/>
  <c r="T170" i="5"/>
  <c r="N170" i="5"/>
  <c r="P170" i="5" s="1"/>
  <c r="T169" i="5"/>
  <c r="N169" i="5"/>
  <c r="O169" i="5" s="1"/>
  <c r="T168" i="5"/>
  <c r="N168" i="5"/>
  <c r="O168" i="5" s="1"/>
  <c r="T167" i="5"/>
  <c r="N167" i="5"/>
  <c r="T166" i="5"/>
  <c r="N166" i="5"/>
  <c r="O166" i="5" s="1"/>
  <c r="T165" i="5"/>
  <c r="N165" i="5"/>
  <c r="P165" i="5" s="1"/>
  <c r="T164" i="5"/>
  <c r="N164" i="5"/>
  <c r="P164" i="5" s="1"/>
  <c r="T163" i="5"/>
  <c r="N163" i="5"/>
  <c r="O163" i="5" s="1"/>
  <c r="T162" i="5"/>
  <c r="N162" i="5"/>
  <c r="T103" i="5"/>
  <c r="N103" i="5"/>
  <c r="P103" i="5" s="1"/>
  <c r="T102" i="5"/>
  <c r="N102" i="5"/>
  <c r="P102" i="5" s="1"/>
  <c r="T101" i="5"/>
  <c r="N101" i="5"/>
  <c r="P101" i="5" s="1"/>
  <c r="T100" i="5"/>
  <c r="N100" i="5"/>
  <c r="O100" i="5" s="1"/>
  <c r="T99" i="5"/>
  <c r="N99" i="5"/>
  <c r="O99" i="5" s="1"/>
  <c r="T98" i="5"/>
  <c r="N98" i="5"/>
  <c r="O98" i="5" s="1"/>
  <c r="T97" i="5"/>
  <c r="N97" i="5"/>
  <c r="P97" i="5" s="1"/>
  <c r="T96" i="5"/>
  <c r="N96" i="5"/>
  <c r="O96" i="5" s="1"/>
  <c r="T95" i="5"/>
  <c r="N95" i="5"/>
  <c r="P95" i="5" s="1"/>
  <c r="T94" i="5"/>
  <c r="N94" i="5"/>
  <c r="O94" i="5" s="1"/>
  <c r="T93" i="5"/>
  <c r="N93" i="5"/>
  <c r="O93" i="5" s="1"/>
  <c r="T92" i="5"/>
  <c r="N92" i="5"/>
  <c r="O92" i="5" s="1"/>
  <c r="T91" i="5"/>
  <c r="N91" i="5"/>
  <c r="O91" i="5" s="1"/>
  <c r="T90" i="5"/>
  <c r="N90" i="5"/>
  <c r="O90" i="5" s="1"/>
  <c r="T89" i="5"/>
  <c r="N89" i="5"/>
  <c r="P89" i="5" s="1"/>
  <c r="T88" i="5"/>
  <c r="N88" i="5"/>
  <c r="T87" i="5"/>
  <c r="N87" i="5"/>
  <c r="P87" i="5" s="1"/>
  <c r="T86" i="5"/>
  <c r="N86" i="5"/>
  <c r="O86" i="5" s="1"/>
  <c r="T85" i="5"/>
  <c r="N85" i="5"/>
  <c r="O85" i="5" s="1"/>
  <c r="T84" i="5"/>
  <c r="N84" i="5"/>
  <c r="O84" i="5" s="1"/>
  <c r="T83" i="5"/>
  <c r="N83" i="5"/>
  <c r="P83" i="5" s="1"/>
  <c r="T82" i="5"/>
  <c r="N82" i="5"/>
  <c r="T81" i="5"/>
  <c r="N81" i="5"/>
  <c r="P81" i="5" s="1"/>
  <c r="T80" i="5"/>
  <c r="N80" i="5"/>
  <c r="O80" i="5" s="1"/>
  <c r="T79" i="5"/>
  <c r="N79" i="5"/>
  <c r="O79" i="5" s="1"/>
  <c r="T78" i="5"/>
  <c r="N78" i="5"/>
  <c r="O78" i="5" s="1"/>
  <c r="T77" i="5"/>
  <c r="N77" i="5"/>
  <c r="P77" i="5" s="1"/>
  <c r="T76" i="5"/>
  <c r="N76" i="5"/>
  <c r="T75" i="5"/>
  <c r="N75" i="5"/>
  <c r="P75" i="5" s="1"/>
  <c r="T74" i="5"/>
  <c r="N74" i="5"/>
  <c r="O74" i="5" s="1"/>
  <c r="T73" i="5"/>
  <c r="N73" i="5"/>
  <c r="O73" i="5" s="1"/>
  <c r="T72" i="5"/>
  <c r="N72" i="5"/>
  <c r="O72" i="5" s="1"/>
  <c r="T70" i="5"/>
  <c r="N70" i="5"/>
  <c r="P70" i="5" s="1"/>
  <c r="T69" i="5"/>
  <c r="N69" i="5"/>
  <c r="T68" i="5"/>
  <c r="N68" i="5"/>
  <c r="P68" i="5" s="1"/>
  <c r="T67" i="5"/>
  <c r="N67" i="5"/>
  <c r="O67" i="5" s="1"/>
  <c r="T66" i="5"/>
  <c r="N66" i="5"/>
  <c r="P66" i="5" s="1"/>
  <c r="T65" i="5"/>
  <c r="N65" i="5"/>
  <c r="O65" i="5" s="1"/>
  <c r="T64" i="5"/>
  <c r="N64" i="5"/>
  <c r="P64" i="5" s="1"/>
  <c r="T63" i="5"/>
  <c r="N63" i="5"/>
  <c r="T62" i="5"/>
  <c r="N62" i="5"/>
  <c r="P62" i="5" s="1"/>
  <c r="T61" i="5"/>
  <c r="N61" i="5"/>
  <c r="O61" i="5" s="1"/>
  <c r="T60" i="5"/>
  <c r="N60" i="5"/>
  <c r="P60" i="5" s="1"/>
  <c r="T59" i="5"/>
  <c r="N59" i="5"/>
  <c r="O59" i="5" s="1"/>
  <c r="T58" i="5"/>
  <c r="N58" i="5"/>
  <c r="P58" i="5" s="1"/>
  <c r="T57" i="5"/>
  <c r="N57" i="5"/>
  <c r="T56" i="5"/>
  <c r="N56" i="5"/>
  <c r="O56" i="5" s="1"/>
  <c r="T55" i="5"/>
  <c r="N55" i="5"/>
  <c r="O55" i="5" s="1"/>
  <c r="T54" i="5"/>
  <c r="N54" i="5"/>
  <c r="P54" i="5" s="1"/>
  <c r="T53" i="5"/>
  <c r="N53" i="5"/>
  <c r="O53" i="5" s="1"/>
  <c r="T52" i="5"/>
  <c r="N52" i="5"/>
  <c r="P52" i="5" s="1"/>
  <c r="T51" i="5"/>
  <c r="N51" i="5"/>
  <c r="T50" i="5"/>
  <c r="N50" i="5"/>
  <c r="P50" i="5" s="1"/>
  <c r="T49" i="5"/>
  <c r="N49" i="5"/>
  <c r="O49" i="5" s="1"/>
  <c r="T48" i="5"/>
  <c r="N48" i="5"/>
  <c r="P48" i="5" s="1"/>
  <c r="T47" i="5"/>
  <c r="N47" i="5"/>
  <c r="O47" i="5" s="1"/>
  <c r="T46" i="5"/>
  <c r="N46" i="5"/>
  <c r="P46" i="5" s="1"/>
  <c r="T45" i="5"/>
  <c r="N45" i="5"/>
  <c r="T44" i="5"/>
  <c r="N44" i="5"/>
  <c r="P44" i="5" s="1"/>
  <c r="T43" i="5"/>
  <c r="N43" i="5"/>
  <c r="O43" i="5" s="1"/>
  <c r="T42" i="5"/>
  <c r="N42" i="5"/>
  <c r="P42" i="5" s="1"/>
  <c r="T41" i="5"/>
  <c r="N41" i="5"/>
  <c r="P41" i="5" s="1"/>
  <c r="T40" i="5"/>
  <c r="N40" i="5"/>
  <c r="P40" i="5" s="1"/>
  <c r="T39" i="5"/>
  <c r="N39" i="5"/>
  <c r="T38" i="5"/>
  <c r="N38" i="5"/>
  <c r="O38" i="5" s="1"/>
  <c r="T37" i="5"/>
  <c r="N37" i="5"/>
  <c r="O37" i="5" s="1"/>
  <c r="T36" i="5"/>
  <c r="N36" i="5"/>
  <c r="P36" i="5" s="1"/>
  <c r="T35" i="5"/>
  <c r="N35" i="5"/>
  <c r="O35" i="5" s="1"/>
  <c r="T34" i="5"/>
  <c r="N34" i="5"/>
  <c r="P34" i="5" s="1"/>
  <c r="T33" i="5"/>
  <c r="N33" i="5"/>
  <c r="T32" i="5"/>
  <c r="N32" i="5"/>
  <c r="O32" i="5" s="1"/>
  <c r="T31" i="5"/>
  <c r="N31" i="5"/>
  <c r="O31" i="5" s="1"/>
  <c r="T30" i="5"/>
  <c r="N30" i="5"/>
  <c r="P30" i="5" s="1"/>
  <c r="T29" i="5"/>
  <c r="N29" i="5"/>
  <c r="O29" i="5" s="1"/>
  <c r="T28" i="5"/>
  <c r="N28" i="5"/>
  <c r="P28" i="5" s="1"/>
  <c r="T27" i="5"/>
  <c r="N27" i="5"/>
  <c r="T26" i="5"/>
  <c r="N26" i="5"/>
  <c r="P26" i="5" s="1"/>
  <c r="T25" i="5"/>
  <c r="N25" i="5"/>
  <c r="O25" i="5" s="1"/>
  <c r="T24" i="5"/>
  <c r="N24" i="5"/>
  <c r="P24" i="5" s="1"/>
  <c r="T23" i="5"/>
  <c r="N23" i="5"/>
  <c r="O23" i="5" s="1"/>
  <c r="T22" i="5"/>
  <c r="N22" i="5"/>
  <c r="P22" i="5" s="1"/>
  <c r="P248" i="5" l="1"/>
  <c r="O75" i="5"/>
  <c r="O240" i="5"/>
  <c r="O266" i="5"/>
  <c r="O246" i="5"/>
  <c r="O257" i="5"/>
  <c r="O276" i="5"/>
  <c r="O293" i="5"/>
  <c r="O263" i="5"/>
  <c r="O282" i="5"/>
  <c r="O272" i="5"/>
  <c r="P236" i="5"/>
  <c r="O254" i="5"/>
  <c r="O264" i="5"/>
  <c r="O284" i="5"/>
  <c r="O245" i="5"/>
  <c r="O275" i="5"/>
  <c r="O290" i="5"/>
  <c r="O258" i="5"/>
  <c r="O281" i="5"/>
  <c r="P23" i="5"/>
  <c r="P169" i="5"/>
  <c r="O252" i="5"/>
  <c r="O270" i="5"/>
  <c r="O288" i="5"/>
  <c r="O242" i="5"/>
  <c r="O251" i="5"/>
  <c r="O260" i="5"/>
  <c r="O269" i="5"/>
  <c r="O278" i="5"/>
  <c r="O287" i="5"/>
  <c r="O294" i="5"/>
  <c r="P239" i="5"/>
  <c r="P241" i="5"/>
  <c r="P247" i="5"/>
  <c r="P253" i="5"/>
  <c r="P259" i="5"/>
  <c r="P265" i="5"/>
  <c r="P271" i="5"/>
  <c r="P277" i="5"/>
  <c r="P283" i="5"/>
  <c r="P289" i="5"/>
  <c r="P235" i="5"/>
  <c r="O243" i="5"/>
  <c r="O249" i="5"/>
  <c r="O267" i="5"/>
  <c r="O291" i="5"/>
  <c r="P237" i="5"/>
  <c r="O238" i="5"/>
  <c r="O244" i="5"/>
  <c r="O250" i="5"/>
  <c r="P255" i="5"/>
  <c r="O256" i="5"/>
  <c r="P261" i="5"/>
  <c r="O262" i="5"/>
  <c r="O268" i="5"/>
  <c r="P273" i="5"/>
  <c r="O274" i="5"/>
  <c r="P279" i="5"/>
  <c r="O280" i="5"/>
  <c r="P285" i="5"/>
  <c r="O286" i="5"/>
  <c r="O292" i="5"/>
  <c r="O164" i="5"/>
  <c r="O183" i="5"/>
  <c r="P163" i="5"/>
  <c r="P168" i="5"/>
  <c r="O165" i="5"/>
  <c r="O170" i="5"/>
  <c r="P171" i="5"/>
  <c r="P167" i="5"/>
  <c r="O167" i="5"/>
  <c r="P162" i="5"/>
  <c r="O162" i="5"/>
  <c r="P166" i="5"/>
  <c r="P32" i="5"/>
  <c r="O101" i="5"/>
  <c r="P91" i="5"/>
  <c r="O66" i="5"/>
  <c r="O87" i="5"/>
  <c r="O68" i="5"/>
  <c r="P85" i="5"/>
  <c r="P99" i="5"/>
  <c r="O50" i="5"/>
  <c r="O48" i="5"/>
  <c r="P73" i="5"/>
  <c r="P35" i="5"/>
  <c r="P38" i="5"/>
  <c r="P79" i="5"/>
  <c r="O81" i="5"/>
  <c r="P93" i="5"/>
  <c r="O95" i="5"/>
  <c r="P29" i="5"/>
  <c r="P47" i="5"/>
  <c r="P49" i="5"/>
  <c r="P65" i="5"/>
  <c r="P67" i="5"/>
  <c r="P86" i="5"/>
  <c r="P100" i="5"/>
  <c r="O102" i="5"/>
  <c r="P31" i="5"/>
  <c r="P56" i="5"/>
  <c r="P80" i="5"/>
  <c r="P94" i="5"/>
  <c r="P74" i="5"/>
  <c r="P92" i="5"/>
  <c r="P25" i="5"/>
  <c r="O44" i="5"/>
  <c r="P59" i="5"/>
  <c r="P61" i="5"/>
  <c r="P53" i="5"/>
  <c r="P55" i="5"/>
  <c r="O24" i="5"/>
  <c r="O26" i="5"/>
  <c r="O41" i="5"/>
  <c r="P43" i="5"/>
  <c r="O60" i="5"/>
  <c r="O62" i="5"/>
  <c r="O103" i="5"/>
  <c r="P37" i="5"/>
  <c r="O54" i="5"/>
  <c r="P72" i="5"/>
  <c r="P78" i="5"/>
  <c r="P84" i="5"/>
  <c r="P90" i="5"/>
  <c r="P98" i="5"/>
  <c r="P63" i="5"/>
  <c r="O63" i="5"/>
  <c r="O69" i="5"/>
  <c r="P69" i="5"/>
  <c r="P27" i="5"/>
  <c r="O27" i="5"/>
  <c r="O51" i="5"/>
  <c r="P51" i="5"/>
  <c r="O82" i="5"/>
  <c r="P82" i="5"/>
  <c r="O39" i="5"/>
  <c r="P39" i="5"/>
  <c r="P57" i="5"/>
  <c r="O57" i="5"/>
  <c r="O45" i="5"/>
  <c r="P45" i="5"/>
  <c r="O33" i="5"/>
  <c r="P33" i="5"/>
  <c r="O76" i="5"/>
  <c r="P76" i="5"/>
  <c r="O88" i="5"/>
  <c r="P88" i="5"/>
  <c r="O22" i="5"/>
  <c r="O28" i="5"/>
  <c r="O34" i="5"/>
  <c r="O40" i="5"/>
  <c r="O46" i="5"/>
  <c r="O52" i="5"/>
  <c r="O58" i="5"/>
  <c r="O64" i="5"/>
  <c r="O70" i="5"/>
  <c r="O77" i="5"/>
  <c r="O83" i="5"/>
  <c r="O89" i="5"/>
  <c r="P96" i="5"/>
  <c r="O97" i="5"/>
  <c r="O30" i="5"/>
  <c r="O36" i="5"/>
  <c r="O42" i="5"/>
  <c r="V128" i="7"/>
  <c r="P128" i="7"/>
  <c r="R128" i="7" s="1"/>
  <c r="V127" i="7"/>
  <c r="P127" i="7"/>
  <c r="Q127" i="7" s="1"/>
  <c r="V126" i="7"/>
  <c r="P126" i="7"/>
  <c r="R126" i="7" s="1"/>
  <c r="V125" i="7"/>
  <c r="P125" i="7"/>
  <c r="R125" i="7" s="1"/>
  <c r="V124" i="7"/>
  <c r="P124" i="7"/>
  <c r="R124" i="7" s="1"/>
  <c r="V123" i="7"/>
  <c r="P123" i="7"/>
  <c r="Q123" i="7" s="1"/>
  <c r="V122" i="7"/>
  <c r="P122" i="7"/>
  <c r="R122" i="7" s="1"/>
  <c r="V121" i="7"/>
  <c r="P121" i="7"/>
  <c r="Q121" i="7" s="1"/>
  <c r="V120" i="7"/>
  <c r="P120" i="7"/>
  <c r="R120" i="7" s="1"/>
  <c r="V119" i="7"/>
  <c r="P119" i="7"/>
  <c r="Q119" i="7" s="1"/>
  <c r="V118" i="7"/>
  <c r="P118" i="7"/>
  <c r="R118" i="7" s="1"/>
  <c r="V117" i="7"/>
  <c r="P117" i="7"/>
  <c r="Q117" i="7" s="1"/>
  <c r="V116" i="7"/>
  <c r="P116" i="7"/>
  <c r="R116" i="7" s="1"/>
  <c r="V115" i="7"/>
  <c r="P115" i="7"/>
  <c r="Q115" i="7" s="1"/>
  <c r="V114" i="7"/>
  <c r="P114" i="7"/>
  <c r="Q114" i="7" s="1"/>
  <c r="V113" i="7"/>
  <c r="P113" i="7"/>
  <c r="Q113" i="7" s="1"/>
  <c r="V112" i="7"/>
  <c r="P112" i="7"/>
  <c r="R112" i="7" s="1"/>
  <c r="V111" i="7"/>
  <c r="P111" i="7"/>
  <c r="Q111" i="7" s="1"/>
  <c r="V110" i="7"/>
  <c r="P110" i="7"/>
  <c r="R110" i="7" s="1"/>
  <c r="V109" i="7"/>
  <c r="P109" i="7"/>
  <c r="Q109" i="7" s="1"/>
  <c r="V108" i="7"/>
  <c r="P108" i="7"/>
  <c r="R108" i="7" s="1"/>
  <c r="V107" i="7"/>
  <c r="P107" i="7"/>
  <c r="Q107" i="7" s="1"/>
  <c r="V106" i="7"/>
  <c r="P106" i="7"/>
  <c r="R106" i="7" s="1"/>
  <c r="V105" i="7"/>
  <c r="P105" i="7"/>
  <c r="Q105" i="7" s="1"/>
  <c r="V104" i="7"/>
  <c r="P104" i="7"/>
  <c r="R104" i="7" s="1"/>
  <c r="V103" i="7"/>
  <c r="P103" i="7"/>
  <c r="Q103" i="7" s="1"/>
  <c r="V102" i="7"/>
  <c r="P102" i="7"/>
  <c r="R102" i="7" s="1"/>
  <c r="V101" i="7"/>
  <c r="P101" i="7"/>
  <c r="Q101" i="7" s="1"/>
  <c r="V100" i="7"/>
  <c r="P100" i="7"/>
  <c r="R100" i="7" s="1"/>
  <c r="V99" i="7"/>
  <c r="P99" i="7"/>
  <c r="Q99" i="7" s="1"/>
  <c r="V98" i="7"/>
  <c r="P98" i="7"/>
  <c r="Q98" i="7" s="1"/>
  <c r="V97" i="7"/>
  <c r="P97" i="7"/>
  <c r="V96" i="7"/>
  <c r="P96" i="7"/>
  <c r="R96" i="7" s="1"/>
  <c r="V95" i="7"/>
  <c r="P95" i="7"/>
  <c r="Q95" i="7" s="1"/>
  <c r="V94" i="7"/>
  <c r="P94" i="7"/>
  <c r="R94" i="7" s="1"/>
  <c r="V93" i="7"/>
  <c r="P93" i="7"/>
  <c r="V92" i="7"/>
  <c r="P92" i="7"/>
  <c r="R92" i="7" s="1"/>
  <c r="V91" i="7"/>
  <c r="P91" i="7"/>
  <c r="Q91" i="7" s="1"/>
  <c r="V90" i="7"/>
  <c r="P90" i="7"/>
  <c r="R90" i="7" s="1"/>
  <c r="V89" i="7"/>
  <c r="P89" i="7"/>
  <c r="V139" i="7"/>
  <c r="P139" i="7"/>
  <c r="Q139" i="7" s="1"/>
  <c r="V138" i="7"/>
  <c r="P138" i="7"/>
  <c r="Q138" i="7" s="1"/>
  <c r="V137" i="7"/>
  <c r="P137" i="7"/>
  <c r="R137" i="7" s="1"/>
  <c r="V136" i="7"/>
  <c r="P136" i="7"/>
  <c r="R136" i="7" s="1"/>
  <c r="V135" i="7"/>
  <c r="P135" i="7"/>
  <c r="Q135" i="7" s="1"/>
  <c r="V134" i="7"/>
  <c r="P134" i="7"/>
  <c r="Q134" i="7" s="1"/>
  <c r="V133" i="7"/>
  <c r="P133" i="7"/>
  <c r="R133" i="7" s="1"/>
  <c r="V132" i="7"/>
  <c r="P132" i="7"/>
  <c r="R132" i="7" s="1"/>
  <c r="V131" i="7"/>
  <c r="P131" i="7"/>
  <c r="Q131" i="7" s="1"/>
  <c r="V130" i="7"/>
  <c r="P130" i="7"/>
  <c r="Q130" i="7" s="1"/>
  <c r="V129" i="7"/>
  <c r="P129" i="7"/>
  <c r="R129" i="7" s="1"/>
  <c r="V151" i="7"/>
  <c r="P151" i="7"/>
  <c r="R151" i="7" s="1"/>
  <c r="V150" i="7"/>
  <c r="P150" i="7"/>
  <c r="Q150" i="7" s="1"/>
  <c r="V149" i="7"/>
  <c r="P149" i="7"/>
  <c r="R149" i="7" s="1"/>
  <c r="V148" i="7"/>
  <c r="P148" i="7"/>
  <c r="Q148" i="7" s="1"/>
  <c r="V147" i="7"/>
  <c r="P147" i="7"/>
  <c r="R147" i="7" s="1"/>
  <c r="V146" i="7"/>
  <c r="P146" i="7"/>
  <c r="Q146" i="7" s="1"/>
  <c r="V144" i="7"/>
  <c r="P144" i="7"/>
  <c r="R144" i="7" s="1"/>
  <c r="V143" i="7"/>
  <c r="P143" i="7"/>
  <c r="V142" i="7"/>
  <c r="P142" i="7"/>
  <c r="V141" i="7"/>
  <c r="P141" i="7"/>
  <c r="Q141" i="7" s="1"/>
  <c r="V140" i="7"/>
  <c r="P140" i="7"/>
  <c r="R140" i="7" s="1"/>
  <c r="V154" i="7"/>
  <c r="P154" i="7"/>
  <c r="R154" i="7" s="1"/>
  <c r="V153" i="7"/>
  <c r="P153" i="7"/>
  <c r="R153" i="7" s="1"/>
  <c r="V152" i="7"/>
  <c r="P152" i="7"/>
  <c r="R152" i="7" s="1"/>
  <c r="B17" i="6"/>
  <c r="A17"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61" i="6"/>
  <c r="J160" i="6"/>
  <c r="J159" i="6"/>
  <c r="J158" i="6"/>
  <c r="J157" i="6"/>
  <c r="J156" i="6"/>
  <c r="J155" i="6"/>
  <c r="J154" i="6"/>
  <c r="J153" i="6"/>
  <c r="T121" i="5"/>
  <c r="N121" i="5"/>
  <c r="P121" i="5" s="1"/>
  <c r="T120" i="5"/>
  <c r="N120" i="5"/>
  <c r="T119" i="5"/>
  <c r="N119" i="5"/>
  <c r="P119" i="5" s="1"/>
  <c r="T118" i="5"/>
  <c r="N118" i="5"/>
  <c r="O118" i="5" s="1"/>
  <c r="T117" i="5"/>
  <c r="N117" i="5"/>
  <c r="O117" i="5" s="1"/>
  <c r="T116" i="5"/>
  <c r="N116" i="5"/>
  <c r="T115" i="5"/>
  <c r="N115" i="5"/>
  <c r="P115" i="5" s="1"/>
  <c r="T114" i="5"/>
  <c r="N114" i="5"/>
  <c r="O114" i="5" s="1"/>
  <c r="T113" i="5"/>
  <c r="N113" i="5"/>
  <c r="O113" i="5" s="1"/>
  <c r="T112" i="5"/>
  <c r="N112" i="5"/>
  <c r="T111" i="5"/>
  <c r="N111" i="5"/>
  <c r="P111" i="5" s="1"/>
  <c r="T110" i="5"/>
  <c r="N110" i="5"/>
  <c r="O110" i="5" s="1"/>
  <c r="T109" i="5"/>
  <c r="N109" i="5"/>
  <c r="O109" i="5" s="1"/>
  <c r="T108" i="5"/>
  <c r="N108" i="5"/>
  <c r="T107" i="5"/>
  <c r="N107" i="5"/>
  <c r="P107" i="5" s="1"/>
  <c r="T106" i="5"/>
  <c r="N106" i="5"/>
  <c r="O106" i="5" s="1"/>
  <c r="T105" i="5"/>
  <c r="N105" i="5"/>
  <c r="O105" i="5" s="1"/>
  <c r="T104" i="5"/>
  <c r="N104" i="5"/>
  <c r="T21" i="5"/>
  <c r="N21" i="5"/>
  <c r="P21" i="5" s="1"/>
  <c r="T20" i="5"/>
  <c r="N20" i="5"/>
  <c r="O20" i="5" s="1"/>
  <c r="T196" i="5"/>
  <c r="N196" i="5"/>
  <c r="O196" i="5" s="1"/>
  <c r="T195" i="5"/>
  <c r="N195" i="5"/>
  <c r="P195" i="5" s="1"/>
  <c r="T194" i="5"/>
  <c r="N194" i="5"/>
  <c r="P194" i="5" s="1"/>
  <c r="T193" i="5"/>
  <c r="N193" i="5"/>
  <c r="T192" i="5"/>
  <c r="N192" i="5"/>
  <c r="O192" i="5" s="1"/>
  <c r="T191" i="5"/>
  <c r="N191" i="5"/>
  <c r="P191" i="5" s="1"/>
  <c r="T190" i="5"/>
  <c r="N190" i="5"/>
  <c r="P190" i="5" s="1"/>
  <c r="T189" i="5"/>
  <c r="N189" i="5"/>
  <c r="T188" i="5"/>
  <c r="N188" i="5"/>
  <c r="O188" i="5" s="1"/>
  <c r="T187" i="5"/>
  <c r="N187" i="5"/>
  <c r="P187" i="5" s="1"/>
  <c r="T186" i="5"/>
  <c r="N186" i="5"/>
  <c r="P186" i="5" s="1"/>
  <c r="T185" i="5"/>
  <c r="N185" i="5"/>
  <c r="T184" i="5"/>
  <c r="P184" i="5"/>
  <c r="O184" i="5"/>
  <c r="T161" i="5"/>
  <c r="N161" i="5"/>
  <c r="P161" i="5" s="1"/>
  <c r="T300" i="5"/>
  <c r="N300" i="5"/>
  <c r="P300" i="5" s="1"/>
  <c r="T299" i="5"/>
  <c r="N299" i="5"/>
  <c r="O299" i="5" s="1"/>
  <c r="T298" i="5"/>
  <c r="N298" i="5"/>
  <c r="O298" i="5" s="1"/>
  <c r="T297" i="5"/>
  <c r="N297" i="5"/>
  <c r="P297" i="5" s="1"/>
  <c r="T296" i="5"/>
  <c r="N296" i="5"/>
  <c r="P296" i="5" s="1"/>
  <c r="T295" i="5"/>
  <c r="N295" i="5"/>
  <c r="O295" i="5" s="1"/>
  <c r="T234" i="5"/>
  <c r="N234" i="5"/>
  <c r="P234" i="5" s="1"/>
  <c r="T233" i="5"/>
  <c r="N233" i="5"/>
  <c r="P233" i="5" s="1"/>
  <c r="T232" i="5"/>
  <c r="N232" i="5"/>
  <c r="O232" i="5" s="1"/>
  <c r="T231" i="5"/>
  <c r="N231" i="5"/>
  <c r="O231" i="5" s="1"/>
  <c r="T230" i="5"/>
  <c r="N230" i="5"/>
  <c r="P230" i="5" s="1"/>
  <c r="T229" i="5"/>
  <c r="N229" i="5"/>
  <c r="P229" i="5" s="1"/>
  <c r="T228" i="5"/>
  <c r="N228" i="5"/>
  <c r="O228" i="5" s="1"/>
  <c r="T227" i="5"/>
  <c r="N227" i="5"/>
  <c r="O227" i="5" s="1"/>
  <c r="T226" i="5"/>
  <c r="N226" i="5"/>
  <c r="P226" i="5" s="1"/>
  <c r="T225" i="5"/>
  <c r="N225" i="5"/>
  <c r="P225" i="5" s="1"/>
  <c r="T224" i="5"/>
  <c r="N224" i="5"/>
  <c r="O224" i="5" s="1"/>
  <c r="T223" i="5"/>
  <c r="N223" i="5"/>
  <c r="O223" i="5" s="1"/>
  <c r="T222" i="5"/>
  <c r="N222" i="5"/>
  <c r="P222" i="5" s="1"/>
  <c r="T221" i="5"/>
  <c r="N221" i="5"/>
  <c r="P221" i="5" s="1"/>
  <c r="T220" i="5"/>
  <c r="N220" i="5"/>
  <c r="O220" i="5" s="1"/>
  <c r="T219" i="5"/>
  <c r="N219" i="5"/>
  <c r="O219" i="5" s="1"/>
  <c r="T218" i="5"/>
  <c r="N218" i="5"/>
  <c r="P218" i="5" s="1"/>
  <c r="T217" i="5"/>
  <c r="N217" i="5"/>
  <c r="P217" i="5" s="1"/>
  <c r="T216" i="5"/>
  <c r="N216" i="5"/>
  <c r="O216" i="5" s="1"/>
  <c r="T215" i="5"/>
  <c r="N215" i="5"/>
  <c r="O215" i="5" s="1"/>
  <c r="T214" i="5"/>
  <c r="N214" i="5"/>
  <c r="P214" i="5" s="1"/>
  <c r="T213" i="5"/>
  <c r="N213" i="5"/>
  <c r="P213" i="5" s="1"/>
  <c r="T212" i="5"/>
  <c r="N212" i="5"/>
  <c r="O212" i="5" s="1"/>
  <c r="T211" i="5"/>
  <c r="N211" i="5"/>
  <c r="O211" i="5" s="1"/>
  <c r="T210" i="5"/>
  <c r="N210" i="5"/>
  <c r="P210" i="5" s="1"/>
  <c r="T209" i="5"/>
  <c r="N209" i="5"/>
  <c r="P209" i="5" s="1"/>
  <c r="T208" i="5"/>
  <c r="N208" i="5"/>
  <c r="O208" i="5" s="1"/>
  <c r="T207" i="5"/>
  <c r="N207" i="5"/>
  <c r="O207" i="5" s="1"/>
  <c r="T206" i="5"/>
  <c r="N206" i="5"/>
  <c r="P206" i="5" s="1"/>
  <c r="T205" i="5"/>
  <c r="N205" i="5"/>
  <c r="P205" i="5" s="1"/>
  <c r="T204" i="5"/>
  <c r="N204" i="5"/>
  <c r="O204" i="5" s="1"/>
  <c r="T203" i="5"/>
  <c r="N203" i="5"/>
  <c r="O203" i="5" s="1"/>
  <c r="T202" i="5"/>
  <c r="N202" i="5"/>
  <c r="P202" i="5" s="1"/>
  <c r="Q110" i="7" l="1"/>
  <c r="R138" i="7"/>
  <c r="R130" i="7"/>
  <c r="R139" i="7"/>
  <c r="R111" i="7"/>
  <c r="Q126" i="7"/>
  <c r="R114" i="7"/>
  <c r="R127" i="7"/>
  <c r="O111" i="5"/>
  <c r="O21" i="5"/>
  <c r="R131" i="7"/>
  <c r="R98" i="7"/>
  <c r="Q94" i="7"/>
  <c r="R95" i="7"/>
  <c r="Q152" i="7"/>
  <c r="Q153" i="7"/>
  <c r="R134" i="7"/>
  <c r="R135" i="7"/>
  <c r="Q129" i="7"/>
  <c r="Q133" i="7"/>
  <c r="Q137" i="7"/>
  <c r="Q90" i="7"/>
  <c r="R91" i="7"/>
  <c r="Q106" i="7"/>
  <c r="R107" i="7"/>
  <c r="Q122" i="7"/>
  <c r="R123" i="7"/>
  <c r="Q151" i="7"/>
  <c r="Q102" i="7"/>
  <c r="R103" i="7"/>
  <c r="Q118" i="7"/>
  <c r="R119" i="7"/>
  <c r="R99" i="7"/>
  <c r="R115" i="7"/>
  <c r="Q142" i="7"/>
  <c r="R142" i="7"/>
  <c r="Q89" i="7"/>
  <c r="R89" i="7"/>
  <c r="R97" i="7"/>
  <c r="Q97" i="7"/>
  <c r="R93" i="7"/>
  <c r="Q93" i="7"/>
  <c r="Q143" i="7"/>
  <c r="R143" i="7"/>
  <c r="Q125" i="7"/>
  <c r="Q92" i="7"/>
  <c r="Q96" i="7"/>
  <c r="Q100" i="7"/>
  <c r="R101" i="7"/>
  <c r="Q104" i="7"/>
  <c r="R105" i="7"/>
  <c r="Q108" i="7"/>
  <c r="R109" i="7"/>
  <c r="Q112" i="7"/>
  <c r="R113" i="7"/>
  <c r="Q116" i="7"/>
  <c r="R117" i="7"/>
  <c r="Q120" i="7"/>
  <c r="R121" i="7"/>
  <c r="Q124" i="7"/>
  <c r="Q128" i="7"/>
  <c r="Q147" i="7"/>
  <c r="R148" i="7"/>
  <c r="Q132" i="7"/>
  <c r="Q136" i="7"/>
  <c r="Q140" i="7"/>
  <c r="R141" i="7"/>
  <c r="Q144" i="7"/>
  <c r="R146" i="7"/>
  <c r="Q149" i="7"/>
  <c r="R150" i="7"/>
  <c r="Q154" i="7"/>
  <c r="P109" i="5"/>
  <c r="O119" i="5"/>
  <c r="O107" i="5"/>
  <c r="O115" i="5"/>
  <c r="P298" i="5"/>
  <c r="P105" i="5"/>
  <c r="P113" i="5"/>
  <c r="P117" i="5"/>
  <c r="O297" i="5"/>
  <c r="O296" i="5"/>
  <c r="O300" i="5"/>
  <c r="P188" i="5"/>
  <c r="O195" i="5"/>
  <c r="P196" i="5"/>
  <c r="O191" i="5"/>
  <c r="P207" i="5"/>
  <c r="O187" i="5"/>
  <c r="P192" i="5"/>
  <c r="O202" i="5"/>
  <c r="P203" i="5"/>
  <c r="O206" i="5"/>
  <c r="O210" i="5"/>
  <c r="P211" i="5"/>
  <c r="O214" i="5"/>
  <c r="P215" i="5"/>
  <c r="O218" i="5"/>
  <c r="P219" i="5"/>
  <c r="O222" i="5"/>
  <c r="P223" i="5"/>
  <c r="O226" i="5"/>
  <c r="P227" i="5"/>
  <c r="O230" i="5"/>
  <c r="P231" i="5"/>
  <c r="O234" i="5"/>
  <c r="O186" i="5"/>
  <c r="O190" i="5"/>
  <c r="O194" i="5"/>
  <c r="O205" i="5"/>
  <c r="O209" i="5"/>
  <c r="O213" i="5"/>
  <c r="O217" i="5"/>
  <c r="O221" i="5"/>
  <c r="O225" i="5"/>
  <c r="O229" i="5"/>
  <c r="O233" i="5"/>
  <c r="P20" i="5"/>
  <c r="P106" i="5"/>
  <c r="P110" i="5"/>
  <c r="P114" i="5"/>
  <c r="P118" i="5"/>
  <c r="O121" i="5"/>
  <c r="P108" i="5"/>
  <c r="O108" i="5"/>
  <c r="P104" i="5"/>
  <c r="O104" i="5"/>
  <c r="O120" i="5"/>
  <c r="P120" i="5"/>
  <c r="P116" i="5"/>
  <c r="O116" i="5"/>
  <c r="P112" i="5"/>
  <c r="O112" i="5"/>
  <c r="O161" i="5"/>
  <c r="P193" i="5"/>
  <c r="O193" i="5"/>
  <c r="P189" i="5"/>
  <c r="O189" i="5"/>
  <c r="P185" i="5"/>
  <c r="O185" i="5"/>
  <c r="P204" i="5"/>
  <c r="P208" i="5"/>
  <c r="P212" i="5"/>
  <c r="P216" i="5"/>
  <c r="P220" i="5"/>
  <c r="P224" i="5"/>
  <c r="P228" i="5"/>
  <c r="P232" i="5"/>
  <c r="P295" i="5"/>
  <c r="P299" i="5"/>
  <c r="V155" i="7" l="1"/>
  <c r="P155" i="7"/>
  <c r="R155" i="7" s="1"/>
  <c r="V88" i="7"/>
  <c r="P88" i="7"/>
  <c r="J314" i="6"/>
  <c r="J313" i="6"/>
  <c r="J312" i="6"/>
  <c r="J284" i="6"/>
  <c r="T326" i="5"/>
  <c r="N326" i="5"/>
  <c r="O326" i="5" s="1"/>
  <c r="T201" i="5"/>
  <c r="N201" i="5"/>
  <c r="P201" i="5" s="1"/>
  <c r="T200" i="5"/>
  <c r="N200" i="5"/>
  <c r="O200" i="5" s="1"/>
  <c r="T199" i="5"/>
  <c r="N199" i="5"/>
  <c r="O199" i="5" s="1"/>
  <c r="T198" i="5"/>
  <c r="N198" i="5"/>
  <c r="P198" i="5" s="1"/>
  <c r="T197" i="5"/>
  <c r="N197" i="5"/>
  <c r="P197" i="5" s="1"/>
  <c r="Q155" i="7" l="1"/>
  <c r="R88" i="7"/>
  <c r="Q88" i="7"/>
  <c r="P326" i="5"/>
  <c r="P199" i="5"/>
  <c r="P200" i="5"/>
  <c r="O198" i="5"/>
  <c r="O197" i="5"/>
  <c r="O201" i="5"/>
  <c r="T19" i="5" l="1"/>
  <c r="V87" i="7" l="1"/>
  <c r="V157" i="7" s="1"/>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87" i="7"/>
  <c r="A1" i="6"/>
  <c r="C9" i="6"/>
  <c r="C10" i="6"/>
  <c r="C11" i="6"/>
  <c r="C12" i="6"/>
  <c r="J104" i="6"/>
  <c r="J105" i="6"/>
  <c r="A1" i="5"/>
  <c r="Z8" i="5"/>
  <c r="C9" i="5"/>
  <c r="B8" i="12" s="1"/>
  <c r="Z9" i="5"/>
  <c r="C10" i="5"/>
  <c r="C10" i="14" s="1"/>
  <c r="C11" i="5"/>
  <c r="B10" i="12" s="1"/>
  <c r="C12" i="5"/>
  <c r="C12" i="14" s="1"/>
  <c r="IV16" i="5"/>
  <c r="N18" i="5"/>
  <c r="O18" i="5" s="1"/>
  <c r="N19" i="5"/>
  <c r="P19" i="5" s="1"/>
  <c r="N328" i="5"/>
  <c r="C332" i="5"/>
  <c r="C319" i="6" s="1"/>
  <c r="K332" i="5"/>
  <c r="O162" i="7" s="1"/>
  <c r="N24" i="8" s="1"/>
  <c r="C333" i="5"/>
  <c r="C163" i="7" s="1"/>
  <c r="C24" i="8" s="1"/>
  <c r="K333" i="5"/>
  <c r="O163" i="7" s="1"/>
  <c r="N25" i="8" s="1"/>
  <c r="K6" i="4"/>
  <c r="Z7" i="5" s="1"/>
  <c r="AA6" i="4"/>
  <c r="B7" i="4"/>
  <c r="B9" i="4"/>
  <c r="A8" i="6" s="1"/>
  <c r="B10" i="4"/>
  <c r="B14" i="4"/>
  <c r="B15" i="4"/>
  <c r="H27" i="4"/>
  <c r="G27" i="4" s="1"/>
  <c r="B2" i="2"/>
  <c r="A3" i="13" s="1"/>
  <c r="F2" i="2"/>
  <c r="B3" i="2"/>
  <c r="A1" i="7" s="1"/>
  <c r="Q87" i="7" l="1"/>
  <c r="P157" i="7"/>
  <c r="J8" i="15" s="1"/>
  <c r="J26" i="15" s="1"/>
  <c r="J316" i="6"/>
  <c r="J7" i="15" s="1"/>
  <c r="I25" i="15" s="1"/>
  <c r="B50" i="19"/>
  <c r="B51" i="19"/>
  <c r="B53" i="19"/>
  <c r="E52" i="19"/>
  <c r="F49" i="19"/>
  <c r="A8" i="10"/>
  <c r="R87" i="7"/>
  <c r="R157" i="7" s="1"/>
  <c r="B52" i="19"/>
  <c r="H5" i="20"/>
  <c r="H7" i="20" s="1"/>
  <c r="B11" i="12"/>
  <c r="Z10" i="5"/>
  <c r="I320" i="6"/>
  <c r="C11" i="14"/>
  <c r="A7" i="5"/>
  <c r="A7" i="13" s="1"/>
  <c r="B9" i="12"/>
  <c r="O19" i="5"/>
  <c r="A3" i="8"/>
  <c r="A3" i="6"/>
  <c r="A3" i="7"/>
  <c r="A3" i="10"/>
  <c r="A8" i="8"/>
  <c r="A3" i="12"/>
  <c r="C12" i="15"/>
  <c r="E16" i="17"/>
  <c r="F16" i="18"/>
  <c r="E16" i="16"/>
  <c r="A8" i="11"/>
  <c r="A8" i="13"/>
  <c r="A3" i="9"/>
  <c r="A3" i="11"/>
  <c r="A3" i="5"/>
  <c r="A1" i="13"/>
  <c r="C15" i="19"/>
  <c r="B1" i="4"/>
  <c r="A3" i="14"/>
  <c r="A64" i="14" s="1"/>
  <c r="A1" i="11"/>
  <c r="A2" i="15"/>
  <c r="C22" i="14"/>
  <c r="C40" i="15" s="1"/>
  <c r="B46" i="19" s="1"/>
  <c r="B32" i="13"/>
  <c r="C9" i="14"/>
  <c r="B2" i="4"/>
  <c r="A1" i="10"/>
  <c r="A1" i="14"/>
  <c r="A62" i="14" s="1"/>
  <c r="A8" i="7"/>
  <c r="I319" i="6"/>
  <c r="A8" i="9"/>
  <c r="A1" i="9"/>
  <c r="A1" i="12"/>
  <c r="AG7" i="19"/>
  <c r="AG8" i="19" s="1"/>
  <c r="C162" i="7"/>
  <c r="C23" i="8" s="1"/>
  <c r="A1" i="19"/>
  <c r="C320" i="6"/>
  <c r="P18" i="5"/>
  <c r="A1" i="8"/>
  <c r="A8" i="5"/>
  <c r="AG9" i="19"/>
  <c r="T327" i="5"/>
  <c r="N327" i="5"/>
  <c r="B40" i="19" l="1"/>
  <c r="A7" i="7"/>
  <c r="A7" i="6"/>
  <c r="A7" i="9"/>
  <c r="A7" i="10"/>
  <c r="A7" i="8"/>
  <c r="B7" i="14"/>
  <c r="A7" i="11"/>
  <c r="B8" i="14"/>
  <c r="A7" i="12"/>
  <c r="I16" i="15"/>
  <c r="D17" i="11"/>
  <c r="E17" i="13" s="1"/>
  <c r="D17" i="9"/>
  <c r="D19" i="11"/>
  <c r="E19" i="13" s="1"/>
  <c r="J16" i="15"/>
  <c r="P167" i="7"/>
  <c r="P327" i="5"/>
  <c r="D15" i="9" s="1"/>
  <c r="N329" i="5"/>
  <c r="J6" i="15"/>
  <c r="D15" i="11"/>
  <c r="E15" i="13" s="1"/>
  <c r="D19" i="9" l="1"/>
  <c r="H16" i="15"/>
  <c r="J9" i="15"/>
  <c r="J15" i="15" s="1"/>
  <c r="H24" i="15"/>
  <c r="D23" i="11" l="1"/>
  <c r="D28" i="11" s="1"/>
  <c r="J31" i="15"/>
  <c r="J32" i="15" s="1"/>
  <c r="J35" i="15"/>
  <c r="J36" i="15" s="1"/>
  <c r="S156" i="7" s="1"/>
  <c r="T156" i="7" s="1"/>
  <c r="U156" i="7" s="1"/>
  <c r="H15" i="15"/>
  <c r="H31" i="15" s="1"/>
  <c r="H32" i="15" s="1"/>
  <c r="I15" i="15"/>
  <c r="S84" i="7" l="1"/>
  <c r="T84" i="7" s="1"/>
  <c r="U84" i="7" s="1"/>
  <c r="S78" i="7"/>
  <c r="T78" i="7" s="1"/>
  <c r="U78" i="7" s="1"/>
  <c r="S72" i="7"/>
  <c r="T72" i="7" s="1"/>
  <c r="U72" i="7" s="1"/>
  <c r="S66" i="7"/>
  <c r="T66" i="7" s="1"/>
  <c r="U66" i="7" s="1"/>
  <c r="S60" i="7"/>
  <c r="T60" i="7" s="1"/>
  <c r="U60" i="7" s="1"/>
  <c r="S54" i="7"/>
  <c r="T54" i="7" s="1"/>
  <c r="U54" i="7" s="1"/>
  <c r="S48" i="7"/>
  <c r="T48" i="7" s="1"/>
  <c r="U48" i="7" s="1"/>
  <c r="S42" i="7"/>
  <c r="T42" i="7" s="1"/>
  <c r="U42" i="7" s="1"/>
  <c r="S36" i="7"/>
  <c r="T36" i="7" s="1"/>
  <c r="U36" i="7" s="1"/>
  <c r="S30" i="7"/>
  <c r="T30" i="7" s="1"/>
  <c r="U30" i="7" s="1"/>
  <c r="S24" i="7"/>
  <c r="T24" i="7" s="1"/>
  <c r="U24" i="7" s="1"/>
  <c r="S18" i="7"/>
  <c r="T18" i="7" s="1"/>
  <c r="U18" i="7" s="1"/>
  <c r="S83" i="7"/>
  <c r="T83" i="7" s="1"/>
  <c r="U83" i="7" s="1"/>
  <c r="S77" i="7"/>
  <c r="T77" i="7" s="1"/>
  <c r="U77" i="7" s="1"/>
  <c r="S71" i="7"/>
  <c r="T71" i="7" s="1"/>
  <c r="U71" i="7" s="1"/>
  <c r="S65" i="7"/>
  <c r="T65" i="7" s="1"/>
  <c r="U65" i="7" s="1"/>
  <c r="S59" i="7"/>
  <c r="T59" i="7" s="1"/>
  <c r="U59" i="7" s="1"/>
  <c r="S53" i="7"/>
  <c r="T53" i="7" s="1"/>
  <c r="U53" i="7" s="1"/>
  <c r="S47" i="7"/>
  <c r="T47" i="7" s="1"/>
  <c r="U47" i="7" s="1"/>
  <c r="S41" i="7"/>
  <c r="T41" i="7" s="1"/>
  <c r="U41" i="7" s="1"/>
  <c r="S35" i="7"/>
  <c r="T35" i="7" s="1"/>
  <c r="U35" i="7" s="1"/>
  <c r="S29" i="7"/>
  <c r="T29" i="7" s="1"/>
  <c r="U29" i="7" s="1"/>
  <c r="S23" i="7"/>
  <c r="T23" i="7" s="1"/>
  <c r="U23" i="7" s="1"/>
  <c r="S82" i="7"/>
  <c r="T82" i="7" s="1"/>
  <c r="U82" i="7" s="1"/>
  <c r="S76" i="7"/>
  <c r="T76" i="7" s="1"/>
  <c r="U76" i="7" s="1"/>
  <c r="S70" i="7"/>
  <c r="T70" i="7" s="1"/>
  <c r="U70" i="7" s="1"/>
  <c r="S64" i="7"/>
  <c r="T64" i="7" s="1"/>
  <c r="U64" i="7" s="1"/>
  <c r="S58" i="7"/>
  <c r="T58" i="7" s="1"/>
  <c r="U58" i="7" s="1"/>
  <c r="S52" i="7"/>
  <c r="T52" i="7" s="1"/>
  <c r="U52" i="7" s="1"/>
  <c r="S46" i="7"/>
  <c r="T46" i="7" s="1"/>
  <c r="U46" i="7" s="1"/>
  <c r="S40" i="7"/>
  <c r="T40" i="7" s="1"/>
  <c r="U40" i="7" s="1"/>
  <c r="S34" i="7"/>
  <c r="T34" i="7" s="1"/>
  <c r="U34" i="7" s="1"/>
  <c r="S28" i="7"/>
  <c r="T28" i="7" s="1"/>
  <c r="U28" i="7" s="1"/>
  <c r="S22" i="7"/>
  <c r="T22" i="7" s="1"/>
  <c r="U22" i="7" s="1"/>
  <c r="S81" i="7"/>
  <c r="T81" i="7" s="1"/>
  <c r="U81" i="7" s="1"/>
  <c r="S75" i="7"/>
  <c r="T75" i="7" s="1"/>
  <c r="U75" i="7" s="1"/>
  <c r="S69" i="7"/>
  <c r="T69" i="7" s="1"/>
  <c r="U69" i="7" s="1"/>
  <c r="S63" i="7"/>
  <c r="T63" i="7" s="1"/>
  <c r="U63" i="7" s="1"/>
  <c r="S57" i="7"/>
  <c r="T57" i="7" s="1"/>
  <c r="U57" i="7" s="1"/>
  <c r="S51" i="7"/>
  <c r="T51" i="7" s="1"/>
  <c r="U51" i="7" s="1"/>
  <c r="S45" i="7"/>
  <c r="T45" i="7" s="1"/>
  <c r="U45" i="7" s="1"/>
  <c r="S39" i="7"/>
  <c r="T39" i="7" s="1"/>
  <c r="U39" i="7" s="1"/>
  <c r="S33" i="7"/>
  <c r="T33" i="7" s="1"/>
  <c r="U33" i="7" s="1"/>
  <c r="S27" i="7"/>
  <c r="T27" i="7" s="1"/>
  <c r="U27" i="7" s="1"/>
  <c r="S21" i="7"/>
  <c r="T21" i="7" s="1"/>
  <c r="U21" i="7" s="1"/>
  <c r="S80" i="7"/>
  <c r="T80" i="7" s="1"/>
  <c r="U80" i="7" s="1"/>
  <c r="S74" i="7"/>
  <c r="T74" i="7" s="1"/>
  <c r="U74" i="7" s="1"/>
  <c r="S68" i="7"/>
  <c r="T68" i="7" s="1"/>
  <c r="U68" i="7" s="1"/>
  <c r="S62" i="7"/>
  <c r="T62" i="7" s="1"/>
  <c r="U62" i="7" s="1"/>
  <c r="S56" i="7"/>
  <c r="T56" i="7" s="1"/>
  <c r="U56" i="7" s="1"/>
  <c r="S50" i="7"/>
  <c r="T50" i="7" s="1"/>
  <c r="U50" i="7" s="1"/>
  <c r="S44" i="7"/>
  <c r="T44" i="7" s="1"/>
  <c r="U44" i="7" s="1"/>
  <c r="S38" i="7"/>
  <c r="T38" i="7" s="1"/>
  <c r="U38" i="7" s="1"/>
  <c r="S32" i="7"/>
  <c r="T32" i="7" s="1"/>
  <c r="U32" i="7" s="1"/>
  <c r="S26" i="7"/>
  <c r="T26" i="7" s="1"/>
  <c r="U26" i="7" s="1"/>
  <c r="S20" i="7"/>
  <c r="T20" i="7" s="1"/>
  <c r="U20" i="7" s="1"/>
  <c r="S85" i="7"/>
  <c r="T85" i="7" s="1"/>
  <c r="U85" i="7" s="1"/>
  <c r="S79" i="7"/>
  <c r="T79" i="7" s="1"/>
  <c r="U79" i="7" s="1"/>
  <c r="S67" i="7"/>
  <c r="T67" i="7" s="1"/>
  <c r="U67" i="7" s="1"/>
  <c r="S55" i="7"/>
  <c r="T55" i="7" s="1"/>
  <c r="U55" i="7" s="1"/>
  <c r="S43" i="7"/>
  <c r="T43" i="7" s="1"/>
  <c r="U43" i="7" s="1"/>
  <c r="S31" i="7"/>
  <c r="T31" i="7" s="1"/>
  <c r="U31" i="7" s="1"/>
  <c r="S25" i="7"/>
  <c r="T25" i="7" s="1"/>
  <c r="U25" i="7" s="1"/>
  <c r="S73" i="7"/>
  <c r="T73" i="7" s="1"/>
  <c r="U73" i="7" s="1"/>
  <c r="S19" i="7"/>
  <c r="T19" i="7" s="1"/>
  <c r="U19" i="7" s="1"/>
  <c r="S61" i="7"/>
  <c r="T61" i="7" s="1"/>
  <c r="U61" i="7" s="1"/>
  <c r="S49" i="7"/>
  <c r="T49" i="7" s="1"/>
  <c r="U49" i="7" s="1"/>
  <c r="S37" i="7"/>
  <c r="T37" i="7" s="1"/>
  <c r="U37" i="7" s="1"/>
  <c r="S145" i="7"/>
  <c r="T145" i="7" s="1"/>
  <c r="U145" i="7" s="1"/>
  <c r="S125" i="7"/>
  <c r="T125" i="7" s="1"/>
  <c r="U125" i="7" s="1"/>
  <c r="S121" i="7"/>
  <c r="T121" i="7" s="1"/>
  <c r="U121" i="7" s="1"/>
  <c r="S117" i="7"/>
  <c r="T117" i="7" s="1"/>
  <c r="U117" i="7" s="1"/>
  <c r="S113" i="7"/>
  <c r="T113" i="7" s="1"/>
  <c r="U113" i="7" s="1"/>
  <c r="S109" i="7"/>
  <c r="T109" i="7" s="1"/>
  <c r="U109" i="7" s="1"/>
  <c r="S105" i="7"/>
  <c r="T105" i="7" s="1"/>
  <c r="U105" i="7" s="1"/>
  <c r="S101" i="7"/>
  <c r="T101" i="7" s="1"/>
  <c r="U101" i="7" s="1"/>
  <c r="S97" i="7"/>
  <c r="T97" i="7" s="1"/>
  <c r="U97" i="7" s="1"/>
  <c r="S93" i="7"/>
  <c r="T93" i="7" s="1"/>
  <c r="U93" i="7" s="1"/>
  <c r="S89" i="7"/>
  <c r="T89" i="7" s="1"/>
  <c r="U89" i="7" s="1"/>
  <c r="S123" i="7"/>
  <c r="T123" i="7" s="1"/>
  <c r="U123" i="7" s="1"/>
  <c r="S115" i="7"/>
  <c r="T115" i="7" s="1"/>
  <c r="U115" i="7" s="1"/>
  <c r="S95" i="7"/>
  <c r="T95" i="7" s="1"/>
  <c r="U95" i="7" s="1"/>
  <c r="S91" i="7"/>
  <c r="T91" i="7" s="1"/>
  <c r="U91" i="7" s="1"/>
  <c r="S128" i="7"/>
  <c r="T128" i="7" s="1"/>
  <c r="U128" i="7" s="1"/>
  <c r="S124" i="7"/>
  <c r="T124" i="7" s="1"/>
  <c r="U124" i="7" s="1"/>
  <c r="S120" i="7"/>
  <c r="T120" i="7" s="1"/>
  <c r="U120" i="7" s="1"/>
  <c r="S116" i="7"/>
  <c r="T116" i="7" s="1"/>
  <c r="U116" i="7" s="1"/>
  <c r="S108" i="7"/>
  <c r="T108" i="7" s="1"/>
  <c r="U108" i="7" s="1"/>
  <c r="S126" i="7"/>
  <c r="T126" i="7" s="1"/>
  <c r="U126" i="7" s="1"/>
  <c r="S122" i="7"/>
  <c r="T122" i="7" s="1"/>
  <c r="U122" i="7" s="1"/>
  <c r="S118" i="7"/>
  <c r="T118" i="7" s="1"/>
  <c r="U118" i="7" s="1"/>
  <c r="S114" i="7"/>
  <c r="T114" i="7" s="1"/>
  <c r="U114" i="7" s="1"/>
  <c r="S110" i="7"/>
  <c r="T110" i="7" s="1"/>
  <c r="U110" i="7" s="1"/>
  <c r="S106" i="7"/>
  <c r="T106" i="7" s="1"/>
  <c r="U106" i="7" s="1"/>
  <c r="S102" i="7"/>
  <c r="T102" i="7" s="1"/>
  <c r="U102" i="7" s="1"/>
  <c r="S98" i="7"/>
  <c r="T98" i="7" s="1"/>
  <c r="U98" i="7" s="1"/>
  <c r="S94" i="7"/>
  <c r="T94" i="7" s="1"/>
  <c r="U94" i="7" s="1"/>
  <c r="S90" i="7"/>
  <c r="T90" i="7" s="1"/>
  <c r="U90" i="7" s="1"/>
  <c r="S127" i="7"/>
  <c r="T127" i="7" s="1"/>
  <c r="U127" i="7" s="1"/>
  <c r="S119" i="7"/>
  <c r="T119" i="7" s="1"/>
  <c r="U119" i="7" s="1"/>
  <c r="S111" i="7"/>
  <c r="T111" i="7" s="1"/>
  <c r="U111" i="7" s="1"/>
  <c r="S107" i="7"/>
  <c r="T107" i="7" s="1"/>
  <c r="U107" i="7" s="1"/>
  <c r="S103" i="7"/>
  <c r="T103" i="7" s="1"/>
  <c r="U103" i="7" s="1"/>
  <c r="S99" i="7"/>
  <c r="T99" i="7" s="1"/>
  <c r="U99" i="7" s="1"/>
  <c r="S112" i="7"/>
  <c r="T112" i="7" s="1"/>
  <c r="U112" i="7" s="1"/>
  <c r="S104" i="7"/>
  <c r="T104" i="7" s="1"/>
  <c r="U104" i="7" s="1"/>
  <c r="S100" i="7"/>
  <c r="T100" i="7" s="1"/>
  <c r="U100" i="7" s="1"/>
  <c r="S96" i="7"/>
  <c r="T96" i="7" s="1"/>
  <c r="U96" i="7" s="1"/>
  <c r="S92" i="7"/>
  <c r="T92" i="7" s="1"/>
  <c r="U92" i="7" s="1"/>
  <c r="S136" i="7"/>
  <c r="T136" i="7" s="1"/>
  <c r="U136" i="7" s="1"/>
  <c r="S132" i="7"/>
  <c r="T132" i="7" s="1"/>
  <c r="U132" i="7" s="1"/>
  <c r="S135" i="7"/>
  <c r="T135" i="7" s="1"/>
  <c r="U135" i="7" s="1"/>
  <c r="S131" i="7"/>
  <c r="T131" i="7" s="1"/>
  <c r="U131" i="7" s="1"/>
  <c r="S137" i="7"/>
  <c r="T137" i="7" s="1"/>
  <c r="U137" i="7" s="1"/>
  <c r="S133" i="7"/>
  <c r="T133" i="7" s="1"/>
  <c r="U133" i="7" s="1"/>
  <c r="S129" i="7"/>
  <c r="T129" i="7" s="1"/>
  <c r="U129" i="7" s="1"/>
  <c r="S138" i="7"/>
  <c r="T138" i="7" s="1"/>
  <c r="U138" i="7" s="1"/>
  <c r="S134" i="7"/>
  <c r="T134" i="7" s="1"/>
  <c r="U134" i="7" s="1"/>
  <c r="S130" i="7"/>
  <c r="T130" i="7" s="1"/>
  <c r="U130" i="7" s="1"/>
  <c r="S139" i="7"/>
  <c r="T139" i="7" s="1"/>
  <c r="U139" i="7" s="1"/>
  <c r="S148" i="7"/>
  <c r="T148" i="7" s="1"/>
  <c r="U148" i="7" s="1"/>
  <c r="S143" i="7"/>
  <c r="T143" i="7" s="1"/>
  <c r="U143" i="7" s="1"/>
  <c r="S144" i="7"/>
  <c r="T144" i="7" s="1"/>
  <c r="U144" i="7" s="1"/>
  <c r="S149" i="7"/>
  <c r="T149" i="7" s="1"/>
  <c r="U149" i="7" s="1"/>
  <c r="S150" i="7"/>
  <c r="T150" i="7" s="1"/>
  <c r="U150" i="7" s="1"/>
  <c r="S146" i="7"/>
  <c r="T146" i="7" s="1"/>
  <c r="U146" i="7" s="1"/>
  <c r="S141" i="7"/>
  <c r="T141" i="7" s="1"/>
  <c r="U141" i="7" s="1"/>
  <c r="S140" i="7"/>
  <c r="T140" i="7" s="1"/>
  <c r="U140" i="7" s="1"/>
  <c r="S151" i="7"/>
  <c r="T151" i="7" s="1"/>
  <c r="U151" i="7" s="1"/>
  <c r="S147" i="7"/>
  <c r="T147" i="7" s="1"/>
  <c r="U147" i="7" s="1"/>
  <c r="S142" i="7"/>
  <c r="T142" i="7" s="1"/>
  <c r="U142" i="7" s="1"/>
  <c r="S153" i="7"/>
  <c r="T153" i="7" s="1"/>
  <c r="U153" i="7" s="1"/>
  <c r="S152" i="7"/>
  <c r="T152" i="7" s="1"/>
  <c r="U152" i="7" s="1"/>
  <c r="S154" i="7"/>
  <c r="T154" i="7" s="1"/>
  <c r="U154" i="7" s="1"/>
  <c r="S88" i="7"/>
  <c r="T88" i="7" s="1"/>
  <c r="U88" i="7" s="1"/>
  <c r="S155" i="7"/>
  <c r="T155" i="7" s="1"/>
  <c r="U155" i="7" s="1"/>
  <c r="F19" i="13"/>
  <c r="D19" i="13" s="1"/>
  <c r="S87" i="7"/>
  <c r="T87" i="7" s="1"/>
  <c r="U87" i="7" s="1"/>
  <c r="I35" i="15"/>
  <c r="I36" i="15" s="1"/>
  <c r="F17" i="13" s="1"/>
  <c r="D17" i="13" s="1"/>
  <c r="I31" i="15"/>
  <c r="I32" i="15" s="1"/>
  <c r="H35" i="15"/>
  <c r="H36" i="15" s="1"/>
  <c r="Q179" i="5" l="1"/>
  <c r="R179" i="5" s="1"/>
  <c r="S179" i="5" s="1"/>
  <c r="Q175" i="5"/>
  <c r="R175" i="5" s="1"/>
  <c r="S175" i="5" s="1"/>
  <c r="Q178" i="5"/>
  <c r="R178" i="5" s="1"/>
  <c r="S178" i="5" s="1"/>
  <c r="Q180" i="5"/>
  <c r="R180" i="5" s="1"/>
  <c r="S180" i="5" s="1"/>
  <c r="Q176" i="5"/>
  <c r="R176" i="5" s="1"/>
  <c r="S176" i="5" s="1"/>
  <c r="Q172" i="5"/>
  <c r="R172" i="5" s="1"/>
  <c r="S172" i="5" s="1"/>
  <c r="Q181" i="5"/>
  <c r="R181" i="5" s="1"/>
  <c r="S181" i="5" s="1"/>
  <c r="Q177" i="5"/>
  <c r="R177" i="5" s="1"/>
  <c r="S177" i="5" s="1"/>
  <c r="Q173" i="5"/>
  <c r="R173" i="5" s="1"/>
  <c r="S173" i="5" s="1"/>
  <c r="Q182" i="5"/>
  <c r="R182" i="5" s="1"/>
  <c r="S182" i="5" s="1"/>
  <c r="Q174" i="5"/>
  <c r="R174" i="5" s="1"/>
  <c r="S174" i="5" s="1"/>
  <c r="U157" i="7"/>
  <c r="D17" i="10" s="1"/>
  <c r="Q324" i="5"/>
  <c r="R324" i="5" s="1"/>
  <c r="S324" i="5" s="1"/>
  <c r="Q318" i="5"/>
  <c r="R318" i="5" s="1"/>
  <c r="S318" i="5" s="1"/>
  <c r="Q312" i="5"/>
  <c r="R312" i="5" s="1"/>
  <c r="S312" i="5" s="1"/>
  <c r="Q306" i="5"/>
  <c r="R306" i="5" s="1"/>
  <c r="S306" i="5" s="1"/>
  <c r="Q317" i="5"/>
  <c r="R317" i="5" s="1"/>
  <c r="S317" i="5" s="1"/>
  <c r="Q305" i="5"/>
  <c r="R305" i="5" s="1"/>
  <c r="S305" i="5" s="1"/>
  <c r="Q322" i="5"/>
  <c r="R322" i="5" s="1"/>
  <c r="S322" i="5" s="1"/>
  <c r="Q321" i="5"/>
  <c r="R321" i="5" s="1"/>
  <c r="S321" i="5" s="1"/>
  <c r="Q309" i="5"/>
  <c r="R309" i="5" s="1"/>
  <c r="S309" i="5" s="1"/>
  <c r="Q303" i="5"/>
  <c r="R303" i="5" s="1"/>
  <c r="S303" i="5" s="1"/>
  <c r="Q308" i="5"/>
  <c r="R308" i="5" s="1"/>
  <c r="S308" i="5" s="1"/>
  <c r="Q319" i="5"/>
  <c r="R319" i="5" s="1"/>
  <c r="S319" i="5" s="1"/>
  <c r="Q323" i="5"/>
  <c r="R323" i="5" s="1"/>
  <c r="S323" i="5" s="1"/>
  <c r="Q311" i="5"/>
  <c r="R311" i="5" s="1"/>
  <c r="S311" i="5" s="1"/>
  <c r="Q316" i="5"/>
  <c r="R316" i="5" s="1"/>
  <c r="S316" i="5" s="1"/>
  <c r="Q310" i="5"/>
  <c r="R310" i="5" s="1"/>
  <c r="S310" i="5" s="1"/>
  <c r="Q304" i="5"/>
  <c r="R304" i="5" s="1"/>
  <c r="S304" i="5" s="1"/>
  <c r="Q315" i="5"/>
  <c r="R315" i="5" s="1"/>
  <c r="S315" i="5" s="1"/>
  <c r="Q302" i="5"/>
  <c r="R302" i="5" s="1"/>
  <c r="S302" i="5" s="1"/>
  <c r="Q325" i="5"/>
  <c r="R325" i="5" s="1"/>
  <c r="S325" i="5" s="1"/>
  <c r="Q313" i="5"/>
  <c r="R313" i="5" s="1"/>
  <c r="S313" i="5" s="1"/>
  <c r="Q307" i="5"/>
  <c r="R307" i="5" s="1"/>
  <c r="S307" i="5" s="1"/>
  <c r="Q301" i="5"/>
  <c r="R301" i="5" s="1"/>
  <c r="S301" i="5" s="1"/>
  <c r="Q320" i="5"/>
  <c r="R320" i="5" s="1"/>
  <c r="S320" i="5" s="1"/>
  <c r="Q314" i="5"/>
  <c r="R314" i="5" s="1"/>
  <c r="S314" i="5" s="1"/>
  <c r="Q125" i="5"/>
  <c r="R125" i="5" s="1"/>
  <c r="S125" i="5" s="1"/>
  <c r="Q129" i="5"/>
  <c r="R129" i="5" s="1"/>
  <c r="S129" i="5" s="1"/>
  <c r="Q133" i="5"/>
  <c r="R133" i="5" s="1"/>
  <c r="S133" i="5" s="1"/>
  <c r="Q137" i="5"/>
  <c r="R137" i="5" s="1"/>
  <c r="S137" i="5" s="1"/>
  <c r="Q141" i="5"/>
  <c r="R141" i="5" s="1"/>
  <c r="S141" i="5" s="1"/>
  <c r="Q145" i="5"/>
  <c r="R145" i="5" s="1"/>
  <c r="S145" i="5" s="1"/>
  <c r="Q149" i="5"/>
  <c r="R149" i="5" s="1"/>
  <c r="S149" i="5" s="1"/>
  <c r="Q153" i="5"/>
  <c r="R153" i="5" s="1"/>
  <c r="S153" i="5" s="1"/>
  <c r="Q157" i="5"/>
  <c r="R157" i="5" s="1"/>
  <c r="S157" i="5" s="1"/>
  <c r="Q138" i="5"/>
  <c r="R138" i="5" s="1"/>
  <c r="S138" i="5" s="1"/>
  <c r="Q142" i="5"/>
  <c r="R142" i="5" s="1"/>
  <c r="S142" i="5" s="1"/>
  <c r="Q158" i="5"/>
  <c r="R158" i="5" s="1"/>
  <c r="S158" i="5" s="1"/>
  <c r="Q124" i="5"/>
  <c r="R124" i="5" s="1"/>
  <c r="S124" i="5" s="1"/>
  <c r="Q128" i="5"/>
  <c r="R128" i="5" s="1"/>
  <c r="S128" i="5" s="1"/>
  <c r="Q132" i="5"/>
  <c r="R132" i="5" s="1"/>
  <c r="S132" i="5" s="1"/>
  <c r="Q136" i="5"/>
  <c r="R136" i="5" s="1"/>
  <c r="S136" i="5" s="1"/>
  <c r="Q140" i="5"/>
  <c r="R140" i="5" s="1"/>
  <c r="S140" i="5" s="1"/>
  <c r="Q144" i="5"/>
  <c r="R144" i="5" s="1"/>
  <c r="S144" i="5" s="1"/>
  <c r="Q148" i="5"/>
  <c r="R148" i="5" s="1"/>
  <c r="S148" i="5" s="1"/>
  <c r="Q152" i="5"/>
  <c r="R152" i="5" s="1"/>
  <c r="S152" i="5" s="1"/>
  <c r="Q156" i="5"/>
  <c r="R156" i="5" s="1"/>
  <c r="S156" i="5" s="1"/>
  <c r="Q160" i="5"/>
  <c r="R160" i="5" s="1"/>
  <c r="S160" i="5" s="1"/>
  <c r="Q126" i="5"/>
  <c r="R126" i="5" s="1"/>
  <c r="S126" i="5" s="1"/>
  <c r="Q130" i="5"/>
  <c r="R130" i="5" s="1"/>
  <c r="S130" i="5" s="1"/>
  <c r="Q134" i="5"/>
  <c r="R134" i="5" s="1"/>
  <c r="S134" i="5" s="1"/>
  <c r="Q146" i="5"/>
  <c r="R146" i="5" s="1"/>
  <c r="S146" i="5" s="1"/>
  <c r="Q123" i="5"/>
  <c r="R123" i="5" s="1"/>
  <c r="S123" i="5" s="1"/>
  <c r="Q127" i="5"/>
  <c r="R127" i="5" s="1"/>
  <c r="S127" i="5" s="1"/>
  <c r="Q131" i="5"/>
  <c r="R131" i="5" s="1"/>
  <c r="S131" i="5" s="1"/>
  <c r="Q135" i="5"/>
  <c r="R135" i="5" s="1"/>
  <c r="S135" i="5" s="1"/>
  <c r="Q139" i="5"/>
  <c r="R139" i="5" s="1"/>
  <c r="S139" i="5" s="1"/>
  <c r="Q143" i="5"/>
  <c r="R143" i="5" s="1"/>
  <c r="S143" i="5" s="1"/>
  <c r="Q147" i="5"/>
  <c r="R147" i="5" s="1"/>
  <c r="S147" i="5" s="1"/>
  <c r="Q151" i="5"/>
  <c r="R151" i="5" s="1"/>
  <c r="S151" i="5" s="1"/>
  <c r="Q155" i="5"/>
  <c r="R155" i="5" s="1"/>
  <c r="S155" i="5" s="1"/>
  <c r="Q159" i="5"/>
  <c r="R159" i="5" s="1"/>
  <c r="S159" i="5" s="1"/>
  <c r="Q122" i="5"/>
  <c r="R122" i="5" s="1"/>
  <c r="S122" i="5" s="1"/>
  <c r="Q150" i="5"/>
  <c r="R150" i="5" s="1"/>
  <c r="S150" i="5" s="1"/>
  <c r="Q154" i="5"/>
  <c r="R154" i="5" s="1"/>
  <c r="S154" i="5" s="1"/>
  <c r="Q71" i="5"/>
  <c r="R71" i="5" s="1"/>
  <c r="S71" i="5" s="1"/>
  <c r="Q291" i="5"/>
  <c r="R291" i="5" s="1"/>
  <c r="S291" i="5" s="1"/>
  <c r="Q285" i="5"/>
  <c r="R285" i="5" s="1"/>
  <c r="S285" i="5" s="1"/>
  <c r="Q279" i="5"/>
  <c r="R279" i="5" s="1"/>
  <c r="S279" i="5" s="1"/>
  <c r="Q273" i="5"/>
  <c r="R273" i="5" s="1"/>
  <c r="S273" i="5" s="1"/>
  <c r="Q267" i="5"/>
  <c r="R267" i="5" s="1"/>
  <c r="S267" i="5" s="1"/>
  <c r="Q261" i="5"/>
  <c r="R261" i="5" s="1"/>
  <c r="S261" i="5" s="1"/>
  <c r="Q255" i="5"/>
  <c r="R255" i="5" s="1"/>
  <c r="S255" i="5" s="1"/>
  <c r="Q249" i="5"/>
  <c r="R249" i="5" s="1"/>
  <c r="S249" i="5" s="1"/>
  <c r="Q243" i="5"/>
  <c r="R243" i="5" s="1"/>
  <c r="S243" i="5" s="1"/>
  <c r="Q237" i="5"/>
  <c r="R237" i="5" s="1"/>
  <c r="S237" i="5" s="1"/>
  <c r="Q289" i="5"/>
  <c r="R289" i="5" s="1"/>
  <c r="S289" i="5" s="1"/>
  <c r="Q283" i="5"/>
  <c r="R283" i="5" s="1"/>
  <c r="S283" i="5" s="1"/>
  <c r="Q265" i="5"/>
  <c r="R265" i="5" s="1"/>
  <c r="S265" i="5" s="1"/>
  <c r="Q253" i="5"/>
  <c r="R253" i="5" s="1"/>
  <c r="S253" i="5" s="1"/>
  <c r="Q247" i="5"/>
  <c r="R247" i="5" s="1"/>
  <c r="S247" i="5" s="1"/>
  <c r="Q241" i="5"/>
  <c r="R241" i="5" s="1"/>
  <c r="S241" i="5" s="1"/>
  <c r="Q282" i="5"/>
  <c r="R282" i="5" s="1"/>
  <c r="S282" i="5" s="1"/>
  <c r="Q276" i="5"/>
  <c r="R276" i="5" s="1"/>
  <c r="S276" i="5" s="1"/>
  <c r="Q270" i="5"/>
  <c r="R270" i="5" s="1"/>
  <c r="S270" i="5" s="1"/>
  <c r="Q240" i="5"/>
  <c r="R240" i="5" s="1"/>
  <c r="S240" i="5" s="1"/>
  <c r="Q290" i="5"/>
  <c r="R290" i="5" s="1"/>
  <c r="S290" i="5" s="1"/>
  <c r="Q284" i="5"/>
  <c r="R284" i="5" s="1"/>
  <c r="S284" i="5" s="1"/>
  <c r="Q278" i="5"/>
  <c r="R278" i="5" s="1"/>
  <c r="S278" i="5" s="1"/>
  <c r="Q272" i="5"/>
  <c r="R272" i="5" s="1"/>
  <c r="S272" i="5" s="1"/>
  <c r="Q266" i="5"/>
  <c r="R266" i="5" s="1"/>
  <c r="S266" i="5" s="1"/>
  <c r="Q260" i="5"/>
  <c r="R260" i="5" s="1"/>
  <c r="S260" i="5" s="1"/>
  <c r="Q254" i="5"/>
  <c r="R254" i="5" s="1"/>
  <c r="S254" i="5" s="1"/>
  <c r="Q248" i="5"/>
  <c r="R248" i="5" s="1"/>
  <c r="S248" i="5" s="1"/>
  <c r="Q242" i="5"/>
  <c r="R242" i="5" s="1"/>
  <c r="S242" i="5" s="1"/>
  <c r="Q236" i="5"/>
  <c r="R236" i="5" s="1"/>
  <c r="S236" i="5" s="1"/>
  <c r="Q277" i="5"/>
  <c r="R277" i="5" s="1"/>
  <c r="S277" i="5" s="1"/>
  <c r="Q271" i="5"/>
  <c r="R271" i="5" s="1"/>
  <c r="S271" i="5" s="1"/>
  <c r="Q259" i="5"/>
  <c r="R259" i="5" s="1"/>
  <c r="S259" i="5" s="1"/>
  <c r="Q235" i="5"/>
  <c r="R235" i="5" s="1"/>
  <c r="S235" i="5" s="1"/>
  <c r="Q294" i="5"/>
  <c r="R294" i="5" s="1"/>
  <c r="S294" i="5" s="1"/>
  <c r="Q288" i="5"/>
  <c r="R288" i="5" s="1"/>
  <c r="S288" i="5" s="1"/>
  <c r="Q264" i="5"/>
  <c r="R264" i="5" s="1"/>
  <c r="S264" i="5" s="1"/>
  <c r="Q258" i="5"/>
  <c r="R258" i="5" s="1"/>
  <c r="S258" i="5" s="1"/>
  <c r="Q252" i="5"/>
  <c r="R252" i="5" s="1"/>
  <c r="S252" i="5" s="1"/>
  <c r="Q246" i="5"/>
  <c r="R246" i="5" s="1"/>
  <c r="S246" i="5" s="1"/>
  <c r="Q293" i="5"/>
  <c r="R293" i="5" s="1"/>
  <c r="S293" i="5" s="1"/>
  <c r="Q287" i="5"/>
  <c r="R287" i="5" s="1"/>
  <c r="S287" i="5" s="1"/>
  <c r="Q281" i="5"/>
  <c r="R281" i="5" s="1"/>
  <c r="S281" i="5" s="1"/>
  <c r="Q275" i="5"/>
  <c r="R275" i="5" s="1"/>
  <c r="S275" i="5" s="1"/>
  <c r="Q269" i="5"/>
  <c r="R269" i="5" s="1"/>
  <c r="S269" i="5" s="1"/>
  <c r="Q263" i="5"/>
  <c r="R263" i="5" s="1"/>
  <c r="S263" i="5" s="1"/>
  <c r="Q257" i="5"/>
  <c r="R257" i="5" s="1"/>
  <c r="S257" i="5" s="1"/>
  <c r="Q251" i="5"/>
  <c r="R251" i="5" s="1"/>
  <c r="S251" i="5" s="1"/>
  <c r="Q245" i="5"/>
  <c r="R245" i="5" s="1"/>
  <c r="S245" i="5" s="1"/>
  <c r="Q239" i="5"/>
  <c r="R239" i="5" s="1"/>
  <c r="S239" i="5" s="1"/>
  <c r="Q292" i="5"/>
  <c r="R292" i="5" s="1"/>
  <c r="S292" i="5" s="1"/>
  <c r="Q286" i="5"/>
  <c r="R286" i="5" s="1"/>
  <c r="S286" i="5" s="1"/>
  <c r="Q280" i="5"/>
  <c r="R280" i="5" s="1"/>
  <c r="S280" i="5" s="1"/>
  <c r="Q274" i="5"/>
  <c r="R274" i="5" s="1"/>
  <c r="S274" i="5" s="1"/>
  <c r="Q268" i="5"/>
  <c r="R268" i="5" s="1"/>
  <c r="S268" i="5" s="1"/>
  <c r="Q262" i="5"/>
  <c r="R262" i="5" s="1"/>
  <c r="S262" i="5" s="1"/>
  <c r="Q256" i="5"/>
  <c r="R256" i="5" s="1"/>
  <c r="S256" i="5" s="1"/>
  <c r="Q250" i="5"/>
  <c r="R250" i="5" s="1"/>
  <c r="S250" i="5" s="1"/>
  <c r="Q244" i="5"/>
  <c r="R244" i="5" s="1"/>
  <c r="S244" i="5" s="1"/>
  <c r="Q238" i="5"/>
  <c r="R238" i="5" s="1"/>
  <c r="S238" i="5" s="1"/>
  <c r="Q167" i="5"/>
  <c r="R167" i="5" s="1"/>
  <c r="S167" i="5" s="1"/>
  <c r="Q162" i="5"/>
  <c r="R162" i="5" s="1"/>
  <c r="S162" i="5" s="1"/>
  <c r="Q183" i="5"/>
  <c r="R183" i="5" s="1"/>
  <c r="S183" i="5" s="1"/>
  <c r="Q171" i="5"/>
  <c r="R171" i="5" s="1"/>
  <c r="S171" i="5" s="1"/>
  <c r="Q166" i="5"/>
  <c r="R166" i="5" s="1"/>
  <c r="S166" i="5" s="1"/>
  <c r="Q169" i="5"/>
  <c r="R169" i="5" s="1"/>
  <c r="S169" i="5" s="1"/>
  <c r="Q164" i="5"/>
  <c r="R164" i="5" s="1"/>
  <c r="S164" i="5" s="1"/>
  <c r="Q168" i="5"/>
  <c r="R168" i="5" s="1"/>
  <c r="S168" i="5" s="1"/>
  <c r="Q163" i="5"/>
  <c r="R163" i="5" s="1"/>
  <c r="S163" i="5" s="1"/>
  <c r="Q170" i="5"/>
  <c r="R170" i="5" s="1"/>
  <c r="S170" i="5" s="1"/>
  <c r="Q165" i="5"/>
  <c r="R165" i="5" s="1"/>
  <c r="S165" i="5" s="1"/>
  <c r="Q100" i="5"/>
  <c r="R100" i="5" s="1"/>
  <c r="S100" i="5" s="1"/>
  <c r="Q98" i="5"/>
  <c r="R98" i="5" s="1"/>
  <c r="S98" i="5" s="1"/>
  <c r="Q90" i="5"/>
  <c r="R90" i="5" s="1"/>
  <c r="S90" i="5" s="1"/>
  <c r="Q84" i="5"/>
  <c r="R84" i="5" s="1"/>
  <c r="S84" i="5" s="1"/>
  <c r="Q78" i="5"/>
  <c r="R78" i="5" s="1"/>
  <c r="S78" i="5" s="1"/>
  <c r="Q72" i="5"/>
  <c r="R72" i="5" s="1"/>
  <c r="S72" i="5" s="1"/>
  <c r="Q65" i="5"/>
  <c r="R65" i="5" s="1"/>
  <c r="S65" i="5" s="1"/>
  <c r="Q59" i="5"/>
  <c r="R59" i="5" s="1"/>
  <c r="S59" i="5" s="1"/>
  <c r="Q53" i="5"/>
  <c r="R53" i="5" s="1"/>
  <c r="S53" i="5" s="1"/>
  <c r="Q47" i="5"/>
  <c r="R47" i="5" s="1"/>
  <c r="S47" i="5" s="1"/>
  <c r="Q41" i="5"/>
  <c r="R41" i="5" s="1"/>
  <c r="S41" i="5" s="1"/>
  <c r="Q35" i="5"/>
  <c r="R35" i="5" s="1"/>
  <c r="S35" i="5" s="1"/>
  <c r="Q29" i="5"/>
  <c r="R29" i="5" s="1"/>
  <c r="S29" i="5" s="1"/>
  <c r="Q23" i="5"/>
  <c r="R23" i="5" s="1"/>
  <c r="S23" i="5" s="1"/>
  <c r="Q74" i="5"/>
  <c r="R74" i="5" s="1"/>
  <c r="S74" i="5" s="1"/>
  <c r="Q67" i="5"/>
  <c r="R67" i="5" s="1"/>
  <c r="S67" i="5" s="1"/>
  <c r="Q37" i="5"/>
  <c r="R37" i="5" s="1"/>
  <c r="S37" i="5" s="1"/>
  <c r="Q25" i="5"/>
  <c r="R25" i="5" s="1"/>
  <c r="S25" i="5" s="1"/>
  <c r="Q99" i="5"/>
  <c r="R99" i="5" s="1"/>
  <c r="S99" i="5" s="1"/>
  <c r="Q103" i="5"/>
  <c r="R103" i="5" s="1"/>
  <c r="S103" i="5" s="1"/>
  <c r="Q97" i="5"/>
  <c r="R97" i="5" s="1"/>
  <c r="S97" i="5" s="1"/>
  <c r="Q89" i="5"/>
  <c r="R89" i="5" s="1"/>
  <c r="S89" i="5" s="1"/>
  <c r="Q83" i="5"/>
  <c r="R83" i="5" s="1"/>
  <c r="S83" i="5" s="1"/>
  <c r="Q77" i="5"/>
  <c r="R77" i="5" s="1"/>
  <c r="S77" i="5" s="1"/>
  <c r="Q70" i="5"/>
  <c r="R70" i="5" s="1"/>
  <c r="S70" i="5" s="1"/>
  <c r="Q64" i="5"/>
  <c r="R64" i="5" s="1"/>
  <c r="S64" i="5" s="1"/>
  <c r="Q58" i="5"/>
  <c r="R58" i="5" s="1"/>
  <c r="S58" i="5" s="1"/>
  <c r="Q52" i="5"/>
  <c r="R52" i="5" s="1"/>
  <c r="S52" i="5" s="1"/>
  <c r="Q46" i="5"/>
  <c r="R46" i="5" s="1"/>
  <c r="S46" i="5" s="1"/>
  <c r="Q40" i="5"/>
  <c r="R40" i="5" s="1"/>
  <c r="S40" i="5" s="1"/>
  <c r="Q34" i="5"/>
  <c r="R34" i="5" s="1"/>
  <c r="S34" i="5" s="1"/>
  <c r="Q28" i="5"/>
  <c r="R28" i="5" s="1"/>
  <c r="S28" i="5" s="1"/>
  <c r="Q22" i="5"/>
  <c r="R22" i="5" s="1"/>
  <c r="S22" i="5" s="1"/>
  <c r="Q102" i="5"/>
  <c r="R102" i="5" s="1"/>
  <c r="S102" i="5" s="1"/>
  <c r="Q96" i="5"/>
  <c r="R96" i="5" s="1"/>
  <c r="S96" i="5" s="1"/>
  <c r="Q88" i="5"/>
  <c r="R88" i="5" s="1"/>
  <c r="S88" i="5" s="1"/>
  <c r="Q82" i="5"/>
  <c r="R82" i="5" s="1"/>
  <c r="S82" i="5" s="1"/>
  <c r="Q76" i="5"/>
  <c r="R76" i="5" s="1"/>
  <c r="S76" i="5" s="1"/>
  <c r="Q69" i="5"/>
  <c r="R69" i="5" s="1"/>
  <c r="S69" i="5" s="1"/>
  <c r="Q63" i="5"/>
  <c r="R63" i="5" s="1"/>
  <c r="S63" i="5" s="1"/>
  <c r="Q57" i="5"/>
  <c r="R57" i="5" s="1"/>
  <c r="S57" i="5" s="1"/>
  <c r="Q51" i="5"/>
  <c r="R51" i="5" s="1"/>
  <c r="S51" i="5" s="1"/>
  <c r="Q45" i="5"/>
  <c r="R45" i="5" s="1"/>
  <c r="S45" i="5" s="1"/>
  <c r="Q39" i="5"/>
  <c r="R39" i="5" s="1"/>
  <c r="S39" i="5" s="1"/>
  <c r="Q33" i="5"/>
  <c r="R33" i="5" s="1"/>
  <c r="S33" i="5" s="1"/>
  <c r="Q27" i="5"/>
  <c r="R27" i="5" s="1"/>
  <c r="S27" i="5" s="1"/>
  <c r="Q94" i="5"/>
  <c r="R94" i="5" s="1"/>
  <c r="S94" i="5" s="1"/>
  <c r="Q80" i="5"/>
  <c r="R80" i="5" s="1"/>
  <c r="S80" i="5" s="1"/>
  <c r="Q61" i="5"/>
  <c r="R61" i="5" s="1"/>
  <c r="S61" i="5" s="1"/>
  <c r="Q55" i="5"/>
  <c r="R55" i="5" s="1"/>
  <c r="S55" i="5" s="1"/>
  <c r="Q43" i="5"/>
  <c r="R43" i="5" s="1"/>
  <c r="S43" i="5" s="1"/>
  <c r="Q31" i="5"/>
  <c r="R31" i="5" s="1"/>
  <c r="S31" i="5" s="1"/>
  <c r="Q93" i="5"/>
  <c r="R93" i="5" s="1"/>
  <c r="S93" i="5" s="1"/>
  <c r="Q101" i="5"/>
  <c r="R101" i="5" s="1"/>
  <c r="S101" i="5" s="1"/>
  <c r="Q95" i="5"/>
  <c r="R95" i="5" s="1"/>
  <c r="S95" i="5" s="1"/>
  <c r="Q87" i="5"/>
  <c r="R87" i="5" s="1"/>
  <c r="S87" i="5" s="1"/>
  <c r="Q81" i="5"/>
  <c r="R81" i="5" s="1"/>
  <c r="S81" i="5" s="1"/>
  <c r="Q75" i="5"/>
  <c r="R75" i="5" s="1"/>
  <c r="S75" i="5" s="1"/>
  <c r="Q68" i="5"/>
  <c r="R68" i="5" s="1"/>
  <c r="S68" i="5" s="1"/>
  <c r="Q62" i="5"/>
  <c r="R62" i="5" s="1"/>
  <c r="S62" i="5" s="1"/>
  <c r="Q56" i="5"/>
  <c r="R56" i="5" s="1"/>
  <c r="S56" i="5" s="1"/>
  <c r="Q50" i="5"/>
  <c r="R50" i="5" s="1"/>
  <c r="S50" i="5" s="1"/>
  <c r="Q44" i="5"/>
  <c r="R44" i="5" s="1"/>
  <c r="S44" i="5" s="1"/>
  <c r="Q38" i="5"/>
  <c r="R38" i="5" s="1"/>
  <c r="S38" i="5" s="1"/>
  <c r="Q32" i="5"/>
  <c r="R32" i="5" s="1"/>
  <c r="S32" i="5" s="1"/>
  <c r="Q26" i="5"/>
  <c r="R26" i="5" s="1"/>
  <c r="S26" i="5" s="1"/>
  <c r="Q92" i="5"/>
  <c r="R92" i="5" s="1"/>
  <c r="S92" i="5" s="1"/>
  <c r="Q86" i="5"/>
  <c r="R86" i="5" s="1"/>
  <c r="S86" i="5" s="1"/>
  <c r="Q49" i="5"/>
  <c r="R49" i="5" s="1"/>
  <c r="S49" i="5" s="1"/>
  <c r="Q91" i="5"/>
  <c r="R91" i="5" s="1"/>
  <c r="S91" i="5" s="1"/>
  <c r="Q79" i="5"/>
  <c r="R79" i="5" s="1"/>
  <c r="S79" i="5" s="1"/>
  <c r="Q66" i="5"/>
  <c r="R66" i="5" s="1"/>
  <c r="S66" i="5" s="1"/>
  <c r="Q48" i="5"/>
  <c r="R48" i="5" s="1"/>
  <c r="S48" i="5" s="1"/>
  <c r="Q30" i="5"/>
  <c r="R30" i="5" s="1"/>
  <c r="S30" i="5" s="1"/>
  <c r="Q85" i="5"/>
  <c r="R85" i="5" s="1"/>
  <c r="S85" i="5" s="1"/>
  <c r="Q73" i="5"/>
  <c r="R73" i="5" s="1"/>
  <c r="S73" i="5" s="1"/>
  <c r="Q36" i="5"/>
  <c r="R36" i="5" s="1"/>
  <c r="S36" i="5" s="1"/>
  <c r="Q54" i="5"/>
  <c r="R54" i="5" s="1"/>
  <c r="S54" i="5" s="1"/>
  <c r="Q60" i="5"/>
  <c r="R60" i="5" s="1"/>
  <c r="S60" i="5" s="1"/>
  <c r="Q42" i="5"/>
  <c r="R42" i="5" s="1"/>
  <c r="S42" i="5" s="1"/>
  <c r="Q24" i="5"/>
  <c r="R24" i="5" s="1"/>
  <c r="S24" i="5" s="1"/>
  <c r="Q121" i="5"/>
  <c r="R121" i="5" s="1"/>
  <c r="S121" i="5" s="1"/>
  <c r="Q116" i="5"/>
  <c r="R116" i="5" s="1"/>
  <c r="S116" i="5" s="1"/>
  <c r="Q112" i="5"/>
  <c r="R112" i="5" s="1"/>
  <c r="S112" i="5" s="1"/>
  <c r="Q108" i="5"/>
  <c r="R108" i="5" s="1"/>
  <c r="S108" i="5" s="1"/>
  <c r="Q104" i="5"/>
  <c r="R104" i="5" s="1"/>
  <c r="S104" i="5" s="1"/>
  <c r="Q120" i="5"/>
  <c r="R120" i="5" s="1"/>
  <c r="S120" i="5" s="1"/>
  <c r="Q117" i="5"/>
  <c r="R117" i="5" s="1"/>
  <c r="S117" i="5" s="1"/>
  <c r="Q113" i="5"/>
  <c r="R113" i="5" s="1"/>
  <c r="S113" i="5" s="1"/>
  <c r="Q109" i="5"/>
  <c r="R109" i="5" s="1"/>
  <c r="S109" i="5" s="1"/>
  <c r="Q105" i="5"/>
  <c r="R105" i="5" s="1"/>
  <c r="S105" i="5" s="1"/>
  <c r="Q118" i="5"/>
  <c r="R118" i="5" s="1"/>
  <c r="S118" i="5" s="1"/>
  <c r="Q114" i="5"/>
  <c r="R114" i="5" s="1"/>
  <c r="S114" i="5" s="1"/>
  <c r="Q110" i="5"/>
  <c r="R110" i="5" s="1"/>
  <c r="S110" i="5" s="1"/>
  <c r="Q106" i="5"/>
  <c r="R106" i="5" s="1"/>
  <c r="S106" i="5" s="1"/>
  <c r="Q20" i="5"/>
  <c r="R20" i="5" s="1"/>
  <c r="S20" i="5" s="1"/>
  <c r="Q119" i="5"/>
  <c r="R119" i="5" s="1"/>
  <c r="S119" i="5" s="1"/>
  <c r="Q21" i="5"/>
  <c r="R21" i="5" s="1"/>
  <c r="S21" i="5" s="1"/>
  <c r="Q107" i="5"/>
  <c r="R107" i="5" s="1"/>
  <c r="S107" i="5" s="1"/>
  <c r="Q111" i="5"/>
  <c r="R111" i="5" s="1"/>
  <c r="S111" i="5" s="1"/>
  <c r="Q115" i="5"/>
  <c r="R115" i="5" s="1"/>
  <c r="S115" i="5" s="1"/>
  <c r="Q193" i="5"/>
  <c r="R193" i="5" s="1"/>
  <c r="S193" i="5" s="1"/>
  <c r="Q189" i="5"/>
  <c r="R189" i="5" s="1"/>
  <c r="S189" i="5" s="1"/>
  <c r="Q185" i="5"/>
  <c r="R185" i="5" s="1"/>
  <c r="S185" i="5" s="1"/>
  <c r="Q194" i="5"/>
  <c r="R194" i="5" s="1"/>
  <c r="S194" i="5" s="1"/>
  <c r="Q190" i="5"/>
  <c r="R190" i="5" s="1"/>
  <c r="S190" i="5" s="1"/>
  <c r="Q186" i="5"/>
  <c r="R186" i="5" s="1"/>
  <c r="S186" i="5" s="1"/>
  <c r="Q195" i="5"/>
  <c r="R195" i="5" s="1"/>
  <c r="S195" i="5" s="1"/>
  <c r="Q191" i="5"/>
  <c r="R191" i="5" s="1"/>
  <c r="S191" i="5" s="1"/>
  <c r="Q187" i="5"/>
  <c r="R187" i="5" s="1"/>
  <c r="S187" i="5" s="1"/>
  <c r="Q192" i="5"/>
  <c r="R192" i="5" s="1"/>
  <c r="S192" i="5" s="1"/>
  <c r="Q161" i="5"/>
  <c r="R161" i="5" s="1"/>
  <c r="S161" i="5" s="1"/>
  <c r="Q188" i="5"/>
  <c r="R188" i="5" s="1"/>
  <c r="S188" i="5" s="1"/>
  <c r="Q196" i="5"/>
  <c r="R196" i="5" s="1"/>
  <c r="S196" i="5" s="1"/>
  <c r="Q184" i="5"/>
  <c r="R184" i="5" s="1"/>
  <c r="S184" i="5" s="1"/>
  <c r="Q297" i="5"/>
  <c r="R297" i="5" s="1"/>
  <c r="S297" i="5" s="1"/>
  <c r="Q234" i="5"/>
  <c r="R234" i="5" s="1"/>
  <c r="S234" i="5" s="1"/>
  <c r="Q230" i="5"/>
  <c r="R230" i="5" s="1"/>
  <c r="S230" i="5" s="1"/>
  <c r="Q226" i="5"/>
  <c r="R226" i="5" s="1"/>
  <c r="S226" i="5" s="1"/>
  <c r="Q222" i="5"/>
  <c r="R222" i="5" s="1"/>
  <c r="S222" i="5" s="1"/>
  <c r="Q218" i="5"/>
  <c r="R218" i="5" s="1"/>
  <c r="S218" i="5" s="1"/>
  <c r="Q214" i="5"/>
  <c r="R214" i="5" s="1"/>
  <c r="S214" i="5" s="1"/>
  <c r="Q210" i="5"/>
  <c r="R210" i="5" s="1"/>
  <c r="S210" i="5" s="1"/>
  <c r="Q206" i="5"/>
  <c r="R206" i="5" s="1"/>
  <c r="S206" i="5" s="1"/>
  <c r="Q203" i="5"/>
  <c r="R203" i="5" s="1"/>
  <c r="S203" i="5" s="1"/>
  <c r="Q299" i="5"/>
  <c r="R299" i="5" s="1"/>
  <c r="S299" i="5" s="1"/>
  <c r="Q295" i="5"/>
  <c r="R295" i="5" s="1"/>
  <c r="S295" i="5" s="1"/>
  <c r="Q232" i="5"/>
  <c r="R232" i="5" s="1"/>
  <c r="S232" i="5" s="1"/>
  <c r="Q228" i="5"/>
  <c r="R228" i="5" s="1"/>
  <c r="S228" i="5" s="1"/>
  <c r="Q224" i="5"/>
  <c r="R224" i="5" s="1"/>
  <c r="S224" i="5" s="1"/>
  <c r="Q220" i="5"/>
  <c r="R220" i="5" s="1"/>
  <c r="S220" i="5" s="1"/>
  <c r="Q216" i="5"/>
  <c r="R216" i="5" s="1"/>
  <c r="S216" i="5" s="1"/>
  <c r="Q212" i="5"/>
  <c r="R212" i="5" s="1"/>
  <c r="S212" i="5" s="1"/>
  <c r="Q208" i="5"/>
  <c r="R208" i="5" s="1"/>
  <c r="S208" i="5" s="1"/>
  <c r="Q204" i="5"/>
  <c r="R204" i="5" s="1"/>
  <c r="S204" i="5" s="1"/>
  <c r="Q227" i="5"/>
  <c r="R227" i="5" s="1"/>
  <c r="S227" i="5" s="1"/>
  <c r="Q219" i="5"/>
  <c r="R219" i="5" s="1"/>
  <c r="S219" i="5" s="1"/>
  <c r="Q211" i="5"/>
  <c r="R211" i="5" s="1"/>
  <c r="S211" i="5" s="1"/>
  <c r="Q207" i="5"/>
  <c r="R207" i="5" s="1"/>
  <c r="S207" i="5" s="1"/>
  <c r="Q300" i="5"/>
  <c r="R300" i="5" s="1"/>
  <c r="S300" i="5" s="1"/>
  <c r="Q296" i="5"/>
  <c r="R296" i="5" s="1"/>
  <c r="S296" i="5" s="1"/>
  <c r="Q233" i="5"/>
  <c r="R233" i="5" s="1"/>
  <c r="S233" i="5" s="1"/>
  <c r="Q229" i="5"/>
  <c r="R229" i="5" s="1"/>
  <c r="S229" i="5" s="1"/>
  <c r="Q225" i="5"/>
  <c r="R225" i="5" s="1"/>
  <c r="S225" i="5" s="1"/>
  <c r="Q221" i="5"/>
  <c r="R221" i="5" s="1"/>
  <c r="S221" i="5" s="1"/>
  <c r="Q217" i="5"/>
  <c r="R217" i="5" s="1"/>
  <c r="S217" i="5" s="1"/>
  <c r="Q213" i="5"/>
  <c r="R213" i="5" s="1"/>
  <c r="S213" i="5" s="1"/>
  <c r="Q209" i="5"/>
  <c r="R209" i="5" s="1"/>
  <c r="S209" i="5" s="1"/>
  <c r="Q205" i="5"/>
  <c r="R205" i="5" s="1"/>
  <c r="S205" i="5" s="1"/>
  <c r="Q202" i="5"/>
  <c r="R202" i="5" s="1"/>
  <c r="S202" i="5" s="1"/>
  <c r="Q298" i="5"/>
  <c r="R298" i="5" s="1"/>
  <c r="S298" i="5" s="1"/>
  <c r="Q231" i="5"/>
  <c r="R231" i="5" s="1"/>
  <c r="S231" i="5" s="1"/>
  <c r="Q223" i="5"/>
  <c r="R223" i="5" s="1"/>
  <c r="S223" i="5" s="1"/>
  <c r="Q215" i="5"/>
  <c r="R215" i="5" s="1"/>
  <c r="S215" i="5" s="1"/>
  <c r="Q201" i="5"/>
  <c r="R201" i="5" s="1"/>
  <c r="S201" i="5" s="1"/>
  <c r="Q197" i="5"/>
  <c r="R197" i="5" s="1"/>
  <c r="S197" i="5" s="1"/>
  <c r="Q198" i="5"/>
  <c r="R198" i="5" s="1"/>
  <c r="S198" i="5" s="1"/>
  <c r="Q200" i="5"/>
  <c r="R200" i="5" s="1"/>
  <c r="S200" i="5" s="1"/>
  <c r="Q326" i="5"/>
  <c r="R326" i="5" s="1"/>
  <c r="S326" i="5" s="1"/>
  <c r="Q199" i="5"/>
  <c r="R199" i="5" s="1"/>
  <c r="S199" i="5" s="1"/>
  <c r="F15" i="13"/>
  <c r="D15" i="13" s="1"/>
  <c r="Q19" i="5"/>
  <c r="R19" i="5" s="1"/>
  <c r="S19" i="5" s="1"/>
  <c r="Q18" i="5"/>
  <c r="R18" i="5" s="1"/>
  <c r="S18" i="5" s="1"/>
  <c r="S327" i="5" l="1"/>
  <c r="D15" i="10" s="1"/>
  <c r="D19" i="10" s="1"/>
  <c r="D23" i="13" s="1"/>
  <c r="D28" i="13" s="1"/>
  <c r="H18" i="19" s="1"/>
  <c r="R327"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<sst xmlns="http://schemas.openxmlformats.org/spreadsheetml/2006/main" count="2553" uniqueCount="827">
  <si>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</si>
  <si>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</si>
  <si>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</si>
  <si>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</si>
  <si>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</si>
  <si>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</si>
  <si>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</si>
  <si>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</si>
  <si>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</si>
  <si>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</si>
  <si>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</si>
  <si>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</si>
  <si>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</si>
  <si>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</si>
  <si>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Description</t>
  </si>
  <si>
    <t>Quantity</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</si>
  <si>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</si>
  <si>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</si>
  <si>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</si>
  <si>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</si>
  <si>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</si>
  <si>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</si>
  <si>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</si>
  <si>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</si>
  <si>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</si>
  <si>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</si>
  <si>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</si>
  <si>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</si>
  <si>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</si>
  <si>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</si>
  <si>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</si>
  <si>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</si>
  <si>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</si>
  <si>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</si>
  <si>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</si>
  <si>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</si>
  <si>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</si>
  <si>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</si>
  <si>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</si>
  <si>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</si>
  <si>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</si>
  <si>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</si>
  <si>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</si>
  <si>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</si>
  <si>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</si>
  <si>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</si>
  <si>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</si>
  <si>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</si>
  <si>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</si>
  <si>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</si>
  <si>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</si>
  <si>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</si>
  <si>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</si>
  <si>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</si>
  <si>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</si>
  <si>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</si>
  <si>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</si>
  <si>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</si>
  <si>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</si>
  <si>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</si>
  <si>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</si>
  <si>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</si>
  <si>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</si>
  <si>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</si>
  <si>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</si>
  <si>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</si>
  <si>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</si>
  <si>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</si>
  <si>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</si>
  <si>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</si>
  <si>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</si>
  <si>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</si>
  <si>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</si>
  <si>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</si>
  <si>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</si>
  <si>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</si>
  <si>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</si>
  <si>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</si>
  <si>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</si>
  <si>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</si>
  <si>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</si>
  <si>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</si>
  <si>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</si>
  <si>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</si>
  <si>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</si>
  <si>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</si>
  <si>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</si>
  <si>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</si>
  <si>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</si>
  <si>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</si>
  <si>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</si>
  <si>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</si>
  <si>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</si>
  <si>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</si>
  <si>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</si>
  <si>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</si>
  <si>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</si>
  <si>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</si>
  <si>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</si>
  <si>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</si>
  <si>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</si>
  <si>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</si>
  <si>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</si>
  <si>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</si>
  <si>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</si>
  <si>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</si>
  <si>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</si>
  <si>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</si>
  <si>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</si>
  <si>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</si>
  <si>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</si>
  <si>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</si>
  <si>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</si>
  <si>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</si>
  <si>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</si>
  <si>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</si>
  <si>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</si>
  <si>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</si>
  <si>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</si>
  <si>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</si>
  <si>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</si>
  <si>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</si>
  <si>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</si>
  <si>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</si>
  <si>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</si>
  <si>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</si>
  <si>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</si>
  <si>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</si>
  <si>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</si>
  <si>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</si>
  <si>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</si>
  <si>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</si>
  <si>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</si>
  <si>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</si>
  <si>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</si>
  <si>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</si>
  <si>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</si>
  <si>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</si>
  <si>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</si>
  <si>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</si>
  <si>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</si>
  <si>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</si>
  <si>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</si>
  <si>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</si>
  <si>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</si>
  <si>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</si>
  <si>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</si>
  <si>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</si>
  <si>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</si>
  <si>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</si>
  <si>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</si>
  <si>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</si>
  <si>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</si>
  <si>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</si>
  <si>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</si>
  <si>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</si>
  <si>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</si>
  <si>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</si>
  <si>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</si>
  <si>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</si>
  <si>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</si>
  <si>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</si>
  <si>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</si>
  <si>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</si>
  <si>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</si>
  <si>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</si>
  <si>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</si>
  <si>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</si>
  <si>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</si>
  <si>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</si>
  <si>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</si>
  <si>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</si>
  <si>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</si>
  <si>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</si>
  <si>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</si>
  <si>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</si>
  <si>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</si>
  <si>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</si>
  <si>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</si>
  <si>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</si>
  <si>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</si>
  <si>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</si>
  <si>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</si>
  <si>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</si>
  <si>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</si>
  <si>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</si>
  <si>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</si>
  <si>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</si>
  <si>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</si>
  <si>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</si>
  <si>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</si>
  <si>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</si>
  <si>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</si>
  <si>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</si>
  <si>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</si>
  <si>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</si>
  <si>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</si>
  <si>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</si>
  <si>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</si>
  <si>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</si>
  <si>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</si>
  <si>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</si>
  <si>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</si>
  <si>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</si>
  <si>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</si>
  <si>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</si>
  <si>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</si>
  <si>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</si>
  <si>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</si>
  <si>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</si>
  <si>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</si>
  <si>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</si>
  <si>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</si>
  <si>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</si>
  <si>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</si>
  <si>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</si>
  <si>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</si>
  <si>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</si>
  <si>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</si>
  <si>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</si>
  <si>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</si>
  <si>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</si>
  <si>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</si>
  <si>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</si>
  <si>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</si>
  <si>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</si>
  <si>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</si>
  <si>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</si>
  <si>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</si>
  <si>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</si>
  <si>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</si>
  <si>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</si>
  <si>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</si>
  <si>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</si>
  <si>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</si>
  <si>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</si>
  <si>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</si>
  <si>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</si>
  <si>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</si>
  <si>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</si>
  <si>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</si>
  <si>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</si>
  <si>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</si>
  <si>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</si>
  <si>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</si>
  <si>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</si>
  <si>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</si>
  <si>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</si>
  <si>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</si>
  <si>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</si>
  <si>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</si>
  <si>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</si>
  <si>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</si>
  <si>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</si>
  <si>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</si>
  <si>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</si>
  <si>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</si>
  <si>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</si>
  <si>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</si>
  <si>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</si>
  <si>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</si>
  <si>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</si>
  <si>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</si>
  <si>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</si>
  <si>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</si>
  <si>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</si>
  <si>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</si>
  <si>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</si>
  <si>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</si>
  <si>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</si>
  <si>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</si>
  <si>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</si>
  <si>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</si>
  <si>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</si>
  <si>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</si>
  <si>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</si>
  <si>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</si>
  <si>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</si>
  <si>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</si>
  <si>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</si>
  <si>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</si>
  <si>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</si>
  <si>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</si>
  <si>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</si>
  <si>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</si>
  <si>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</si>
  <si>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</si>
  <si>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</si>
  <si>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</si>
  <si>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</si>
  <si>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</si>
  <si>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</si>
  <si>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</si>
  <si>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</si>
  <si>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</si>
  <si>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MT </t>
  </si>
  <si>
    <t xml:space="preserve">EA </t>
  </si>
  <si>
    <t>SET</t>
  </si>
  <si>
    <t xml:space="preserve">KM </t>
  </si>
  <si>
    <t xml:space="preserve">M3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</si>
  <si>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</si>
  <si>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</si>
  <si>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</si>
  <si>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</si>
  <si>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</si>
  <si>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</si>
  <si>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</si>
  <si>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</si>
  <si>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</si>
  <si>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</si>
  <si>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</si>
  <si>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</si>
  <si>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</si>
  <si>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</si>
  <si>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</si>
  <si>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</si>
  <si>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</si>
  <si>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</si>
  <si>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</si>
  <si>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</si>
  <si>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</si>
  <si>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</si>
  <si>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</si>
  <si>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</si>
  <si>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</si>
  <si>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</si>
  <si>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</si>
  <si>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</si>
  <si>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</si>
  <si>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</si>
  <si>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</si>
  <si>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</si>
  <si>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</si>
  <si>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</si>
  <si>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</si>
  <si>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</si>
  <si>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</si>
  <si>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</si>
  <si>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</si>
  <si>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</si>
  <si>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</si>
  <si>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</si>
  <si>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</si>
  <si>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</si>
  <si>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</si>
  <si>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</si>
  <si>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</si>
  <si>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</si>
  <si>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</si>
  <si>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</si>
  <si>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</si>
  <si>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</si>
  <si>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</si>
  <si>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</si>
  <si>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</si>
  <si>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</si>
  <si>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</si>
  <si>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</si>
  <si>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</si>
  <si>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</si>
  <si>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</si>
  <si>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</si>
  <si>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</si>
  <si>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</si>
  <si>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</si>
  <si>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</si>
  <si>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</si>
  <si>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</si>
  <si>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</si>
  <si>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</si>
  <si>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</si>
  <si>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</si>
  <si>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</si>
  <si>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</si>
  <si>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</si>
  <si>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</si>
  <si>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</si>
  <si>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</si>
  <si>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</si>
  <si>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</si>
  <si>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</si>
  <si>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</si>
  <si>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</si>
  <si>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</si>
  <si>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</si>
  <si>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</si>
  <si>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</si>
  <si>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</si>
  <si>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</si>
  <si>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</si>
  <si>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</si>
  <si>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</si>
  <si>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</si>
  <si>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</si>
  <si>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</si>
  <si>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</si>
  <si>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</si>
  <si>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</si>
  <si>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</si>
  <si>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</si>
  <si>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</si>
  <si>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</si>
  <si>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</si>
  <si>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</si>
  <si>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</si>
  <si>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</si>
  <si>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</si>
  <si>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</si>
  <si>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</si>
  <si>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</si>
  <si>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</si>
  <si>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</si>
  <si>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</si>
  <si>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</si>
  <si>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</si>
  <si>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</si>
  <si>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</si>
  <si>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</si>
  <si>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</si>
  <si>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</si>
  <si>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</si>
  <si>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</si>
  <si>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</si>
  <si>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</si>
  <si>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</si>
  <si>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</si>
  <si>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</si>
  <si>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</si>
  <si>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</si>
  <si>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</si>
  <si>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</si>
  <si>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</si>
  <si>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</si>
  <si>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</si>
  <si>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</si>
  <si>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</si>
  <si>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</si>
  <si>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</si>
  <si>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</si>
  <si>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</si>
  <si>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</si>
  <si>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</si>
  <si>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</si>
  <si>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</si>
  <si>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</si>
  <si>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</si>
  <si>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</si>
  <si>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</si>
  <si>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</si>
  <si>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</si>
  <si>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</si>
  <si>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</si>
  <si>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</si>
  <si>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</si>
  <si>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</si>
  <si>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</si>
  <si>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</si>
  <si>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</si>
  <si>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</si>
  <si>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</si>
  <si>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</si>
  <si>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</si>
  <si>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</si>
  <si>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</si>
  <si>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</si>
  <si>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</si>
  <si>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</si>
  <si>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</si>
  <si>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 including Type Test charges</t>
  </si>
  <si>
    <t xml:space="preserve">M  </t>
  </si>
  <si>
    <t xml:space="preserve">M2 </t>
  </si>
  <si>
    <t>420 kV, 1 phase Bus Post Insulator (except for Line Traps)</t>
  </si>
  <si>
    <t xml:space="preserve">LS </t>
  </si>
  <si>
    <t>1.1kV grade Power Cables (PVCinsulated)along withlugs,glands,straight joints &amp;accessories,etc.</t>
  </si>
  <si>
    <t>1.1kV grade Control Cables (PVCinsulated) along withlugs,glands,straight joints &amp;accessories,etc.</t>
  </si>
  <si>
    <t>Excavation in all kind of soil including  rock  for all leads and lifts, backfilling, disposal of surplus earth within a lead up to2Km as per technical specification. The surplus earth shall be roughly graded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</si>
  <si>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</si>
  <si>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</si>
  <si>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</si>
  <si>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</si>
  <si>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</si>
  <si>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</si>
  <si>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</si>
  <si>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Antiweed treatment</t>
  </si>
  <si>
    <t>RCC culverts and cable trench crossings including supplying and laying hume pipe 250mm dia of grade (NP-3) excluding concrete as perspecification.</t>
  </si>
  <si>
    <t>RCC culverts and cable trench crossings including supplying and laying hume pipe 450mm dia of grade (NP-3) excluding concrete as perspecification.</t>
  </si>
  <si>
    <t>Whether HSN in column ‘6’ is confirmed. If not,  indicate applicable the HSN code #</t>
  </si>
  <si>
    <t>Whether  rate of GST in column ‘8’ is confirmed. If not,  indicate applicable rate of GST #</t>
  </si>
  <si>
    <t>Whether SAC in column ‘8’ is confirmed. If not,  indicate applicable the SAC #</t>
  </si>
  <si>
    <t>Whether  rate of GST in column ‘10’ is confirmed. If not  indicate applicable rate of GST #</t>
  </si>
  <si>
    <t>Providing and laying Plain Cement Concrete 1:5:10 (1 cement : 5 sand : 10 brick aggregate)</t>
  </si>
  <si>
    <t>External finishing / painting of fire wall (water proofing cement paint) (DSR 13.44.1)</t>
  </si>
  <si>
    <t>14.4.3  Providing, laying and fixing following dia RCC pipe NP2 class (light duty) in ground complete with RCC collars, jointingwith cement mortar 1:2 (1 cement : 2 fine sand) including trenching (75 cm deep) and refilling etc as required. : 250 mm dia</t>
  </si>
  <si>
    <t>Schedule - 6 (after discount)</t>
  </si>
  <si>
    <t>Schedule - 5 (after discount)</t>
  </si>
  <si>
    <t>ORIGINAL</t>
  </si>
  <si>
    <t>Erection Hardware for 400kV I type layout for GIS terminationarrangement-Transformer bay as per technical specification</t>
  </si>
  <si>
    <t>Lighting Panel type ACP-2 as per technical specification</t>
  </si>
  <si>
    <t>1.1KV GRADE 3.5CX300 SQMM (XLPE) POWER CABLE</t>
  </si>
  <si>
    <t>Erection Hardware for 400kV I type layout for GIS termination arrangement-Transformer bay as per technical specification</t>
  </si>
  <si>
    <t>Total Ex-Works Price</t>
  </si>
  <si>
    <t>336kV Surge Arrester (1-phase)</t>
  </si>
  <si>
    <t>4.5 kg CO2 type Portable Fire extinguisher</t>
  </si>
  <si>
    <t>LIGHTING FIXTURE LED LUMINAIRES TYPE FL2 AS PER TECH. SPECIFICATIONS</t>
  </si>
  <si>
    <t>1.1KV GRADE 3.5CX35 SQMM (PVC) POWER CABLE</t>
  </si>
  <si>
    <t>1.1KV GRADE 4CX16 SQMM (PVC) POWER CABLE</t>
  </si>
  <si>
    <t>1.1KV GRADE 5CX2.5 SQMM CONTROL CABLE</t>
  </si>
  <si>
    <t>1.1KV GRADE 10CX2.5 SQMM CONTROL CABLE</t>
  </si>
  <si>
    <t>Relay Test kit</t>
  </si>
  <si>
    <t>1.1KV GRADE 4CX6 SQMM (PVC) POWER CABLE</t>
  </si>
  <si>
    <t>1.1KV GRADE 2CX6 SQMM (PVC) POWER CABLE</t>
  </si>
  <si>
    <t>1.1KV GRADE 19CX1.5 SQMM CONTROL CABLE</t>
  </si>
  <si>
    <t>1.1KV GRADE 27CX1.5 SQMM CONTROL CABLE</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</si>
  <si>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</si>
  <si>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LOT</t>
  </si>
  <si>
    <t>FIRE WALL MOUNTED LED LUMINARIE TYPE FL-2 (250W)</t>
  </si>
  <si>
    <t xml:space="preserve">Civil Works                             </t>
  </si>
  <si>
    <t>420KV, 1-PHASE BUS POST INSULATORS</t>
  </si>
  <si>
    <t>1.1kV grade Power Cables (XLPEinsulated) along withlugs,glands,straight joints &amp;accessories,etc.</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</si>
  <si>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</si>
  <si>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Providing and laying of Reinforced Cement Concrete M30 including pre cast, shuttering, Grouting of pockets &amp; underpinning butexcluding steel reinforcement</t>
  </si>
  <si>
    <t>Supplying, filling and compacting CNS material as per specification under floors, foundations, roads, cable trenches, drains etc inlayers not exceeding 200 mm thickness</t>
  </si>
  <si>
    <t>Fire Wall Mounted LED Luminarie Type FL-2 (250W)</t>
  </si>
  <si>
    <t>14.4.2  Providing, laying and fixing following dia RCC pipe NP2 class (light duty) in ground complete with RCC collars, jointingwith cement mortar 1:2 (1 cement : 2 fine sand) including trenching (75 cm deep) and refilling etc as required. : 150 mm dia</t>
  </si>
  <si>
    <t>qty changed</t>
  </si>
  <si>
    <t xml:space="preserve">Erection Hardware                       </t>
  </si>
  <si>
    <t>INDOOR LIGHTNING FOR GIS BUILDING (AS PER TECHNICAL SPECIFICATION) including AHU &amp; Relay Rooms as applicable</t>
  </si>
  <si>
    <t>63A, 415V : Interlocked switch socket outdoor Receptacle (type RP) asper technical specifications</t>
  </si>
  <si>
    <t>1.1KV GRADE 3.5CX70 SQMM (PVC) POWER CABLE</t>
  </si>
  <si>
    <t>Relay &amp; protection Panels (with automation)</t>
  </si>
  <si>
    <t>Spares-Substation Automation System</t>
  </si>
  <si>
    <t>Spares for Fire Protection System</t>
  </si>
  <si>
    <t xml:space="preserve">Fire Protection System                  </t>
  </si>
  <si>
    <t>Schedule - 2</t>
  </si>
  <si>
    <t>415V ACDB (Extn.)</t>
  </si>
  <si>
    <t>220V DCDB (Extn.)</t>
  </si>
  <si>
    <t>1.1KV GRADE 3CX2.5 SQMM CONTROL CABLE</t>
  </si>
  <si>
    <t>4PAIR, 0.5SQMM SCREENED CABLE</t>
  </si>
  <si>
    <t>Indoor Lightning for GIS Building (As per Technical specification) including AHU &amp; Relay Rooms as applicable</t>
  </si>
  <si>
    <t>Excavation in hard rock which require blasting (including chemical blasting and rock excavated using specialized tools) for allfoundation works including stacking, measuring, disposal etc.for all leads and lifts as per technical specification.</t>
  </si>
  <si>
    <t>Removing,cleaning and washing of existing stones and respreading of stones in switchyard excluding PCC</t>
  </si>
  <si>
    <t xml:space="preserve"> Construction of rail cum road as per drawing including all item such as excavation,compactions, rolling watering, WBM etc. butexcluding concrete reinforcement and structural steel-Section having four rails for auto transformer.</t>
  </si>
  <si>
    <t>DISMANTLING OF EXISTING -CONCRETE ROAD .</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</si>
  <si>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</si>
  <si>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</si>
  <si>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</si>
  <si>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Drain including culverts but excluding concrete &amp; reinforcement steel-Section D-D</t>
  </si>
  <si>
    <t>63A, 415V : Interlocked switch socket outdoor Receptacle (type RP) as per technical specifications</t>
  </si>
  <si>
    <t>Reinforcement steel meeting corrosion resistance properties as per IS:1786 and manufacturer specificationâ€‹</t>
  </si>
  <si>
    <t>RCC culverts and cable trench crossings including supplying and laying hume pipe 300mm dia of grade (NP-3) excluding concrete as perspecification.</t>
  </si>
  <si>
    <t>Supplying and erecting dewatering pumps- 2 HP</t>
  </si>
  <si>
    <t xml:space="preserve">VMS                                     </t>
  </si>
  <si>
    <t>245kV, 1600A, 50kA Single phase SF6 to Air Bushing</t>
  </si>
  <si>
    <t>245kV,1600A, 50kA,3 Single phase/3Phase, SF6 Gas Insulated Bus Duct (GIB)outside GIS Hall alongwith associatedsupport structure(Quantity mentionedhere is for 3 Phase type)</t>
  </si>
  <si>
    <t>216kV Surge Arrester (1-phase)</t>
  </si>
  <si>
    <t>245 kV, 1 phase Bus Post Insulator (except for Line Traps)</t>
  </si>
  <si>
    <t>Augmentation of existing 220kV bus bar protection scheme.(No. of baysas per specification)-(with Automation)</t>
  </si>
  <si>
    <t>Augmentation of Substation automation System for 220kV bay as perTechnical Specification</t>
  </si>
  <si>
    <t>Fire Detection and Alarm System for 220kV GIS Hall</t>
  </si>
  <si>
    <t>Spare-216kV Surge Arrester</t>
  </si>
  <si>
    <t>220KV GIS-SF6 GAS PRESSURE RELIEF DEVICE ASSEMBLY OF EACH TYPE</t>
  </si>
  <si>
    <t>SF6  PRESSURE  GAUGE  CUM  SWITCH  /DENSITY MONITORS  AND  PRESSURESWITCH AS APPLICABLE, OF EACH TYPE-220KV GIS</t>
  </si>
  <si>
    <t>COUPLING  DEVICE  FOR  PRESSURE  GAUGE  CUM  SWITCH  FOR  CONNECTINGGAS HANDLING PLANT OF EACH TYPE-220KV GIS</t>
  </si>
  <si>
    <t>RUBBER  GASKETS,  Ã‚â‚¬Å’OÃ‚â‚¬Â  RINGS  AND  SEALS  FOR  SF6  GAS  FOR  GISENCLOSURE OF EACH TYPE-220KV GIS</t>
  </si>
  <si>
    <t>220KV GIS-MOLECULAR FILTER FOR SF6 GAS WITH FILTER BAGS (5 % OF TOTALWEIGHT)</t>
  </si>
  <si>
    <t>CONTROL VALVES FOR SF6 GAS OF EACH TYPE-220KV GIS</t>
  </si>
  <si>
    <t>220KV GIS-SF6 GAS (5 % OF TOTAL GAS QUANTITY)</t>
  </si>
  <si>
    <t>LOCKING   DEVICE   TO   KEEP   THE   DIS-CONNECTORS   (ISOLATORS)AND EARTHING/FAST EARTHING SWITCHES (AS APPLICABLE) IN CLOSE OR OPENPOSITION IN CASE OF REMOVAL OF THE DRIVING MECHANISM-220KV GIS</t>
  </si>
  <si>
    <t>UHF PD SENSORS OF EACH TYPE ALONG WITH BNC CONNECTOR FOR 245KV GIS</t>
  </si>
  <si>
    <t>220KV GIS-SUPPORT INSULATORS (GAS THROUGH) OF EACH TYPE (COMPLETE WITHMETAL RING ETC.) ALONG WITH ASSOCIATED CONTACTS AND SHIELDS</t>
  </si>
  <si>
    <t>220KV GIS-GAS BARRIERS OF EACH TYPE (COMPLETE WITH METAL RING ETC.)ALONG WITH ASSOCIATED CONTACTS AND SHIELDS</t>
  </si>
  <si>
    <t>220KV GIS- 1600A SF6 TO AIR BUSHING COMPLETE IN ALL RESPECT</t>
  </si>
  <si>
    <t>LCC SPARES  - AUX. RELAYS, CONTACTORS,PUSH BUTTONS, SWITCHES, LAMPS,ANNUNCIATION WINDOWS, MCB, FUSES,TIMERS, TERMINAL BLOCKS ETC. OF EACHTYPE &amp; RATING-220kV GIS</t>
  </si>
  <si>
    <t>220KV GIS-ONE POLE OF 1600A CIRCUIT BREAKER WITH INTERRUPTER, MAINCIRCUIT, ENCLOSURE AND OPERATING MECHANISM COMPLETE IN ALL RESPECT</t>
  </si>
  <si>
    <t>Trip coil assembly with resistor for245kV GIS Circuit Breaker (asapplicable)</t>
  </si>
  <si>
    <t>Closing coil assembly with resistor for245kV GIS Circuit Breaker (asapplicable)</t>
  </si>
  <si>
    <t>RELAYS, POWER CONTACTORS, PUSH BUTTONS, TIMERS &amp; MCBS ETC. (ASAPPLICABLE) OF EACH TYPE FOR 220KV GIS CIRCUIT BREAKER</t>
  </si>
  <si>
    <t>Auxiliary switch assembly of each type for 245kV GIS Circuit Breaker</t>
  </si>
  <si>
    <t>220KV GIS CIRCUIT BREAKER-OPERATION COUNTER</t>
  </si>
  <si>
    <t>220KV GIS CIRCUIT BREAKER-HYDRAULIC OPERATING MECHANISM WITH DRIVEMOTOR (FOR HYDRAULIC OPERATED MECHANISM, IF APPLICABLE)</t>
  </si>
  <si>
    <t>HYDRAULIC FILTER OF EACH TYPE (FOR HYDRAULIC OPERATED MECHANISM, IFPPLICABLE)-220KV GIS CIRCUIT BREKAER</t>
  </si>
  <si>
    <t>220KV GIS CIRCUIT BREAKER- HOSE PIPE OF EACH TYPE (AS APPLICABLE) (FORHYDRAULIC OPERATED MECHANISM, IF APPLICABLE)</t>
  </si>
  <si>
    <t>220KV GIS CIRCUIT BREAKER - N2 ACCUMULATOR (FOR HYDRAULIC OPERATEDMECHANISM, IF APPLICABLE)</t>
  </si>
  <si>
    <t>VALVES OF EACH TYPE (FOR HYDRAULIC OPERATED MECHANISM, IFAPPLICABLE)-220KV GIS CIRCUIT BREKAER</t>
  </si>
  <si>
    <t>PIPE LENGTH (COPPER &amp; STEEL) OF EACH SIZE &amp; TYPE (FOR HYDRAULICOPERATED MECHANISM, IF APPLICABLE)-220KV GIS CIRCUIT BREKAER</t>
  </si>
  <si>
    <t>PRESSURE SWITCHES OF EACH TYPE (FOR HYDRAULIC OPERATED MECHANISM, IFAPPLICABLE)-220KV GIS CIRCUIT BREKAER</t>
  </si>
  <si>
    <t>PRESSURE GAUGE WITH COUPLING DEVICE OF EACH TYPE (FOR HYDRAULICOPERATED MECHANISM, IF APPLICABLE)-220KV GIS CIRCUIT BREKAER</t>
  </si>
  <si>
    <t>220KV GIS CIRCUIT BREAKER-HYDRAULIC OIL (5% OF TOTAL OIL QUANTITY)(FOR HYDRAULIC OPERATED MECHANISM, IF APPLICABLE)</t>
  </si>
  <si>
    <t>PRESSURE RELIEF DEVICE OF EACH TYPE (FOR HYDRAULIC OPERATED MECHANISM,IF APPLICABLE)-220KV GIS CIRCUIT BREKAER</t>
  </si>
  <si>
    <t>220KV GIS CIRCUIT BREAKER-COMPLETE SPRING OPERATING MECHANISMINCLUDING CHARGING MECHANISM ETC. (FOR SPRING OPERATED MECHANISM, IFAPPLICABLE)</t>
  </si>
  <si>
    <t>220KV GIS CIRCUIT BREAKER- COMPLETE HYDRAULIC-SPRING OPERATINGMECHANISM INCLUDING CHARGING MECHANISM ETC. (FOR HYDRAULIC-SPRINGOPERATED MECHANISM, IF APPLICABLE)</t>
  </si>
  <si>
    <t>PRESSURE SWITCHES OF EACH TYPE (FOR HYDRAULIC-SPRING OPERATEDMECHANISM, IF APPLICABLE)-220KV GIS CIRCUIT BREAKER</t>
  </si>
  <si>
    <t>PRESSURE GAUGE WITH COUPLING DEVICE OF EACH TYPE (FOR HYDRAULIC-SPRINGOPERATED MECHANISM, IF APPLICABLE)-220KV GIS CIRCUIT BREKAER</t>
  </si>
  <si>
    <t>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</si>
  <si>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</si>
  <si>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220KV GIS - THREE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</si>
  <si>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220KV GIS DISCONNECTORSWITCH</t>
  </si>
  <si>
    <t>OPEN/CLOSE CONTACTOR ASSEMBLY, TIMERS, KEY INTERLOCK, INTERLOCKINGCOILS, RELAYS, PUSH BUTTONS, INDICATING LAMPS, POWER CONTACTORS,RESISTORS, FUSES, MCBS &amp; DRIVE CONTROL CARDS ETC. (AS APPLICABLE) ONEOF EACH TYPE FOR ONE COMPLETE MOM BOX FOR 220KV GIS MAINTENANCE EARTHSWITCH</t>
  </si>
  <si>
    <t>OPEN/CLOSE CONTACTOR ASSEMBLY, TIMERS, KEY INTERLOCK, INTERLOCKINGCOILS, RELAYS, PUSH BUTTONS, INDICATING LAMPS, POWER CONTACTORS,RESISTORS, FUSES, MCBS &amp; DRIVE CONTROL CARDS ETC. (AS APPLICABLE) ONEOF EACH TYPE FOR ONE COMPLETE MOM BOX FOR 220KV GIS FAST EARTHINGSWITCH</t>
  </si>
  <si>
    <t>LIMIT SWITCHES AND AUX. SWITCHES FOR ONE COMPLETE MOM BOX FORDISCONNECTOR-220KV GIS</t>
  </si>
  <si>
    <t>LIMIT SWITCHES AND AUX. SWITCHES FOR ONE COMPLETE MOM BOX FORMAINTENANCE EARTHING SWITCH-220KV GIS</t>
  </si>
  <si>
    <t>LIMIT SWITCHES AND AUX. SWITCHES FOR ONE COMPLETE MOM BOX FOR FASTEARTHING SWITCH (IF APPLICABLE)-220KV GIS</t>
  </si>
  <si>
    <t>DRIVE MECHANISM FOR 220KV GIS DISCONNECTOR SWITCH</t>
  </si>
  <si>
    <t>DRIVE MECHANISM FOR 220KV GIS MAINTENANCE EARTH SWITCH</t>
  </si>
  <si>
    <t>MOTOR FOR DRIVE MECHANISM FOR 220KV GIS DISCONNECTOR SWITCH</t>
  </si>
  <si>
    <t>MOTOR FOR DRIVE MECHANISM FOR 220KVGIS MAINTENANCE EARTH SWITCH</t>
  </si>
  <si>
    <t>MOTOR FOR DRIVE MECHANISM FOR 220KV GIS FAST EARTHING SWITCH</t>
  </si>
  <si>
    <t>220KV GIS- SINGLE PHASE OF CURRENT TRANSFORMER (4 CORES) WITHASSOCIATED ENCLOSURE AND PRIMARY CONDUCTOR COMPLETE IN ALL RESPECT</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</si>
  <si>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</si>
  <si>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</si>
  <si>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</si>
  <si>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Fabrication, galvanising and supply of  Equipment Support (Pipe)Structures to be designed during detailed engineering</t>
  </si>
  <si>
    <t>420kV, 3150 A, 63 kA, SF6 GIS ICT feederbay module as per Section-Project,Technical specification</t>
  </si>
  <si>
    <t>420KV, 3150A, 63KA SF6 TO AIR BUSHING including support structure</t>
  </si>
  <si>
    <t>420kV, 3000A, 63kA, Single phase, SF6Gas Insulated Bus Duct (GIB) outsideGIS Hall alongwith associated supportstructure</t>
  </si>
  <si>
    <t>420KV, 4000A,63KA GIS BUSBAR MODULE EXTENSION</t>
  </si>
  <si>
    <t>Augmentation of existing 400kV bus bar protection scheme.(No. of baysas per specification)-(with Automation)</t>
  </si>
  <si>
    <t>Augmentation of Substation automation System for 400kV Main bay as perTechnical Specification</t>
  </si>
  <si>
    <t>Augmentation of Substation automation System for 400kV Tie bay as perTechnical Specification</t>
  </si>
  <si>
    <t>Outdoor Power Receptacle for oilfiltration unit (250A)</t>
  </si>
  <si>
    <t>PRESSURE SWITCHES OF EACH TYPE (FOR HYDRAULIC OPERATED MECHANISM, IFAPPLICABLE)-400KV GIS CIRCUIT BREKAER</t>
  </si>
  <si>
    <t>PRESSURE GAUGE WITH COUPLING DEVICE OF EACH TYPE (FOR HYDRAULICOPERATED MECHANISM, IF APPLICABLE)-400KV GIS CIRCUIT BREKAER</t>
  </si>
  <si>
    <t>400KV GIS CIRCUIT BREAKER-HYDRAULIC OIL (5% OF TOTAL OIL QUANTITY)(FOR HYDRAULIC OPERATED MECHANISM, IF APPLICABLE)</t>
  </si>
  <si>
    <t>PRESSURE RELIEF DEVICE OF EACH TYPE (FOR HYDRAULIC OPERATED MECHANISM,IF APPLICABLE)-400KV GIS CIRCUIT BREKAER</t>
  </si>
  <si>
    <t>400KV GIS CIRCUIT BREAKER-COMPLETE SPRING OPERATING MECHANISMINCLUDING CHARGING MECHANISM ETC. (FOR SPRING OPERATED MECHANISM, IFAPPLICABLE)</t>
  </si>
  <si>
    <t>400KV GIS CIRCUIT BREAKER- COMPLETE HYDRAULIC-SPRING OPERATINGMECHANISM INCLUDING CHARGING MECHANISM ETC. (FOR HYDRAULIC-SPRINGOPERATED MECHANISM, IF APPLICABLE)</t>
  </si>
  <si>
    <t>PRESSURE SWITCHES OF EACH TYPE FOR420KV GIS  CIRCUIT BREAKER (ForHydraulic-Spring Operated Mechanism, ifapplicable)</t>
  </si>
  <si>
    <t>PRESSURE GAUGE WITH COUPLING DEVICE OF EACH TYPE (FOR HYDRAULIC-SPRINGOPERATED MECHANISM, IF APPLICABLE)-400KV GIS CIRCUIT BREKAER</t>
  </si>
  <si>
    <t>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</si>
  <si>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</si>
  <si>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400KV GIS - SINGLE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</si>
  <si>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400KV GIS DISCONNECTORSWITCH</t>
  </si>
  <si>
    <t>OPEN/CLOSE CONTACTOR ASSEMBLY, TIMERS, KEY INTERLOCK, INTERLOCKINGCOILS, RELAYS, PUSH BUTTONS, INDICATING LAMPS, POWER CONTACTORS,RESISTORS, FUSES, MCBS &amp; DRIVE CONTROL CARDS ETC. (AS APPLICABLE) ONEOF EACH TYPE FOR ONE COMPLETE MOM BOX FOR 400KV GIS MAINTENANCE EARTHSWITCH</t>
  </si>
  <si>
    <t>OPEN/CLOSE CONTACTOR ASSEMBLY, TIMERS, KEY INTERLOCK, INTERLOCKINGCOILS, RELAYS, PUSH BUTTONS, INDICATING LAMPS, POWER CONTACTORS,RESISTORS, FUSES, MCBS &amp; DRIVE CONTROL CARDS ETC. (AS APPLICABLE) ONEOF EACH TYPE FOR ONE COMPLETE MOM BOX FOR 400KV GIS FAST EARTHINGSWITCH</t>
  </si>
  <si>
    <t>LIMIT SWITCHES AND AUX. SWITCHES FOR ONE COMPLETE MOM BOX FORDISCONNECTOR-400KV GIS</t>
  </si>
  <si>
    <t>LIMIT SWITCHES AND AUX. SWITCHES FOR ONE COMPLETE MOM BOX FORMAINTENANCE EARTHING SWITCH-400KV GIS</t>
  </si>
  <si>
    <t>LIMIT SWITCHES AND AUX. SWITCHES FOR ONE COMPLETE MOM BOX FOR FASTEARTHING SWITCH (IF APPLICABLE)-400KV GIS</t>
  </si>
  <si>
    <t>DRIVE MECHANISM FOR 400KV GIS DISCONNECTOR SWITCH</t>
  </si>
  <si>
    <t>DRIVE MECHANISM FOR 400KV GIS MAINTENANCE EARTH SWITCH</t>
  </si>
  <si>
    <t>DRIVE MECHANISM FOR 400KV GIS FAST EARTHING SWITCH</t>
  </si>
  <si>
    <t>MOTOR FOR DRIVE MECHANISM FOR 400KV GIS DISCONNECTOR SWITCH</t>
  </si>
  <si>
    <t>MOTOR FOR DRIVE MECHANISM FOR 400KVGIS MAINTENANCE EARTH SWITCH</t>
  </si>
  <si>
    <t>400KV GIS- SINGLE PHASE OF CURRENT TRANSFORMER (3 CORES, TYPE-CTA)WITH ASSOCIATED ENCLOSURE AND PRIMARY CONDUCTOR COMPLETE IN ALLRESPECT</t>
  </si>
  <si>
    <t>400KV GIS- SINGLE PHASE OF CURRENT TRANSFORMER (2 CORES, TYPE-CTB)WITH ASSOCIATED ENCLOSURE AND PRIMARY CONDUCTOR COMPLETE IN ALLRESPECT</t>
  </si>
  <si>
    <t>400KV GIS-SF6 GAS PRESSURE RELIEF DEVICE ASSEMBLY OF EACH TYPE</t>
  </si>
  <si>
    <t>SF6  PRESSURE  GAUGE  CUM  SWITCH  /DENSITY MONITORS  AND  PRESSURESWITCH AS APPLICABLE, OF EACH TYPE-400KV GIS</t>
  </si>
  <si>
    <t>COUPLING  DEVICE  FOR  PRESSURE  GAUGE  CUM  SWITCH  FOR  CONNECTINGGAS HANDLING PLANT OF EACH TYPE-400KV GIS</t>
  </si>
  <si>
    <t>RUBBER  GASKETS,  Ã‚â‚¬Å’OÃ‚â‚¬Â  RINGS  AND  SEALS  FOR  SF6  GAS  FOR  GISENCLOSURE OF EACH TYPE-400KV GIS</t>
  </si>
  <si>
    <t>400KV GIS-MOLECULAR FILTER FOR SF6 GAS WITH FILTER BAGS (5 % OF TOTALWEIGHT)</t>
  </si>
  <si>
    <t>CONTROL VALVES FOR SF6 GAS OF EACH TYPE-400KV GIS</t>
  </si>
  <si>
    <t>400KV GIS-SF6 GAS (5 % OF TOTAL GAS QUANTITY)</t>
  </si>
  <si>
    <t>LOCKING   DEVICE   TO   KEEP   THE   DIS-CONNECTORS   (ISOLATORS)AND EARTHING/FAST EARTHING SWITCHES IN CLOSE OR OPEN POSITION IN CASEOF REMOVAL OF THE DRIVING MECHANISM-400KV GIS</t>
  </si>
  <si>
    <t>UHF PD SENSORS OF EACH TYPE ALONG WITH BNC CONNECTOR FOR 420KV GIS</t>
  </si>
  <si>
    <t>SPARES FOR 336KV SURGE ARRESTER</t>
  </si>
  <si>
    <t xml:space="preserve">LT SWITCHGEAR                           </t>
  </si>
  <si>
    <t>3150A, 63KA, 1SEC SINGLE PHASE 420KV SF6 TO AIR BUSHING</t>
  </si>
  <si>
    <t>400KV CIRCUIT BREAKER RELAY PANEL (WITH AUTOMATION)</t>
  </si>
  <si>
    <t>400KV GIS-SUPPORT INSULATORS (GAS THROUGH) OF EACH TYPE (COMPLETE WITHMETAL RING ETC.) ALONG WITH ASSOCIATED CONTACTS AND SHIELDS</t>
  </si>
  <si>
    <t>400KV GIS-GAS BARRIERS OF EACH TYPE (COMPLETE WITH METAL RING ETC.)ALONG WITH ASSOCIATED CONTACTS AND SHIELDS</t>
  </si>
  <si>
    <t>400KV GIS- 3150A SF6 TO AIR BUSHING COMPLETE IN ALL RESPECT</t>
  </si>
  <si>
    <t>LCC SPARES  - AUX. RELAYS, CONTACTORS,PUSH BUTTONS, SWITCHES,LAMPS,ANNUNCIATION WINDOWS, MCB, FUSES,TIMERS, TERMINAL BLOCKS ETC. OF EACHTYPE &amp; RATING-400kV GIS</t>
  </si>
  <si>
    <t>400KV GIS-ONE POLE OF 3150A CIRCUIT BREAKER WITHOUT PIR WITHINTERRUPTER, MAIN CIRCUIT, ENCLOSURE AND OPERATING MECHANISM COMPLETEIN ALL RESPECT</t>
  </si>
  <si>
    <t>Trip coil assembly with resistor for420kV GIS Circuit Breaker (asapplicable)</t>
  </si>
  <si>
    <t>Closing coil assembly with resistor for420kV GIS Circuit Breaker (asapplicable)</t>
  </si>
  <si>
    <t>RELAYS, POWER CONTACTORS, PUSH BUTTONS, TIMERS &amp; MCBS ETC. (ASAPPLICABLE) OF EACH TYPE FOR 400KV GIS CIRCUIT BREAKER</t>
  </si>
  <si>
    <t>Auxiliary switch assembly of each type for 420kV GIS Circuit Breaker</t>
  </si>
  <si>
    <t>400KV GIS CIRCUIT BREAKER-OPERATION COUNTER</t>
  </si>
  <si>
    <t>400KV GIS CIRCUIT BREAKER-HYDRAULIC OPERATING MECHANISM WITH DRIVEMOTOR (FOR HYDRAULIC OPERATED MECHANISM, IF APPLICABLE)</t>
  </si>
  <si>
    <t>HYDRAULIC FILTER OF EACH TYPE (FOR HYDRAULIC OPERATED MECHANISM, IFPPLICABLE)-400KV GIS CIRCUIT BREKAER</t>
  </si>
  <si>
    <t>400KV GIS CIRCUIT BREAKER- HOSE PIPE OF EACH TYPE (AS APPLICABLE) (FORHYDRAULIC OPERATED MECHANISM, IF APPLICABLE)</t>
  </si>
  <si>
    <t>400KV GIS CIRCUIT BREAKER - N2 ACCUMULATOR (FOR HYDRAULIC OPERATEDMECHANISM, IF APPLICABLE)</t>
  </si>
  <si>
    <t>VALVES OF EACH TYPE (FOR HYDRAULIC OPERATED MECHANISM, IFAPPLICABLE)-400KV GIS CIRCUIT BREKAER</t>
  </si>
  <si>
    <t>PIPE LENGTH (COPPER &amp; STEEL) OF EACH SIZE &amp; TYPE (FOR HYDRAULICOPERATED MECHANISM, IF APPLICABLE)-400KV GIS CIRCUIT BREKAER</t>
  </si>
  <si>
    <t xml:space="preserve">ERECTION HARDWARE                       </t>
  </si>
  <si>
    <t>420KV, 3000A, 63KA, SINGLE PHASE, SF6 GAS INSULATED BUS DUCT (GIB)OUTSIDE GIS HALL ALONGWITH ASSOCIATED SUPPORT STRUCTURE, ETC. AS PERTECHNICAL SPECIFICATION</t>
  </si>
  <si>
    <t>420 kV Bus Post Insulator (Except for wave traps)</t>
  </si>
  <si>
    <t>420kV, 3150 A, 63 kA, SF6 GIS ICT feeder bay module as per Section-Project, Technical specification</t>
  </si>
  <si>
    <t>420kV, 3000A/3150, 63kA,  Single phase, SF6 Gas Insulated Bus Duct (GIB) outsideGIS Hall along with associated support structure</t>
  </si>
  <si>
    <t>420kV, SF6 to Air Bushing alongwithassociated support structure for 3150A,63 kA for 1 sec. Single Phase</t>
  </si>
  <si>
    <t>Extension of 420kV , 4000 A, 63 kA3 -phase SF6 GIS bus bar</t>
  </si>
  <si>
    <t>Augmentation of   Substation automation System for 400kV Main bay as per Technical Specification</t>
  </si>
  <si>
    <t>Augmentation of   Substation automation System for 400kV Tie bay as per Technical Specification</t>
  </si>
  <si>
    <t>Lighting Fixture LED Luminaires type FL2 as per tech. specifications</t>
  </si>
  <si>
    <t>Erection of  Lattice Structures (MS Steel), to be designed during detailed engineering, for towers, beams and equipment supportstructure  including pack plates / packwashers and gusset plates excluding fasteners and foundation bolts</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</si>
  <si>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</si>
  <si>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</si>
  <si>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Augmentation of existing 400kV bus bar protection scheme.(No. of bays as per specification)-(with Automation)</t>
  </si>
  <si>
    <t xml:space="preserve">Erection of  Equipment Support (Pipe) Structures to be designed during detailed engineering.
</t>
  </si>
  <si>
    <t xml:space="preserve">CIVIL WORKS                             </t>
  </si>
  <si>
    <t>400kV Circuit Breaker Relay Panel (with Automation)</t>
  </si>
  <si>
    <t>Lighting Fixture LED Luminaires type FL-1 as per tech. specifications</t>
  </si>
  <si>
    <t>245kV,1600A, 50 kA for 1 sec SF6 to Air Bushing</t>
  </si>
  <si>
    <t>245kV,1600A, 50kA,3 Single phase/3Phase,  SF6 Gas Insulated Bus Duct(GIB) outside GIS Hall alongwithassociated support structure(Quantitymentioned here is for 3 Phase type)</t>
  </si>
  <si>
    <t>Augmentation of existing 220kV bus bar protection scheme.(No. of bays as per specification)-(with Automation)</t>
  </si>
  <si>
    <t>Augmentation of   Substation automation System for 220kV bay as per Technical Specification</t>
  </si>
  <si>
    <t>Hydrant system, complete U/G piping and accessories etc. outside the Pump House for 220kV GIS Building Extension.</t>
  </si>
  <si>
    <t>3.75m wide Concrete road (including all crossings) as per drawing except reinforcement &amp; concrete in Switchyard</t>
  </si>
  <si>
    <t>Dismantling of RCC in foundation including disposal of debris and reinforcement bars of dismantled RCC works within substationboundaries as per direction of enginner incahrge</t>
  </si>
  <si>
    <t>Schedule - 3 (rev-1)</t>
  </si>
  <si>
    <t>Schedule-1(rev-1)</t>
  </si>
  <si>
    <t>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t>
  </si>
  <si>
    <t>SS-123</t>
  </si>
  <si>
    <t>Spec. No.:CC/NT/W-GIS/DOM/A04/24/01196</t>
  </si>
  <si>
    <t xml:space="preserve">SS-123:Extn. of 400/220kV Rajarhat GIS  </t>
  </si>
  <si>
    <r>
      <t xml:space="preserve">Specify type of Bidder
</t>
    </r>
    <r>
      <rPr>
        <i/>
        <sz val="12"/>
        <rFont val="Aptos"/>
        <family val="2"/>
      </rPr>
      <t>[Select from drop down menu]</t>
    </r>
  </si>
  <si>
    <t xml:space="preserve">AIS EQUIPMENT                           </t>
  </si>
  <si>
    <t xml:space="preserve">220KV GIS EQUIPMENT                     </t>
  </si>
  <si>
    <t xml:space="preserve">400KV GIS EQUIPMENT                     </t>
  </si>
  <si>
    <t xml:space="preserve">CRP                                     </t>
  </si>
  <si>
    <t xml:space="preserve">AUG of SAS                              </t>
  </si>
  <si>
    <t xml:space="preserve">ILLUMINTAION                            </t>
  </si>
  <si>
    <t xml:space="preserve">FIRE PROTECTION                         </t>
  </si>
  <si>
    <t xml:space="preserve">Power &amp; Control Cable                   </t>
  </si>
  <si>
    <t xml:space="preserve">INSULATOR STRING &amp; HARDWARE             </t>
  </si>
  <si>
    <t xml:space="preserve">400kV, 500MVA, 3Ph, ICT SPARES          </t>
  </si>
  <si>
    <t xml:space="preserve">400KV GIS MANDATORY SPARES              </t>
  </si>
  <si>
    <t xml:space="preserve">220KV GIS MANDATORY SPARES              </t>
  </si>
  <si>
    <t xml:space="preserve">AIS MANDATORY SPARES                    </t>
  </si>
  <si>
    <t xml:space="preserve">Non Standard Structures                 </t>
  </si>
  <si>
    <t>245kV, 1600 A, 50 kA, SF6 GIS ICT feederbay module as per Section-Project,Technical specification</t>
  </si>
  <si>
    <t>245 KV,3000 A, 50 KA SF6 GIS BUS BAR MODULE EXTENSION AS PERSECTION-PROJECT, TECHNICAL SPECIFICATION</t>
  </si>
  <si>
    <t>245KV,1600A, 50KA, SINGLE PHASE, SF6 GAS INSULATED BUS DUCT (GIB)OUTSIDE GIS HALL ALONGWITH ASSOCIATED SUPPORT STRUCTURE ETC. AS PERTECHNICAL SPECIFICATION</t>
  </si>
  <si>
    <t>420kV, 3150 A, 63 kA, SF6 GIS Tie baymodule(with PIR) as perSection-Project, Technicalspecification</t>
  </si>
  <si>
    <t>420KV, 3150A, 63KA GIS FUTURE LINE FEEDER BAY MODULE (WITH PIR) AS PERSECTION PROJECT, TECHNICAL SPECIFICATION</t>
  </si>
  <si>
    <t>400kV Transformer Protection Panel (For both HV &amp; MV side)-(withAutomation)</t>
  </si>
  <si>
    <t>220KV CIRCUIT BREAKER RELAY PANEL (WITH AUTOMATION)</t>
  </si>
  <si>
    <t>Erection Hardware for 220kV DM-type layout for GIS terminationarrangement-Transformer bay as per technical specification</t>
  </si>
  <si>
    <t>LIGHTING FIXTURE LED LUMINAIRES TYPE FL-1 AS PER TECH. SPECIFICATIONS</t>
  </si>
  <si>
    <t>15A, 240V: Outdoor Receptacle 2 pole, 3-pin modular (type RO)  as pertechnical specifications</t>
  </si>
  <si>
    <t>HVW spray system, Hydrant system and complete U/G &amp; O/G piping andaccessories etc. out side the pump house  for 500MVA , 400KV/220/33kV, 3-phase  Autotransformer</t>
  </si>
  <si>
    <t>220KV  TENSION INSULATOR STRING  AND ASSOCIATED HARDWARE FITTINGSWITHOUT TURN BUCKLE SUITABLE FOR TWIN CONDUCTOR</t>
  </si>
  <si>
    <t>220KV SUSPENSION INSULATOR STRING  AND ASSOCIATED HARDWARE FITTINGSWITH DROP CLAMP SUITABLE FOR TWIN CONDUCTOR</t>
  </si>
  <si>
    <t>400KV  TENSION INSULATOR STRING  AND ASSOCIATED HARDWARE FITTINGS WITHTURN BUCKLE SUITABLE FOR TWIN CONDUCTOR</t>
  </si>
  <si>
    <t>400KV SUSPENSION INSULATOR STRING  AND ASSOCIATED HARDWARE FITTINGSWITH DROP CLAMP SUITABLE FOR TWIN CONDUCTOR</t>
  </si>
  <si>
    <t>420KV, 1250A RIP BUSHING WITH METAL PARTS AND GASKETS</t>
  </si>
  <si>
    <t>245KV, 2000A RIP BUSHING WITH METAL PARTS AND GASKETS</t>
  </si>
  <si>
    <t>52KV, 800A RIP BUSHING WITH METAL PARTS AND GASKETS</t>
  </si>
  <si>
    <t>36kV, 2000A Bushing with metal parts andgaskets for Transformer</t>
  </si>
  <si>
    <t>SPARES INSULATING OIL TO BE HANDED OVER TO OWNER AFTER COMMISSIONING</t>
  </si>
  <si>
    <t xml:space="preserve">KL </t>
  </si>
  <si>
    <t>LOCAL OTI &amp; WTI WITH SENSING DEVICE FOR 400KV ICT</t>
  </si>
  <si>
    <t>Buchholz Relay (Main Tank) complete with float and  contacts forTransformer</t>
  </si>
  <si>
    <t>Pressure Relief Device for Transformer</t>
  </si>
  <si>
    <t>400KV GIS-ONE POLE OF 3150A CIRCUIT BREAKER WITH PIR WITH INTERRUPTER,MAIN CIRCUIT, ENCLOSURE AND OPERATING MECHANISM COMPLETE IN ALLRESPECT</t>
  </si>
  <si>
    <t>220KV GIS- CABLE CONNECTION ENCLOSURE WITH MAIN CIRCUIT</t>
  </si>
  <si>
    <t>Spare-420kV BPI</t>
  </si>
  <si>
    <t>Spare-245kV BPI</t>
  </si>
  <si>
    <t xml:space="preserve">SS-123:Extn. of 400/220kV Magarwada GIS </t>
  </si>
  <si>
    <t xml:space="preserve">GIS Portion- 420 kV GIS Equipments      </t>
  </si>
  <si>
    <t xml:space="preserve">GIS Portion- 245kV GIS Equipments       </t>
  </si>
  <si>
    <t xml:space="preserve">420 kV AIS equipments                   </t>
  </si>
  <si>
    <t xml:space="preserve">245kV AIS equipments                    </t>
  </si>
  <si>
    <t xml:space="preserve">Relay and Protection panel              </t>
  </si>
  <si>
    <t xml:space="preserve">Substation automation system            </t>
  </si>
  <si>
    <t xml:space="preserve">Ventilation System                      </t>
  </si>
  <si>
    <t xml:space="preserve">Power and Control Cables                </t>
  </si>
  <si>
    <t xml:space="preserve">Illumination(Indoor)                    </t>
  </si>
  <si>
    <t xml:space="preserve">Illumination(Outdoor)                   </t>
  </si>
  <si>
    <t xml:space="preserve">LT Switchgear                           </t>
  </si>
  <si>
    <t xml:space="preserve">Augumentation of VMS System             </t>
  </si>
  <si>
    <t xml:space="preserve">Mandatory spares                        </t>
  </si>
  <si>
    <t xml:space="preserve">GIS Portion-Mandatory Spares-400kV GIS  </t>
  </si>
  <si>
    <t xml:space="preserve">GIS Portion-Mandatory Spares-220kV GIS  </t>
  </si>
  <si>
    <t xml:space="preserve">NON STANDARD STRUCTURES (SUPPLY)        </t>
  </si>
  <si>
    <t>Erection Hardware for 400kV DM type layout for GIS terminationarrangement-Transformer bay as per technical specification</t>
  </si>
  <si>
    <t>Ventillation system for 220kV GIS Hall Ext</t>
  </si>
  <si>
    <t>HVW SPRAY SYSTEM, HYDRANT SYSTEM AND COMPLETE U/G &amp; O/G PIPING ANDACCESSORIES ETC. OUT SIDE THE PUMP HOUSE  FOR 400KV, 3-PHASEAUTOTRANSFORMER</t>
  </si>
  <si>
    <t>6Kg dry chemical powered type Portable Fire extinguisher</t>
  </si>
  <si>
    <t>Hydrant system, complete U/G piping and accessories etc. outside thePump House for 220kV GIS Building Extension.</t>
  </si>
  <si>
    <t>EXTENSION OF LT SWITCHGEAR AS PER TECHNICAL SPECIFICATION</t>
  </si>
  <si>
    <t xml:space="preserve">SS-123:Extn. of 400/220kV Magarwada GIS      </t>
  </si>
  <si>
    <t>Install-GIS Portion-420kV GIS equipments</t>
  </si>
  <si>
    <t>Install-GIS Portion-245kV GIS equipments</t>
  </si>
  <si>
    <t xml:space="preserve">Installation of 420 kV AIS equpments    </t>
  </si>
  <si>
    <t xml:space="preserve">Installation of 245 kV AIS equipments   </t>
  </si>
  <si>
    <t xml:space="preserve">Installation Relay and Protection panel </t>
  </si>
  <si>
    <t xml:space="preserve">Installation SAS                        </t>
  </si>
  <si>
    <t xml:space="preserve">Install of Erection Hardware            </t>
  </si>
  <si>
    <t xml:space="preserve">Installation Ventilation system         </t>
  </si>
  <si>
    <t>Installation of Power and Control Cables</t>
  </si>
  <si>
    <t xml:space="preserve">Installation of Illumination(Indoor)    </t>
  </si>
  <si>
    <t xml:space="preserve">Installation of Illumination(Outdoor)   </t>
  </si>
  <si>
    <t xml:space="preserve">Installation of Fire Protection System  </t>
  </si>
  <si>
    <t xml:space="preserve">Installation of LT Switchgear           </t>
  </si>
  <si>
    <t xml:space="preserve">Install AUG. of VMS System              </t>
  </si>
  <si>
    <t xml:space="preserve">NON STANDARD STRUCTURES (SERVICE)       </t>
  </si>
  <si>
    <t>245 kV,3000 A, 50 kA SF6 GIS Bus bar module Extension as per Section-Project, Technical specification</t>
  </si>
  <si>
    <t>245kV, 1600 A, 50 kA, SF6 GIS  ICT feeder bay module</t>
  </si>
  <si>
    <t>220kV Circuit Breaker Relay Panel (with Automation)</t>
  </si>
  <si>
    <t>400kV Transformer Protection Panel (For both HV &amp; MV side)-(with Automation)</t>
  </si>
  <si>
    <t>Erection Hardware for 400kV DM type layout for GIS termination arrangement-Transformer bay as per technical specification</t>
  </si>
  <si>
    <t>Erection Hardware for 220kV DM-type layout for GIS termination arrangement-Transformer bay as per specification</t>
  </si>
  <si>
    <t>HVW spray system, Hydrant system and complete U/G &amp; O/G piping and accessories etc. out side the pump house  for 400kV, 3-phaseAutotransformer</t>
  </si>
  <si>
    <t>Extension of LT Switchgear as per technical Specification</t>
  </si>
  <si>
    <t>Extension of 220 kV RCC GIS Building-All civil works as per drawing and specification complete, including-brickwork,finishing(external and internal), windows etc.Howevere, excavation,PCC, RCC and reinforcement shall be paid saparately as per BPS.</t>
  </si>
  <si>
    <t>All civil works as per drawing and specifications complete, including - brickwork, finishing (external and internal), windows etc.for AHU Room. However, excavation, PCC, RCC and reinforcement shall be paid separately as per BPS.</t>
  </si>
  <si>
    <t xml:space="preserve">Install-AIS EQUIPMENT                   </t>
  </si>
  <si>
    <t xml:space="preserve">Install-220KV GIS EQUIPMENT             </t>
  </si>
  <si>
    <t xml:space="preserve">Install-400KV GIS EQUIPMENT             </t>
  </si>
  <si>
    <t xml:space="preserve">Install-CRP                             </t>
  </si>
  <si>
    <t xml:space="preserve">Install-AUG of SAS                      </t>
  </si>
  <si>
    <t xml:space="preserve">Install-Erection Hardware               </t>
  </si>
  <si>
    <t xml:space="preserve">Install-Illumination                    </t>
  </si>
  <si>
    <t xml:space="preserve">Install-Fire Protection                 </t>
  </si>
  <si>
    <t xml:space="preserve">Install-LT switchgear                   </t>
  </si>
  <si>
    <t xml:space="preserve">Install-Insulator String &amp; Hardware     </t>
  </si>
  <si>
    <t xml:space="preserve">Install-VMS                             </t>
  </si>
  <si>
    <t xml:space="preserve">Non Standard Structures(Civil Works)    </t>
  </si>
  <si>
    <t xml:space="preserve">Install-CABLE                           </t>
  </si>
  <si>
    <t>245 kV ,1 phase Bus Post Insulators for Line Traps</t>
  </si>
  <si>
    <t>245kV,1600A, 50kA, Single phase, SF6 Gas Insulated Bus Duct (GIB) outside GIS Hall alongwith associated support structure etc. asper Technical Specification</t>
  </si>
  <si>
    <t>420kV, 3150A, 63kA GIS future line Feeder bay module (with PIR) as per section project, Technical specification</t>
  </si>
  <si>
    <t>420kV, 3150 A, 63 kA, SF6 GIS Tie bay module(with PIR) as per Section-Project, Technical specification</t>
  </si>
  <si>
    <t>Erection Hardware for 220kV DM type layout-Transformer bay as per technical specification</t>
  </si>
  <si>
    <t>15A, 240V: Outdoor Receptacle 2 pole, 3-pin modular (type RO)  as per technical specifications</t>
  </si>
  <si>
    <t>HVW spray system, Hydrant system and complete U/G &amp; O/G piping and accessories etc. out side the pump house  for 500MVA ,400KV/220/33 kV, 3-phase  Autotransformer</t>
  </si>
  <si>
    <t>220KV  TENSION INSULATOR STRING  AND ASSOCIATED HARDWARE FITTINGS WITHOUT TURN BUCKLE SUITABLE FOR TWIN CONDUCTOR</t>
  </si>
  <si>
    <t>220KV SUSPENSION INSULATOR STRING  AND ASSOCIATED HARDWARE FITTINGS WITH DROP CLAMP SUITABLE FOR TWIN CONDUCTOR</t>
  </si>
  <si>
    <t>400KV  TENSION INSULATOR STRING  AND ASSOCIATED HARDWARE FITTINGS WITH TURN BUCKLE SUITABLE FOR TWIN CONDUCTOR</t>
  </si>
  <si>
    <t>400KV SUSPENSION INSULATOR STRING  AND ASSOCIATED HARDWARE FITTINGS WITH DROP CLAMP SUITABLE FOR TWIN CONDUCTOR</t>
  </si>
  <si>
    <t>Supplying and erecting dewatering pumps-0.5 HP</t>
  </si>
  <si>
    <r>
      <t xml:space="preserve">Type Test Charges 
</t>
    </r>
    <r>
      <rPr>
        <sz val="10"/>
        <rFont val="Aptos"/>
        <family val="2"/>
      </rPr>
      <t>[Total of this Schedule is included in Schedule - 1 above.]</t>
    </r>
  </si>
  <si>
    <r>
      <t>Discount on lum-sum basis on total price quoted by us without GST.</t>
    </r>
    <r>
      <rPr>
        <sz val="11"/>
        <rFont val="Aptos"/>
        <family val="2"/>
      </rPr>
      <t xml:space="preserve"> 
[The discount shall be proportionately applicable on all the items of all the Schdules i.e. Sch-1 (without type test charges), Sch-2, Sch-3, Sch-4 &amp; Sch-7] </t>
    </r>
    <r>
      <rPr>
        <b/>
        <sz val="11"/>
        <rFont val="Aptos"/>
        <family val="2"/>
      </rPr>
      <t>In Rs.</t>
    </r>
  </si>
  <si>
    <r>
      <t>Discount on percent basis on total price quoted by us without GST.</t>
    </r>
    <r>
      <rPr>
        <sz val="11"/>
        <rFont val="Aptos"/>
        <family val="2"/>
      </rPr>
      <t xml:space="preserve"> [The discount shall be proportionately applicable on all the items of all the Schdules i.e. Sch-1 (without type test charges), Sch-2 , Sch-3, Sch-4 &amp; Sch-7] </t>
    </r>
    <r>
      <rPr>
        <b/>
        <sz val="11"/>
        <rFont val="Aptos"/>
        <family val="2"/>
      </rPr>
      <t>In Percent (%)</t>
    </r>
  </si>
  <si>
    <r>
      <t xml:space="preserve">Discount on lum-sum basis on the Schedules as given below : </t>
    </r>
    <r>
      <rPr>
        <sz val="11"/>
        <rFont val="Aptos"/>
        <family val="2"/>
      </rPr>
      <t xml:space="preserve">[The discount shall be proportionately applicable on all the relevent items of the respective Schdules.] </t>
    </r>
    <r>
      <rPr>
        <b/>
        <sz val="11"/>
        <rFont val="Aptos"/>
        <family val="2"/>
      </rPr>
      <t>In Rs.</t>
    </r>
  </si>
  <si>
    <r>
      <t>Discount on percent basis on the Schedules as given below :</t>
    </r>
    <r>
      <rPr>
        <sz val="11"/>
        <rFont val="Aptos"/>
        <family val="2"/>
      </rPr>
      <t xml:space="preserve"> [The discount shall be proportionately applicable on all the relevent items of the respective Schdules.] </t>
    </r>
    <r>
      <rPr>
        <b/>
        <sz val="11"/>
        <rFont val="Aptos"/>
        <family val="2"/>
      </rPr>
      <t>In Percent (%)</t>
    </r>
  </si>
  <si>
    <r>
      <t>Bid Form 2</t>
    </r>
    <r>
      <rPr>
        <b/>
        <vertAlign val="superscript"/>
        <sz val="11"/>
        <rFont val="Aptos"/>
        <family val="2"/>
      </rPr>
      <t>nd</t>
    </r>
    <r>
      <rPr>
        <b/>
        <sz val="11"/>
        <rFont val="Aptos"/>
        <family val="2"/>
      </rPr>
      <t xml:space="preserve"> Envelope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</si>
</sst>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8">
    <font>
      <sz val="11"/>
      <color theme="1"/>
      <name val="Calibri"/>
      <family val="2"/>
      <scheme val="minor"/>
    </font>
    <font>
      <b/>
      <sz val="12"/>
      <name val="Book Antiqua"/>
      <family val="1"/>
    </font>
    <font>
      <sz val="12"/>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8"/>
      <name val="Book Antiqua"/>
      <family val="1"/>
    </font>
    <font>
      <b/>
      <sz val="12"/>
      <color indexed="10"/>
      <name val="Book Antiqua"/>
      <family val="1"/>
    </font>
    <font>
      <sz val="12"/>
      <name val="Times New Roman"/>
      <family val="1"/>
    </font>
    <font>
      <b/>
      <sz val="10"/>
      <name val="Arial"/>
      <family val="2"/>
    </font>
    <font>
      <b/>
      <sz val="11"/>
      <name val="Arial"/>
      <family val="2"/>
    </font>
    <font>
      <b/>
      <u/>
      <sz val="10"/>
      <name val="Arial"/>
      <family val="2"/>
    </font>
    <font>
      <sz val="11"/>
      <color theme="1"/>
      <name val="Calibri"/>
      <family val="2"/>
      <scheme val="minor"/>
    </font>
    <font>
      <sz val="12"/>
      <color theme="1"/>
      <name val="Book Antiqua"/>
      <family val="1"/>
    </font>
    <font>
      <sz val="10"/>
      <name val="Aptos"/>
      <family val="2"/>
    </font>
    <font>
      <b/>
      <sz val="12"/>
      <name val="Aptos"/>
      <family val="2"/>
    </font>
    <font>
      <sz val="12"/>
      <name val="Aptos"/>
      <family val="2"/>
    </font>
    <font>
      <sz val="18"/>
      <color indexed="10"/>
      <name val="Aptos"/>
      <family val="2"/>
    </font>
    <font>
      <b/>
      <sz val="12"/>
      <color indexed="16"/>
      <name val="Aptos"/>
      <family val="2"/>
    </font>
    <font>
      <b/>
      <u/>
      <sz val="12"/>
      <name val="Aptos"/>
      <family val="2"/>
    </font>
    <font>
      <b/>
      <sz val="12"/>
      <color indexed="12"/>
      <name val="Aptos"/>
      <family val="2"/>
    </font>
    <font>
      <b/>
      <sz val="16"/>
      <color indexed="12"/>
      <name val="Aptos"/>
      <family val="2"/>
    </font>
    <font>
      <b/>
      <sz val="10"/>
      <name val="Aptos"/>
      <family val="2"/>
    </font>
    <font>
      <sz val="11"/>
      <color indexed="12"/>
      <name val="Aptos"/>
      <family val="2"/>
    </font>
    <font>
      <sz val="12"/>
      <color indexed="9"/>
      <name val="Aptos"/>
      <family val="2"/>
    </font>
    <font>
      <b/>
      <sz val="12"/>
      <color indexed="9"/>
      <name val="Aptos"/>
      <family val="2"/>
    </font>
    <font>
      <i/>
      <sz val="12"/>
      <name val="Aptos"/>
      <family val="2"/>
    </font>
    <font>
      <sz val="12"/>
      <color indexed="8"/>
      <name val="Aptos"/>
      <family val="2"/>
    </font>
    <font>
      <sz val="12"/>
      <color theme="1"/>
      <name val="Aptos"/>
      <family val="2"/>
    </font>
    <font>
      <b/>
      <sz val="12"/>
      <color indexed="10"/>
      <name val="Aptos"/>
      <family val="2"/>
    </font>
    <font>
      <sz val="12"/>
      <color theme="0"/>
      <name val="Aptos"/>
      <family val="2"/>
    </font>
    <font>
      <b/>
      <sz val="16"/>
      <name val="Aptos"/>
      <family val="2"/>
    </font>
    <font>
      <b/>
      <sz val="11"/>
      <name val="Aptos"/>
      <family val="2"/>
    </font>
    <font>
      <b/>
      <sz val="12"/>
      <color theme="1"/>
      <name val="Aptos"/>
      <family val="2"/>
    </font>
    <font>
      <b/>
      <i/>
      <sz val="12"/>
      <name val="Aptos"/>
      <family val="2"/>
    </font>
    <font>
      <i/>
      <sz val="12"/>
      <color theme="1"/>
      <name val="Aptos"/>
      <family val="2"/>
    </font>
    <font>
      <b/>
      <sz val="14"/>
      <color rgb="FF000000"/>
      <name val="Aptos"/>
      <family val="2"/>
    </font>
    <font>
      <b/>
      <sz val="14"/>
      <color rgb="FFFF0000"/>
      <name val="Aptos"/>
      <family val="2"/>
    </font>
    <font>
      <i/>
      <sz val="12"/>
      <color indexed="9"/>
      <name val="Aptos"/>
      <family val="2"/>
    </font>
    <font>
      <b/>
      <sz val="11"/>
      <color theme="1"/>
      <name val="Aptos"/>
      <family val="2"/>
    </font>
    <font>
      <b/>
      <sz val="13"/>
      <name val="Aptos"/>
      <family val="2"/>
    </font>
    <font>
      <b/>
      <sz val="14"/>
      <name val="Aptos"/>
      <family val="2"/>
    </font>
    <font>
      <b/>
      <sz val="14"/>
      <color theme="1"/>
      <name val="Aptos"/>
      <family val="2"/>
    </font>
    <font>
      <sz val="14"/>
      <color indexed="9"/>
      <name val="Aptos"/>
      <family val="2"/>
    </font>
    <font>
      <sz val="14"/>
      <name val="Aptos"/>
      <family val="2"/>
    </font>
    <font>
      <sz val="11"/>
      <color theme="1"/>
      <name val="Aptos"/>
      <family val="2"/>
    </font>
    <font>
      <sz val="11"/>
      <name val="Aptos"/>
      <family val="2"/>
    </font>
    <font>
      <b/>
      <i/>
      <sz val="11"/>
      <name val="Aptos"/>
      <family val="2"/>
    </font>
    <font>
      <b/>
      <i/>
      <sz val="11"/>
      <color theme="1"/>
      <name val="Aptos"/>
      <family val="2"/>
    </font>
    <font>
      <i/>
      <sz val="11"/>
      <name val="Aptos"/>
      <family val="2"/>
    </font>
    <font>
      <sz val="11"/>
      <color indexed="9"/>
      <name val="Aptos"/>
      <family val="2"/>
    </font>
    <font>
      <b/>
      <sz val="11"/>
      <color indexed="9"/>
      <name val="Aptos"/>
      <family val="2"/>
    </font>
    <font>
      <b/>
      <sz val="12"/>
      <color theme="0"/>
      <name val="Aptos"/>
      <family val="2"/>
    </font>
    <font>
      <sz val="12"/>
      <color indexed="56"/>
      <name val="Aptos"/>
      <family val="2"/>
    </font>
    <font>
      <sz val="12"/>
      <color indexed="10"/>
      <name val="Aptos"/>
      <family val="2"/>
    </font>
    <font>
      <sz val="13"/>
      <name val="Aptos"/>
      <family val="2"/>
    </font>
    <font>
      <b/>
      <sz val="20"/>
      <color theme="1"/>
      <name val="Aptos"/>
      <family val="2"/>
    </font>
    <font>
      <b/>
      <sz val="11"/>
      <color indexed="10"/>
      <name val="Aptos"/>
      <family val="2"/>
    </font>
    <font>
      <b/>
      <sz val="11"/>
      <color indexed="8"/>
      <name val="Aptos"/>
      <family val="2"/>
    </font>
    <font>
      <b/>
      <sz val="12"/>
      <color indexed="8"/>
      <name val="Aptos"/>
      <family val="2"/>
    </font>
    <font>
      <b/>
      <sz val="10"/>
      <color indexed="8"/>
      <name val="Aptos"/>
      <family val="2"/>
    </font>
    <font>
      <sz val="10"/>
      <color indexed="8"/>
      <name val="Aptos"/>
      <family val="2"/>
    </font>
    <font>
      <sz val="10"/>
      <color indexed="9"/>
      <name val="Aptos"/>
      <family val="2"/>
    </font>
    <font>
      <sz val="11"/>
      <color indexed="8"/>
      <name val="Aptos"/>
      <family val="2"/>
    </font>
    <font>
      <b/>
      <i/>
      <sz val="13"/>
      <color indexed="8"/>
      <name val="Aptos"/>
      <family val="2"/>
    </font>
    <font>
      <b/>
      <vertAlign val="superscript"/>
      <sz val="11"/>
      <name val="Aptos"/>
      <family val="2"/>
    </font>
    <font>
      <b/>
      <u/>
      <sz val="13"/>
      <name val="Aptos"/>
      <family val="2"/>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9" fillId="0" borderId="0"/>
    <xf numFmtId="9" fontId="9"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0" fontId="10" fillId="0" borderId="0"/>
    <xf numFmtId="164" fontId="33" fillId="0" borderId="0" applyFont="0" applyFill="0" applyBorder="0" applyAlignment="0" applyProtection="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3" fontId="11" fillId="0" borderId="1">
      <alignment horizontal="right"/>
    </xf>
    <xf numFmtId="173" fontId="11" fillId="0" borderId="1">
      <alignment horizontal="right"/>
    </xf>
    <xf numFmtId="0" fontId="12" fillId="0" borderId="2" applyNumberFormat="0" applyAlignment="0" applyProtection="0">
      <alignment horizontal="left" vertical="center"/>
    </xf>
    <xf numFmtId="0" fontId="12" fillId="0" borderId="3">
      <alignment horizontal="left" vertical="center"/>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37" fontId="14" fillId="0" borderId="0"/>
    <xf numFmtId="37" fontId="14" fillId="0" borderId="0"/>
    <xf numFmtId="174" fontId="5" fillId="0" borderId="0"/>
    <xf numFmtId="174" fontId="5"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3" fillId="0" borderId="0"/>
    <xf numFmtId="0" fontId="5" fillId="0" borderId="0"/>
    <xf numFmtId="0" fontId="8" fillId="0" borderId="0"/>
    <xf numFmtId="0" fontId="5"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3" fillId="0" borderId="0"/>
    <xf numFmtId="0" fontId="5" fillId="0" borderId="0"/>
    <xf numFmtId="0" fontId="5"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8" fillId="0" borderId="0"/>
    <xf numFmtId="0" fontId="8" fillId="0" borderId="0"/>
    <xf numFmtId="0" fontId="3" fillId="0" borderId="0"/>
    <xf numFmtId="0" fontId="8" fillId="0" borderId="0"/>
    <xf numFmtId="0" fontId="5" fillId="0" borderId="0"/>
    <xf numFmtId="0" fontId="3" fillId="0" borderId="0" applyNumberFormat="0" applyFill="0" applyBorder="0" applyProtection="0">
      <alignment vertical="top"/>
    </xf>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 fillId="0" borderId="0"/>
    <xf numFmtId="0" fontId="3" fillId="0" borderId="0"/>
    <xf numFmtId="0" fontId="3" fillId="0" borderId="0"/>
    <xf numFmtId="0" fontId="5" fillId="0" borderId="0"/>
    <xf numFmtId="0" fontId="5" fillId="0" borderId="0" applyNumberFormat="0" applyFont="0" applyFill="0" applyBorder="0" applyAlignment="0" applyProtection="0">
      <alignment vertical="top"/>
    </xf>
    <xf numFmtId="0" fontId="5" fillId="0" borderId="0"/>
    <xf numFmtId="0" fontId="5" fillId="2" borderId="4" applyNumberFormat="0" applyFont="0" applyAlignment="0" applyProtection="0"/>
    <xf numFmtId="0" fontId="5" fillId="2" borderId="4" applyNumberFormat="0" applyFont="0" applyAlignment="0" applyProtection="0"/>
    <xf numFmtId="0" fontId="15" fillId="0" borderId="0" applyFont="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cellStyleXfs>
  <cellXfs count="99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3" fillId="0" borderId="0" xfId="0" applyFont="1" applyAlignment="1" applyProtection="1">
      <alignment horizontal="justify"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vertical="center"/>
      <protection hidden="1"/>
    </xf>
    <xf numFmtId="0" fontId="6" fillId="0" borderId="0" xfId="115" applyFont="1" applyAlignment="1" applyProtection="1">
      <alignment vertical="center"/>
      <protection hidden="1"/>
    </xf>
    <xf numFmtId="0" fontId="3" fillId="0" borderId="0" xfId="115" applyAlignment="1" applyProtection="1">
      <alignment vertical="center"/>
      <protection hidden="1"/>
    </xf>
    <xf numFmtId="0" fontId="3" fillId="0" borderId="0" xfId="114" applyFont="1" applyAlignment="1" applyProtection="1">
      <alignment vertical="center"/>
      <protection hidden="1"/>
    </xf>
    <xf numFmtId="0" fontId="6" fillId="0" borderId="0" xfId="117" applyFont="1" applyAlignment="1" applyProtection="1">
      <alignment vertical="top"/>
      <protection hidden="1"/>
    </xf>
    <xf numFmtId="0" fontId="3" fillId="0" borderId="0" xfId="114" applyFont="1" applyAlignment="1" applyProtection="1">
      <alignment vertical="top"/>
      <protection hidden="1"/>
    </xf>
    <xf numFmtId="0" fontId="3" fillId="0" borderId="0" xfId="73" applyAlignment="1">
      <alignment vertical="top"/>
    </xf>
    <xf numFmtId="0" fontId="2" fillId="0" borderId="0" xfId="73" applyFont="1" applyAlignment="1" applyProtection="1">
      <alignment vertical="center"/>
      <protection hidden="1"/>
    </xf>
    <xf numFmtId="0" fontId="3" fillId="0" borderId="0" xfId="73"/>
    <xf numFmtId="0" fontId="3" fillId="0" borderId="0" xfId="73" applyAlignment="1">
      <alignment wrapText="1"/>
    </xf>
    <xf numFmtId="0" fontId="22" fillId="0" borderId="0" xfId="73" applyFont="1" applyAlignment="1" applyProtection="1">
      <alignment horizontal="center" vertical="center" wrapText="1"/>
      <protection hidden="1"/>
    </xf>
    <xf numFmtId="0" fontId="12" fillId="0" borderId="0" xfId="73" applyFont="1" applyProtection="1">
      <protection hidden="1"/>
    </xf>
    <xf numFmtId="0" fontId="3" fillId="0" borderId="0" xfId="73" applyProtection="1">
      <protection hidden="1"/>
    </xf>
    <xf numFmtId="0" fontId="3" fillId="0" borderId="0" xfId="73" applyAlignment="1" applyProtection="1">
      <alignment vertical="top"/>
      <protection hidden="1"/>
    </xf>
    <xf numFmtId="0" fontId="2" fillId="0" borderId="0" xfId="73" applyFont="1" applyAlignment="1" applyProtection="1">
      <alignment vertical="top"/>
      <protection hidden="1"/>
    </xf>
    <xf numFmtId="0" fontId="18" fillId="0" borderId="0" xfId="73" applyFont="1" applyProtection="1">
      <protection hidden="1"/>
    </xf>
    <xf numFmtId="0" fontId="6"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18"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19"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19" fillId="0" borderId="0" xfId="73" applyFont="1" applyAlignment="1" applyProtection="1">
      <alignment horizontal="center" vertical="top"/>
      <protection hidden="1"/>
    </xf>
    <xf numFmtId="0" fontId="3" fillId="0" borderId="0" xfId="114" applyFont="1" applyAlignment="1" applyProtection="1">
      <alignment horizontal="left" vertical="center" indent="1"/>
      <protection hidden="1"/>
    </xf>
    <xf numFmtId="0" fontId="3" fillId="0" borderId="0" xfId="117" applyFont="1" applyAlignment="1" applyProtection="1">
      <alignment horizontal="left" vertical="center" indent="1"/>
      <protection hidden="1"/>
    </xf>
    <xf numFmtId="176" fontId="6" fillId="0" borderId="17" xfId="114" applyNumberFormat="1" applyFont="1" applyBorder="1" applyAlignment="1" applyProtection="1">
      <alignment horizontal="center" vertical="center"/>
      <protection hidden="1"/>
    </xf>
    <xf numFmtId="10" fontId="6" fillId="3" borderId="9" xfId="114" applyNumberFormat="1" applyFont="1" applyFill="1" applyBorder="1" applyAlignment="1" applyProtection="1">
      <alignment horizontal="right" vertical="center" wrapText="1"/>
      <protection locked="0"/>
    </xf>
    <xf numFmtId="0" fontId="2" fillId="0" borderId="0" xfId="114" applyFont="1" applyAlignment="1" applyProtection="1">
      <alignment vertical="top"/>
      <protection hidden="1"/>
    </xf>
    <xf numFmtId="0" fontId="6" fillId="0" borderId="5" xfId="73" applyFont="1" applyBorder="1" applyAlignment="1" applyProtection="1">
      <alignment horizontal="left" vertical="center"/>
      <protection hidden="1"/>
    </xf>
    <xf numFmtId="0" fontId="6" fillId="0" borderId="5" xfId="73" applyFont="1" applyBorder="1" applyAlignment="1" applyProtection="1">
      <alignment horizontal="justify" vertical="center"/>
      <protection hidden="1"/>
    </xf>
    <xf numFmtId="0" fontId="6" fillId="0" borderId="5" xfId="73" applyFont="1" applyBorder="1" applyAlignment="1" applyProtection="1">
      <alignment vertical="center"/>
      <protection hidden="1"/>
    </xf>
    <xf numFmtId="0" fontId="6" fillId="0" borderId="5" xfId="73" applyFont="1" applyBorder="1" applyAlignment="1" applyProtection="1">
      <alignment horizontal="right" vertical="center"/>
      <protection hidden="1"/>
    </xf>
    <xf numFmtId="0" fontId="3" fillId="0" borderId="0" xfId="73" applyAlignment="1" applyProtection="1">
      <alignment horizontal="left" vertical="center"/>
      <protection hidden="1"/>
    </xf>
    <xf numFmtId="0" fontId="3" fillId="0" borderId="0" xfId="73" applyAlignment="1" applyProtection="1">
      <alignment horizontal="justify" vertical="center"/>
      <protection hidden="1"/>
    </xf>
    <xf numFmtId="0" fontId="3" fillId="0" borderId="0" xfId="73" applyAlignment="1" applyProtection="1">
      <alignment vertical="center"/>
      <protection hidden="1"/>
    </xf>
    <xf numFmtId="0" fontId="1" fillId="0" borderId="0" xfId="114" applyFont="1" applyAlignment="1" applyProtection="1">
      <alignment horizontal="center" vertical="top"/>
      <protection hidden="1"/>
    </xf>
    <xf numFmtId="0" fontId="6" fillId="0" borderId="0" xfId="114" applyFont="1" applyAlignment="1" applyProtection="1">
      <alignment vertical="center"/>
      <protection hidden="1"/>
    </xf>
    <xf numFmtId="0" fontId="6" fillId="0" borderId="5" xfId="114" applyFont="1" applyBorder="1" applyAlignment="1" applyProtection="1">
      <alignment vertical="top"/>
      <protection hidden="1"/>
    </xf>
    <xf numFmtId="0" fontId="6" fillId="0" borderId="17" xfId="114" applyFont="1" applyBorder="1" applyAlignment="1" applyProtection="1">
      <alignment horizontal="justify" vertical="top" wrapText="1"/>
      <protection hidden="1"/>
    </xf>
    <xf numFmtId="0" fontId="6" fillId="0" borderId="17" xfId="114" applyFont="1" applyBorder="1" applyAlignment="1" applyProtection="1">
      <alignment horizontal="right" vertical="center" wrapText="1" indent="5"/>
      <protection hidden="1"/>
    </xf>
    <xf numFmtId="4" fontId="6" fillId="0" borderId="17" xfId="114" applyNumberFormat="1" applyFont="1" applyBorder="1" applyAlignment="1" applyProtection="1">
      <alignment vertical="center"/>
      <protection hidden="1"/>
    </xf>
    <xf numFmtId="0" fontId="3" fillId="0" borderId="18" xfId="114" applyFont="1" applyBorder="1" applyAlignment="1" applyProtection="1">
      <alignment horizontal="center" vertical="center"/>
      <protection hidden="1"/>
    </xf>
    <xf numFmtId="0" fontId="3" fillId="0" borderId="18" xfId="114" applyFont="1" applyBorder="1" applyAlignment="1" applyProtection="1">
      <alignment vertical="center"/>
      <protection hidden="1"/>
    </xf>
    <xf numFmtId="4" fontId="6" fillId="0" borderId="17" xfId="114" applyNumberFormat="1" applyFont="1" applyBorder="1" applyAlignment="1" applyProtection="1">
      <alignment horizontal="right" vertical="center"/>
      <protection hidden="1"/>
    </xf>
    <xf numFmtId="4" fontId="6" fillId="0" borderId="17" xfId="114" applyNumberFormat="1" applyFont="1" applyBorder="1" applyAlignment="1" applyProtection="1">
      <alignment vertical="center" wrapText="1"/>
      <protection hidden="1"/>
    </xf>
    <xf numFmtId="3" fontId="20" fillId="0" borderId="18" xfId="114" applyNumberFormat="1" applyFont="1" applyBorder="1" applyAlignment="1" applyProtection="1">
      <alignment horizontal="justify" vertical="center" wrapText="1"/>
      <protection hidden="1"/>
    </xf>
    <xf numFmtId="0" fontId="3" fillId="0" borderId="0" xfId="114" applyFont="1" applyAlignment="1" applyProtection="1">
      <alignment horizontal="center" vertical="center"/>
      <protection hidden="1"/>
    </xf>
    <xf numFmtId="0" fontId="6" fillId="0" borderId="0" xfId="114" applyFont="1" applyAlignment="1" applyProtection="1">
      <alignment horizontal="left" vertical="center" wrapText="1"/>
      <protection hidden="1"/>
    </xf>
    <xf numFmtId="0" fontId="6" fillId="0" borderId="0" xfId="114" applyFont="1" applyAlignment="1" applyProtection="1">
      <alignment horizontal="right" vertical="center" wrapText="1"/>
      <protection hidden="1"/>
    </xf>
    <xf numFmtId="0" fontId="6" fillId="0" borderId="0" xfId="73" applyFont="1" applyAlignment="1" applyProtection="1">
      <alignment horizontal="right" vertical="center"/>
      <protection hidden="1"/>
    </xf>
    <xf numFmtId="0" fontId="6" fillId="0" borderId="0" xfId="73" applyFont="1" applyAlignment="1" applyProtection="1">
      <alignment horizontal="justify" vertical="center"/>
      <protection hidden="1"/>
    </xf>
    <xf numFmtId="0" fontId="3" fillId="0" borderId="0" xfId="73" applyAlignment="1" applyProtection="1">
      <alignment horizontal="right" vertical="center"/>
      <protection hidden="1"/>
    </xf>
    <xf numFmtId="0" fontId="3" fillId="0" borderId="0" xfId="73" applyAlignment="1" applyProtection="1">
      <alignment horizontal="center" vertical="center"/>
      <protection hidden="1"/>
    </xf>
    <xf numFmtId="0" fontId="3" fillId="0" borderId="0" xfId="114" applyFont="1" applyAlignment="1" applyProtection="1">
      <alignment horizontal="right" vertical="center"/>
      <protection hidden="1"/>
    </xf>
    <xf numFmtId="0" fontId="3"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3" fillId="0" borderId="18" xfId="114" applyFont="1" applyBorder="1" applyAlignment="1" applyProtection="1">
      <alignment horizontal="justify" vertical="top" wrapText="1"/>
      <protection hidden="1"/>
    </xf>
    <xf numFmtId="0" fontId="3" fillId="0" borderId="0" xfId="73" applyAlignment="1" applyProtection="1">
      <alignment horizontal="center" vertical="center" wrapText="1"/>
      <protection hidden="1"/>
    </xf>
    <xf numFmtId="0" fontId="3" fillId="0" borderId="0" xfId="73" applyAlignment="1" applyProtection="1">
      <alignment vertical="center" wrapText="1"/>
      <protection hidden="1"/>
    </xf>
    <xf numFmtId="0" fontId="6" fillId="0" borderId="9" xfId="73" applyFont="1" applyBorder="1" applyAlignment="1" applyProtection="1">
      <alignment horizontal="center" vertical="center" wrapText="1"/>
      <protection hidden="1"/>
    </xf>
    <xf numFmtId="0" fontId="6" fillId="0" borderId="9" xfId="73" applyFont="1" applyBorder="1" applyAlignment="1" applyProtection="1">
      <alignment vertical="center" wrapText="1"/>
      <protection hidden="1"/>
    </xf>
    <xf numFmtId="0" fontId="6" fillId="0" borderId="9" xfId="73" quotePrefix="1" applyFont="1" applyBorder="1" applyAlignment="1" applyProtection="1">
      <alignment horizontal="center" vertical="center"/>
      <protection hidden="1"/>
    </xf>
    <xf numFmtId="0" fontId="3" fillId="0" borderId="9" xfId="73" applyBorder="1" applyAlignment="1" applyProtection="1">
      <alignment horizontal="center" vertical="center"/>
      <protection hidden="1"/>
    </xf>
    <xf numFmtId="0" fontId="3" fillId="3" borderId="9" xfId="73" applyFill="1" applyBorder="1" applyAlignment="1" applyProtection="1">
      <alignment vertical="center"/>
      <protection locked="0"/>
    </xf>
    <xf numFmtId="2" fontId="3" fillId="3" borderId="9" xfId="73" applyNumberFormat="1" applyFill="1" applyBorder="1" applyAlignment="1" applyProtection="1">
      <alignment vertical="center"/>
      <protection locked="0"/>
    </xf>
    <xf numFmtId="10" fontId="3" fillId="3" borderId="9" xfId="73" applyNumberFormat="1" applyFill="1" applyBorder="1" applyAlignment="1" applyProtection="1">
      <alignment vertical="center"/>
      <protection locked="0"/>
    </xf>
    <xf numFmtId="0" fontId="3" fillId="0" borderId="9" xfId="73" applyBorder="1" applyAlignment="1" applyProtection="1">
      <alignment vertical="center"/>
      <protection hidden="1"/>
    </xf>
    <xf numFmtId="0" fontId="6" fillId="0" borderId="9" xfId="73" applyFont="1" applyBorder="1" applyAlignment="1" applyProtection="1">
      <alignment horizontal="center" vertical="center"/>
      <protection hidden="1"/>
    </xf>
    <xf numFmtId="0" fontId="6" fillId="0" borderId="9" xfId="73" applyFont="1" applyBorder="1" applyAlignment="1" applyProtection="1">
      <alignment vertical="center"/>
      <protection hidden="1"/>
    </xf>
    <xf numFmtId="0" fontId="6" fillId="0" borderId="0" xfId="73" applyFont="1" applyProtection="1">
      <protection hidden="1"/>
    </xf>
    <xf numFmtId="0" fontId="6" fillId="0" borderId="0" xfId="73" quotePrefix="1" applyFont="1" applyAlignment="1" applyProtection="1">
      <alignment horizontal="center" vertical="center"/>
      <protection hidden="1"/>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27"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28"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4" fillId="0" borderId="0" xfId="0" applyNumberFormat="1" applyFont="1" applyAlignment="1">
      <alignment horizontal="center" vertical="top"/>
    </xf>
    <xf numFmtId="0" fontId="4" fillId="0" borderId="0" xfId="0" applyFont="1" applyAlignment="1">
      <alignment horizontal="justify" vertical="top"/>
    </xf>
    <xf numFmtId="0" fontId="4" fillId="0" borderId="0" xfId="0" applyFont="1" applyAlignment="1">
      <alignment vertical="top"/>
    </xf>
    <xf numFmtId="0" fontId="6" fillId="0" borderId="12" xfId="0" applyFont="1" applyBorder="1" applyAlignment="1" applyProtection="1">
      <alignment horizontal="justify" vertical="center"/>
      <protection hidden="1"/>
    </xf>
    <xf numFmtId="175" fontId="6"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6" fillId="4" borderId="9" xfId="0" applyFont="1" applyFill="1" applyBorder="1" applyAlignment="1">
      <alignment horizontal="left" vertical="top" wrapText="1"/>
    </xf>
    <xf numFmtId="4" fontId="6" fillId="4" borderId="9" xfId="8" applyNumberFormat="1" applyFont="1" applyFill="1" applyBorder="1" applyAlignment="1" applyProtection="1">
      <alignment vertical="top" wrapText="1"/>
    </xf>
    <xf numFmtId="0" fontId="3" fillId="0" borderId="0" xfId="115" applyAlignment="1" applyProtection="1">
      <alignment horizontal="left" vertical="center" wrapText="1"/>
      <protection hidden="1"/>
    </xf>
    <xf numFmtId="0" fontId="6" fillId="0" borderId="0" xfId="0" applyFont="1" applyAlignment="1" applyProtection="1">
      <alignment horizontal="left" vertical="center" wrapText="1"/>
      <protection hidden="1"/>
    </xf>
    <xf numFmtId="2" fontId="6" fillId="0" borderId="0" xfId="115" applyNumberFormat="1" applyFont="1" applyAlignment="1" applyProtection="1">
      <alignment vertical="center"/>
      <protection hidden="1"/>
    </xf>
    <xf numFmtId="0" fontId="26" fillId="0" borderId="0" xfId="115" applyFont="1" applyAlignment="1" applyProtection="1">
      <alignment horizontal="justify" vertical="center" wrapText="1"/>
      <protection hidden="1"/>
    </xf>
    <xf numFmtId="0" fontId="26" fillId="0" borderId="0" xfId="115" applyFont="1" applyAlignment="1" applyProtection="1">
      <alignment horizontal="center" vertical="center" wrapText="1"/>
      <protection hidden="1"/>
    </xf>
    <xf numFmtId="0" fontId="6" fillId="0" borderId="0" xfId="0" applyFont="1" applyAlignment="1" applyProtection="1">
      <alignment horizontal="justify" vertical="center"/>
      <protection hidden="1"/>
    </xf>
    <xf numFmtId="175" fontId="6"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6" fillId="0" borderId="0" xfId="115" applyFont="1" applyAlignment="1" applyProtection="1">
      <alignment horizontal="left" vertical="top"/>
      <protection hidden="1"/>
    </xf>
    <xf numFmtId="0" fontId="3" fillId="0" borderId="0" xfId="115" applyAlignment="1" applyProtection="1">
      <alignment vertical="top" wrapText="1"/>
      <protection hidden="1"/>
    </xf>
    <xf numFmtId="0" fontId="3" fillId="0" borderId="0" xfId="115" applyAlignment="1" applyProtection="1">
      <alignment horizontal="left" vertical="center"/>
      <protection hidden="1"/>
    </xf>
    <xf numFmtId="0" fontId="0" fillId="0" borderId="9" xfId="0" applyBorder="1"/>
    <xf numFmtId="0" fontId="3" fillId="0" borderId="0" xfId="73" applyAlignment="1">
      <alignment horizontal="left"/>
    </xf>
    <xf numFmtId="0" fontId="34" fillId="0" borderId="0" xfId="0" applyFont="1"/>
    <xf numFmtId="0" fontId="5" fillId="0" borderId="0" xfId="110" applyAlignment="1" applyProtection="1">
      <alignment vertical="center"/>
      <protection hidden="1"/>
    </xf>
    <xf numFmtId="0" fontId="5" fillId="0" borderId="48" xfId="110" applyBorder="1" applyAlignment="1" applyProtection="1">
      <alignment vertical="center"/>
      <protection hidden="1"/>
    </xf>
    <xf numFmtId="0" fontId="5" fillId="0" borderId="49" xfId="110" applyBorder="1" applyAlignment="1" applyProtection="1">
      <alignment vertical="center"/>
      <protection hidden="1"/>
    </xf>
    <xf numFmtId="0" fontId="5" fillId="0" borderId="0" xfId="110" applyProtection="1">
      <protection hidden="1"/>
    </xf>
    <xf numFmtId="0" fontId="5" fillId="0" borderId="48" xfId="110" applyBorder="1" applyProtection="1">
      <protection hidden="1"/>
    </xf>
    <xf numFmtId="0" fontId="5" fillId="0" borderId="49" xfId="110" applyBorder="1" applyAlignment="1" applyProtection="1">
      <alignment horizontal="center" vertical="center"/>
      <protection hidden="1"/>
    </xf>
    <xf numFmtId="0" fontId="5" fillId="0" borderId="48" xfId="110" applyBorder="1" applyAlignment="1" applyProtection="1">
      <alignment horizontal="left" vertical="center"/>
      <protection hidden="1"/>
    </xf>
    <xf numFmtId="0" fontId="5" fillId="0" borderId="0" xfId="110" applyAlignment="1" applyProtection="1">
      <alignment horizontal="left"/>
      <protection hidden="1"/>
    </xf>
    <xf numFmtId="0" fontId="5" fillId="0" borderId="49" xfId="110" applyBorder="1" applyAlignment="1" applyProtection="1">
      <alignment horizontal="center"/>
      <protection hidden="1"/>
    </xf>
    <xf numFmtId="0" fontId="5" fillId="0" borderId="49" xfId="110" applyBorder="1" applyProtection="1">
      <protection hidden="1"/>
    </xf>
    <xf numFmtId="0" fontId="5" fillId="0" borderId="49" xfId="119" applyBorder="1" applyAlignment="1" applyProtection="1">
      <alignment horizontal="center"/>
      <protection hidden="1"/>
    </xf>
    <xf numFmtId="0" fontId="5" fillId="0" borderId="0" xfId="119" applyProtection="1">
      <protection hidden="1"/>
    </xf>
    <xf numFmtId="0" fontId="5" fillId="0" borderId="50" xfId="119" applyBorder="1" applyAlignment="1" applyProtection="1">
      <alignment horizontal="center"/>
      <protection hidden="1"/>
    </xf>
    <xf numFmtId="0" fontId="5" fillId="0" borderId="51" xfId="119" applyBorder="1" applyProtection="1">
      <protection hidden="1"/>
    </xf>
    <xf numFmtId="0" fontId="5" fillId="0" borderId="51" xfId="110" applyBorder="1" applyProtection="1">
      <protection hidden="1"/>
    </xf>
    <xf numFmtId="0" fontId="5" fillId="0" borderId="52" xfId="110" applyBorder="1" applyProtection="1">
      <protection hidden="1"/>
    </xf>
    <xf numFmtId="0" fontId="5" fillId="0" borderId="35" xfId="74" applyBorder="1" applyProtection="1">
      <protection hidden="1"/>
    </xf>
    <xf numFmtId="0" fontId="5" fillId="0" borderId="53" xfId="74" applyBorder="1" applyProtection="1">
      <protection hidden="1"/>
    </xf>
    <xf numFmtId="0" fontId="5" fillId="0" borderId="54" xfId="74" applyBorder="1" applyProtection="1">
      <protection hidden="1"/>
    </xf>
    <xf numFmtId="0" fontId="5" fillId="0" borderId="0" xfId="74" applyProtection="1">
      <protection hidden="1"/>
    </xf>
    <xf numFmtId="0" fontId="5" fillId="0" borderId="49" xfId="74" applyBorder="1" applyProtection="1">
      <protection hidden="1"/>
    </xf>
    <xf numFmtId="0" fontId="5" fillId="0" borderId="48" xfId="74" applyBorder="1" applyProtection="1">
      <protection hidden="1"/>
    </xf>
    <xf numFmtId="0" fontId="30" fillId="0" borderId="0" xfId="74" applyFont="1" applyAlignment="1" applyProtection="1">
      <alignment horizontal="center"/>
      <protection hidden="1"/>
    </xf>
    <xf numFmtId="0" fontId="5" fillId="0" borderId="25" xfId="74" applyBorder="1" applyProtection="1">
      <protection hidden="1"/>
    </xf>
    <xf numFmtId="0" fontId="5" fillId="0" borderId="17" xfId="74" applyBorder="1" applyProtection="1">
      <protection hidden="1"/>
    </xf>
    <xf numFmtId="0" fontId="5" fillId="0" borderId="19" xfId="74" applyBorder="1" applyProtection="1">
      <protection hidden="1"/>
    </xf>
    <xf numFmtId="0" fontId="5" fillId="0" borderId="18" xfId="74" applyBorder="1" applyProtection="1">
      <protection hidden="1"/>
    </xf>
    <xf numFmtId="0" fontId="32" fillId="0" borderId="0" xfId="74" applyFont="1" applyProtection="1">
      <protection hidden="1"/>
    </xf>
    <xf numFmtId="0" fontId="3" fillId="0" borderId="0" xfId="73" applyAlignment="1" applyProtection="1">
      <alignment horizontal="left" vertical="top" wrapText="1"/>
      <protection hidden="1"/>
    </xf>
    <xf numFmtId="0" fontId="35" fillId="0" borderId="9" xfId="114" quotePrefix="1" applyFont="1" applyBorder="1" applyAlignment="1" applyProtection="1">
      <alignment horizontal="left" vertical="center"/>
      <protection hidden="1"/>
    </xf>
    <xf numFmtId="0" fontId="36" fillId="0" borderId="9" xfId="114" applyFont="1" applyBorder="1" applyAlignment="1" applyProtection="1">
      <alignment vertical="center"/>
      <protection hidden="1"/>
    </xf>
    <xf numFmtId="0" fontId="37" fillId="0" borderId="0" xfId="114" applyFont="1" applyAlignment="1" applyProtection="1">
      <alignment vertical="center"/>
      <protection hidden="1"/>
    </xf>
    <xf numFmtId="0" fontId="37" fillId="0" borderId="0" xfId="114" applyFont="1" applyProtection="1">
      <protection hidden="1"/>
    </xf>
    <xf numFmtId="0" fontId="35" fillId="0" borderId="0" xfId="114" applyFont="1" applyProtection="1">
      <protection hidden="1"/>
    </xf>
    <xf numFmtId="0" fontId="41" fillId="0" borderId="11" xfId="114" applyFont="1" applyBorder="1" applyAlignment="1" applyProtection="1">
      <alignment horizontal="center" vertical="center"/>
      <protection hidden="1"/>
    </xf>
    <xf numFmtId="0" fontId="35" fillId="0" borderId="0" xfId="114" applyFont="1"/>
    <xf numFmtId="0" fontId="35" fillId="0" borderId="0" xfId="114" quotePrefix="1" applyFont="1" applyAlignment="1">
      <alignment horizontal="left"/>
    </xf>
    <xf numFmtId="0" fontId="35" fillId="0" borderId="0" xfId="114" applyFont="1" applyAlignment="1" applyProtection="1">
      <alignment vertical="center"/>
      <protection hidden="1"/>
    </xf>
    <xf numFmtId="0" fontId="37" fillId="0" borderId="12" xfId="114" applyFont="1" applyBorder="1" applyAlignment="1" applyProtection="1">
      <alignment vertical="center"/>
      <protection hidden="1"/>
    </xf>
    <xf numFmtId="0" fontId="37" fillId="0" borderId="13" xfId="114" applyFont="1" applyBorder="1" applyAlignment="1" applyProtection="1">
      <alignment vertical="center"/>
      <protection hidden="1"/>
    </xf>
    <xf numFmtId="0" fontId="37" fillId="0" borderId="14" xfId="114" applyFont="1" applyBorder="1" applyAlignment="1" applyProtection="1">
      <alignment vertical="center"/>
      <protection hidden="1"/>
    </xf>
    <xf numFmtId="0" fontId="37" fillId="0" borderId="5" xfId="114" applyFont="1" applyBorder="1" applyAlignment="1" applyProtection="1">
      <alignment vertical="center"/>
      <protection hidden="1"/>
    </xf>
    <xf numFmtId="0" fontId="37" fillId="0" borderId="15" xfId="114" applyFont="1" applyBorder="1" applyAlignment="1" applyProtection="1">
      <alignment vertical="center"/>
      <protection hidden="1"/>
    </xf>
    <xf numFmtId="0" fontId="43" fillId="0" borderId="13" xfId="114" applyFont="1" applyBorder="1" applyAlignment="1" applyProtection="1">
      <alignment vertical="center"/>
      <protection hidden="1"/>
    </xf>
    <xf numFmtId="0" fontId="35" fillId="0" borderId="13" xfId="114" applyFont="1" applyBorder="1" applyAlignment="1" applyProtection="1">
      <alignment vertical="center"/>
      <protection hidden="1"/>
    </xf>
    <xf numFmtId="0" fontId="42" fillId="0" borderId="0" xfId="114" applyFont="1" applyAlignment="1" applyProtection="1">
      <alignment vertical="center"/>
      <protection hidden="1"/>
    </xf>
    <xf numFmtId="0" fontId="35" fillId="0" borderId="15" xfId="114" applyFont="1" applyBorder="1" applyAlignment="1" applyProtection="1">
      <alignment vertical="center"/>
      <protection hidden="1"/>
    </xf>
    <xf numFmtId="0" fontId="37" fillId="0" borderId="16" xfId="114" applyFont="1" applyBorder="1" applyAlignment="1" applyProtection="1">
      <alignment vertical="center"/>
      <protection hidden="1"/>
    </xf>
    <xf numFmtId="0" fontId="41" fillId="0" borderId="0" xfId="109" applyFont="1" applyAlignment="1" applyProtection="1">
      <alignment horizontal="center" vertical="center" wrapText="1"/>
      <protection hidden="1"/>
    </xf>
    <xf numFmtId="0" fontId="37" fillId="0" borderId="0" xfId="109" applyFont="1" applyAlignment="1" applyProtection="1">
      <alignment vertical="center"/>
      <protection hidden="1"/>
    </xf>
    <xf numFmtId="0" fontId="45" fillId="0" borderId="0" xfId="109" applyFont="1" applyAlignment="1" applyProtection="1">
      <alignment vertical="center"/>
      <protection hidden="1"/>
    </xf>
    <xf numFmtId="0" fontId="36" fillId="0" borderId="0" xfId="109" applyFont="1" applyAlignment="1" applyProtection="1">
      <alignment horizontal="center" vertical="center"/>
      <protection hidden="1"/>
    </xf>
    <xf numFmtId="0" fontId="37" fillId="0" borderId="0" xfId="109" applyFont="1" applyProtection="1">
      <protection hidden="1"/>
    </xf>
    <xf numFmtId="0" fontId="37" fillId="0" borderId="0" xfId="109" applyFont="1" applyAlignment="1" applyProtection="1">
      <alignment horizontal="center"/>
      <protection hidden="1"/>
    </xf>
    <xf numFmtId="0" fontId="45" fillId="0" borderId="0" xfId="109" applyFont="1" applyProtection="1">
      <protection hidden="1"/>
    </xf>
    <xf numFmtId="0" fontId="37" fillId="0" borderId="0" xfId="109" applyFont="1" applyAlignment="1" applyProtection="1">
      <alignment horizontal="justify" vertical="center"/>
      <protection hidden="1"/>
    </xf>
    <xf numFmtId="0" fontId="37" fillId="0" borderId="0" xfId="109" applyFont="1" applyAlignment="1" applyProtection="1">
      <alignment horizontal="center" vertical="center"/>
      <protection hidden="1"/>
    </xf>
    <xf numFmtId="0" fontId="37" fillId="0" borderId="9" xfId="109" applyFont="1" applyBorder="1" applyAlignment="1" applyProtection="1">
      <alignment horizontal="center" vertical="center"/>
      <protection hidden="1"/>
    </xf>
    <xf numFmtId="0" fontId="48" fillId="0" borderId="0" xfId="109" applyFont="1" applyAlignment="1" applyProtection="1">
      <alignment horizontal="center" vertical="center"/>
      <protection hidden="1"/>
    </xf>
    <xf numFmtId="0" fontId="37" fillId="0" borderId="24" xfId="109" applyFont="1" applyBorder="1" applyAlignment="1" applyProtection="1">
      <alignment vertical="center" wrapText="1"/>
      <protection hidden="1"/>
    </xf>
    <xf numFmtId="0" fontId="37" fillId="0" borderId="3" xfId="109" applyFont="1" applyBorder="1" applyAlignment="1" applyProtection="1">
      <alignment vertical="center" wrapText="1"/>
      <protection hidden="1"/>
    </xf>
    <xf numFmtId="0" fontId="37" fillId="0" borderId="0" xfId="109" applyFont="1" applyAlignment="1" applyProtection="1">
      <alignment vertical="center" wrapText="1"/>
      <protection hidden="1"/>
    </xf>
    <xf numFmtId="0" fontId="37" fillId="0" borderId="30" xfId="109" applyFont="1" applyBorder="1" applyAlignment="1" applyProtection="1">
      <alignment vertical="center"/>
      <protection hidden="1"/>
    </xf>
    <xf numFmtId="0" fontId="37" fillId="0" borderId="31" xfId="109" applyFont="1" applyBorder="1" applyAlignment="1" applyProtection="1">
      <alignment vertical="center"/>
      <protection hidden="1"/>
    </xf>
    <xf numFmtId="0" fontId="37" fillId="0" borderId="11" xfId="109" applyFont="1" applyBorder="1" applyAlignment="1" applyProtection="1">
      <alignment vertical="center"/>
      <protection hidden="1"/>
    </xf>
    <xf numFmtId="0" fontId="37" fillId="0" borderId="20" xfId="109" applyFont="1" applyBorder="1" applyAlignment="1" applyProtection="1">
      <alignment vertical="center"/>
      <protection hidden="1"/>
    </xf>
    <xf numFmtId="0" fontId="37" fillId="0" borderId="32" xfId="109" applyFont="1" applyBorder="1" applyAlignment="1" applyProtection="1">
      <alignment vertical="center"/>
      <protection hidden="1"/>
    </xf>
    <xf numFmtId="0" fontId="37" fillId="0" borderId="33" xfId="109" applyFont="1" applyBorder="1" applyAlignment="1" applyProtection="1">
      <alignment vertical="center"/>
      <protection hidden="1"/>
    </xf>
    <xf numFmtId="0" fontId="37" fillId="0" borderId="14" xfId="109" applyFont="1" applyBorder="1" applyAlignment="1" applyProtection="1">
      <alignment vertical="center"/>
      <protection hidden="1"/>
    </xf>
    <xf numFmtId="0" fontId="37" fillId="0" borderId="15" xfId="109" applyFont="1" applyBorder="1" applyAlignment="1" applyProtection="1">
      <alignment vertical="center"/>
      <protection hidden="1"/>
    </xf>
    <xf numFmtId="0" fontId="37" fillId="0" borderId="24" xfId="109" applyFont="1" applyBorder="1" applyAlignment="1" applyProtection="1">
      <alignment horizontal="left" vertical="center"/>
      <protection hidden="1"/>
    </xf>
    <xf numFmtId="0" fontId="37" fillId="0" borderId="25" xfId="109" applyFont="1" applyBorder="1" applyAlignment="1" applyProtection="1">
      <alignment horizontal="left" vertical="center"/>
      <protection hidden="1"/>
    </xf>
    <xf numFmtId="0" fontId="37" fillId="0" borderId="0" xfId="109" applyFont="1" applyAlignment="1" applyProtection="1">
      <alignment horizontal="left" vertical="center"/>
      <protection hidden="1"/>
    </xf>
    <xf numFmtId="1" fontId="37" fillId="3" borderId="17" xfId="109" applyNumberFormat="1" applyFont="1" applyFill="1" applyBorder="1" applyAlignment="1" applyProtection="1">
      <alignment horizontal="center" vertical="center"/>
      <protection locked="0"/>
    </xf>
    <xf numFmtId="175" fontId="49" fillId="3" borderId="17" xfId="109" applyNumberFormat="1" applyFont="1" applyFill="1" applyBorder="1" applyAlignment="1" applyProtection="1">
      <alignment horizontal="center" vertical="center"/>
      <protection locked="0"/>
    </xf>
    <xf numFmtId="0" fontId="50" fillId="0" borderId="0" xfId="109" applyFont="1" applyAlignment="1" applyProtection="1">
      <alignment horizontal="center" vertical="center"/>
      <protection hidden="1"/>
    </xf>
    <xf numFmtId="0" fontId="36" fillId="0" borderId="5" xfId="0" applyFont="1" applyBorder="1" applyAlignment="1">
      <alignment horizontal="left" vertical="center"/>
    </xf>
    <xf numFmtId="0" fontId="36" fillId="0" borderId="5" xfId="0" applyFont="1" applyBorder="1" applyAlignment="1">
      <alignment horizontal="center" vertical="center"/>
    </xf>
    <xf numFmtId="0" fontId="36"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52" fillId="0" borderId="5" xfId="0" applyFont="1" applyBorder="1" applyAlignment="1">
      <alignment horizontal="center" vertical="center"/>
    </xf>
    <xf numFmtId="0" fontId="49"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46" fillId="0" borderId="0" xfId="0" applyFont="1" applyAlignment="1">
      <alignment horizontal="center" vertical="center"/>
    </xf>
    <xf numFmtId="0" fontId="36" fillId="0" borderId="0" xfId="115" applyFont="1" applyAlignment="1">
      <alignment horizontal="left" vertical="center"/>
    </xf>
    <xf numFmtId="0" fontId="37" fillId="0" borderId="0" xfId="115" applyFont="1" applyAlignment="1">
      <alignment horizontal="center" vertical="center" wrapText="1"/>
    </xf>
    <xf numFmtId="0" fontId="37" fillId="0" borderId="0" xfId="0" applyFont="1" applyAlignment="1">
      <alignment horizontal="left" vertical="center"/>
    </xf>
    <xf numFmtId="0" fontId="36" fillId="0" borderId="0" xfId="115" applyFont="1" applyAlignment="1">
      <alignment horizontal="center" vertical="center"/>
    </xf>
    <xf numFmtId="0" fontId="49" fillId="0" borderId="9" xfId="0" applyFont="1" applyBorder="1" applyAlignment="1">
      <alignment horizontal="center" vertical="center"/>
    </xf>
    <xf numFmtId="0" fontId="36" fillId="0" borderId="0" xfId="0" applyFont="1" applyAlignment="1">
      <alignment vertical="center" wrapText="1"/>
    </xf>
    <xf numFmtId="0" fontId="37" fillId="0" borderId="0" xfId="115" applyFont="1" applyAlignment="1">
      <alignment horizontal="left" vertical="center"/>
    </xf>
    <xf numFmtId="0" fontId="51" fillId="0" borderId="0" xfId="0" applyFont="1" applyAlignment="1">
      <alignment horizontal="center" vertical="center"/>
    </xf>
    <xf numFmtId="0" fontId="49" fillId="0" borderId="0" xfId="0" applyFont="1" applyAlignment="1">
      <alignment horizontal="left" vertical="center"/>
    </xf>
    <xf numFmtId="0" fontId="37" fillId="0" borderId="0" xfId="115" applyFont="1" applyAlignment="1">
      <alignment horizontal="center" vertical="center"/>
    </xf>
    <xf numFmtId="0" fontId="36" fillId="0" borderId="0" xfId="0" applyFont="1" applyAlignment="1">
      <alignment horizontal="left" vertical="center" wrapText="1"/>
    </xf>
    <xf numFmtId="0" fontId="54" fillId="0" borderId="0" xfId="0" applyFont="1" applyAlignment="1">
      <alignment horizontal="center" vertical="center"/>
    </xf>
    <xf numFmtId="0" fontId="36" fillId="0" borderId="9"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9" xfId="0" applyFont="1" applyBorder="1" applyAlignment="1">
      <alignment horizontal="center" vertical="center"/>
    </xf>
    <xf numFmtId="0" fontId="55" fillId="0" borderId="9" xfId="0" applyFont="1" applyBorder="1" applyAlignment="1">
      <alignment horizontal="center" vertical="center"/>
    </xf>
    <xf numFmtId="0" fontId="55" fillId="0" borderId="9" xfId="0" applyFont="1" applyBorder="1" applyAlignment="1">
      <alignment horizontal="center" vertical="center" wrapText="1"/>
    </xf>
    <xf numFmtId="0" fontId="55" fillId="0" borderId="24" xfId="0" applyFont="1" applyBorder="1" applyAlignment="1">
      <alignment horizontal="center" vertical="center"/>
    </xf>
    <xf numFmtId="0" fontId="55" fillId="0" borderId="25" xfId="0" applyFont="1" applyBorder="1" applyAlignment="1">
      <alignment horizontal="center" vertical="center"/>
    </xf>
    <xf numFmtId="0" fontId="56" fillId="0" borderId="0" xfId="0" applyFont="1" applyAlignment="1">
      <alignment horizontal="center" vertical="center"/>
    </xf>
    <xf numFmtId="0" fontId="36" fillId="13" borderId="18" xfId="0" applyFont="1" applyFill="1" applyBorder="1" applyAlignment="1">
      <alignment horizontal="center" vertical="top"/>
    </xf>
    <xf numFmtId="0" fontId="57" fillId="13" borderId="0" xfId="0" applyFont="1" applyFill="1" applyAlignment="1">
      <alignment vertical="top"/>
    </xf>
    <xf numFmtId="0" fontId="55" fillId="13" borderId="9" xfId="0" applyFont="1" applyFill="1" applyBorder="1" applyAlignment="1">
      <alignment horizontal="center" vertical="top"/>
    </xf>
    <xf numFmtId="0" fontId="55" fillId="13" borderId="9" xfId="0" applyFont="1" applyFill="1" applyBorder="1" applyAlignment="1">
      <alignment horizontal="center" vertical="top" wrapText="1"/>
    </xf>
    <xf numFmtId="0" fontId="55" fillId="13" borderId="14" xfId="0" applyFont="1" applyFill="1" applyBorder="1" applyAlignment="1">
      <alignment horizontal="center" vertical="top"/>
    </xf>
    <xf numFmtId="0" fontId="55" fillId="13" borderId="15" xfId="0" applyFont="1" applyFill="1" applyBorder="1" applyAlignment="1">
      <alignment horizontal="center" vertical="top"/>
    </xf>
    <xf numFmtId="0" fontId="55" fillId="13" borderId="18" xfId="0" applyFont="1" applyFill="1" applyBorder="1" applyAlignment="1">
      <alignment horizontal="center" vertical="top"/>
    </xf>
    <xf numFmtId="0" fontId="56" fillId="13" borderId="0" xfId="0" applyFont="1" applyFill="1" applyAlignment="1">
      <alignment horizontal="center" vertical="top"/>
    </xf>
    <xf numFmtId="0" fontId="37" fillId="0" borderId="18" xfId="0" applyFont="1" applyBorder="1" applyAlignment="1">
      <alignment horizontal="center" vertical="center"/>
    </xf>
    <xf numFmtId="0" fontId="49" fillId="0" borderId="9" xfId="0" applyFont="1" applyBorder="1" applyAlignment="1">
      <alignment horizontal="center" vertical="top" wrapText="1"/>
    </xf>
    <xf numFmtId="0" fontId="49" fillId="3" borderId="14" xfId="109" applyFont="1" applyFill="1" applyBorder="1" applyAlignment="1" applyProtection="1">
      <alignment vertical="top" wrapText="1"/>
      <protection locked="0"/>
    </xf>
    <xf numFmtId="10" fontId="37" fillId="0" borderId="18" xfId="111" applyNumberFormat="1" applyFont="1" applyFill="1" applyBorder="1" applyAlignment="1" applyProtection="1">
      <alignment horizontal="center" vertical="top" wrapText="1"/>
      <protection locked="0" hidden="1"/>
    </xf>
    <xf numFmtId="0" fontId="49" fillId="0" borderId="9" xfId="0" applyFont="1" applyBorder="1" applyAlignment="1">
      <alignment vertical="top" wrapText="1"/>
    </xf>
    <xf numFmtId="164" fontId="49" fillId="3" borderId="18" xfId="8" applyFont="1" applyFill="1" applyBorder="1" applyAlignment="1" applyProtection="1">
      <alignment horizontal="right" vertical="top" wrapText="1"/>
      <protection locked="0"/>
    </xf>
    <xf numFmtId="164" fontId="49" fillId="9" borderId="9" xfId="8" applyFont="1" applyFill="1" applyBorder="1" applyAlignment="1" applyProtection="1">
      <alignment horizontal="right" vertical="top" wrapText="1"/>
    </xf>
    <xf numFmtId="0" fontId="49" fillId="0" borderId="9" xfId="0" applyFont="1" applyBorder="1" applyAlignment="1" applyProtection="1">
      <alignment horizontal="right" vertical="center"/>
      <protection locked="0"/>
    </xf>
    <xf numFmtId="2" fontId="49" fillId="0" borderId="9" xfId="0" applyNumberFormat="1" applyFont="1" applyBorder="1" applyAlignment="1" applyProtection="1">
      <alignment horizontal="right" vertical="center"/>
      <protection locked="0"/>
    </xf>
    <xf numFmtId="43" fontId="49" fillId="0" borderId="0" xfId="0" applyNumberFormat="1" applyFont="1" applyAlignment="1">
      <alignment horizontal="center" vertical="center"/>
    </xf>
    <xf numFmtId="0" fontId="37" fillId="0" borderId="9" xfId="0" applyFont="1" applyBorder="1" applyAlignment="1">
      <alignment horizontal="center" vertical="center"/>
    </xf>
    <xf numFmtId="0" fontId="49" fillId="3" borderId="24" xfId="109" applyFont="1" applyFill="1" applyBorder="1" applyAlignment="1" applyProtection="1">
      <alignment vertical="top" wrapText="1"/>
      <protection locked="0"/>
    </xf>
    <xf numFmtId="0" fontId="49" fillId="9" borderId="9" xfId="0" applyFont="1" applyFill="1" applyBorder="1" applyAlignment="1">
      <alignment horizontal="center" vertical="top" wrapText="1"/>
    </xf>
    <xf numFmtId="0" fontId="49" fillId="9" borderId="9" xfId="0" applyFont="1" applyFill="1" applyBorder="1" applyAlignment="1">
      <alignment vertical="top" wrapText="1"/>
    </xf>
    <xf numFmtId="0" fontId="49" fillId="9" borderId="9" xfId="0" applyFont="1" applyFill="1" applyBorder="1" applyAlignment="1" applyProtection="1">
      <alignment horizontal="right" vertical="center"/>
      <protection locked="0"/>
    </xf>
    <xf numFmtId="2" fontId="49" fillId="9" borderId="9" xfId="0" applyNumberFormat="1" applyFont="1" applyFill="1" applyBorder="1" applyAlignment="1" applyProtection="1">
      <alignment horizontal="right" vertical="center"/>
      <protection locked="0"/>
    </xf>
    <xf numFmtId="43" fontId="49" fillId="9" borderId="0" xfId="0" applyNumberFormat="1" applyFont="1" applyFill="1" applyAlignment="1">
      <alignment horizontal="center" vertical="center"/>
    </xf>
    <xf numFmtId="0" fontId="49" fillId="9" borderId="0" xfId="0" applyFont="1" applyFill="1" applyAlignment="1">
      <alignment horizontal="center" vertical="center"/>
    </xf>
    <xf numFmtId="0" fontId="37" fillId="13" borderId="18" xfId="0" applyFont="1" applyFill="1" applyBorder="1" applyAlignment="1">
      <alignment horizontal="center" vertical="center"/>
    </xf>
    <xf numFmtId="4" fontId="36" fillId="12" borderId="9" xfId="8" applyNumberFormat="1" applyFont="1" applyFill="1" applyBorder="1" applyAlignment="1" applyProtection="1">
      <alignment horizontal="right" vertical="center"/>
    </xf>
    <xf numFmtId="164" fontId="49" fillId="0" borderId="9" xfId="8" applyFont="1" applyBorder="1" applyAlignment="1">
      <alignment horizontal="right" vertical="center"/>
    </xf>
    <xf numFmtId="164" fontId="54" fillId="0" borderId="9" xfId="8" applyFont="1" applyBorder="1" applyAlignment="1">
      <alignment horizontal="right" vertical="center"/>
    </xf>
    <xf numFmtId="164" fontId="49" fillId="0" borderId="9" xfId="8" applyFont="1" applyBorder="1" applyAlignment="1" applyProtection="1">
      <alignment horizontal="right" vertical="center"/>
      <protection locked="0"/>
    </xf>
    <xf numFmtId="4" fontId="54" fillId="0" borderId="9" xfId="8" applyNumberFormat="1" applyFont="1" applyBorder="1" applyAlignment="1" applyProtection="1">
      <alignment horizontal="right" vertical="center"/>
      <protection locked="0"/>
    </xf>
    <xf numFmtId="164" fontId="54" fillId="0" borderId="9" xfId="8" applyFont="1" applyBorder="1" applyAlignment="1" applyProtection="1">
      <alignment horizontal="right" vertical="center"/>
      <protection locked="0"/>
    </xf>
    <xf numFmtId="0" fontId="49" fillId="0" borderId="0" xfId="0" applyFont="1" applyAlignment="1" applyProtection="1">
      <alignment horizontal="center" vertical="center"/>
      <protection locked="0"/>
    </xf>
    <xf numFmtId="0" fontId="49" fillId="0" borderId="0" xfId="0" applyFont="1" applyAlignment="1">
      <alignment horizontal="center" vertical="center" wrapText="1"/>
    </xf>
    <xf numFmtId="0" fontId="49" fillId="0" borderId="0" xfId="0" applyFont="1" applyAlignment="1">
      <alignment vertical="center"/>
    </xf>
    <xf numFmtId="0" fontId="49" fillId="0" borderId="0" xfId="0" applyFont="1" applyAlignment="1">
      <alignment horizontal="right" vertical="center"/>
    </xf>
    <xf numFmtId="0" fontId="36" fillId="0" borderId="5" xfId="0" applyFont="1" applyBorder="1" applyAlignment="1">
      <alignment vertical="center"/>
    </xf>
    <xf numFmtId="0" fontId="36" fillId="0" borderId="5" xfId="0" applyFont="1" applyBorder="1" applyAlignment="1">
      <alignment horizontal="left" vertical="center" wrapText="1"/>
    </xf>
    <xf numFmtId="0" fontId="36" fillId="0" borderId="5" xfId="0" applyFont="1" applyBorder="1" applyAlignment="1">
      <alignment vertical="center" wrapText="1"/>
    </xf>
    <xf numFmtId="0" fontId="58" fillId="0" borderId="5" xfId="0" applyFont="1" applyBorder="1" applyAlignment="1">
      <alignment horizontal="right" vertical="center" wrapText="1"/>
    </xf>
    <xf numFmtId="0" fontId="45" fillId="0" borderId="0" xfId="0" applyFont="1" applyAlignment="1">
      <alignment vertical="center" wrapText="1"/>
    </xf>
    <xf numFmtId="0" fontId="37" fillId="0" borderId="0" xfId="0" applyFont="1" applyAlignment="1">
      <alignment vertical="center" wrapText="1"/>
    </xf>
    <xf numFmtId="0" fontId="37" fillId="0" borderId="0" xfId="0" applyFont="1" applyAlignment="1">
      <alignment horizontal="left" vertical="center" wrapText="1"/>
    </xf>
    <xf numFmtId="0" fontId="45" fillId="0" borderId="0" xfId="0" applyFont="1" applyAlignment="1">
      <alignment horizontal="left" vertical="center" wrapText="1"/>
    </xf>
    <xf numFmtId="0" fontId="45" fillId="0" borderId="0" xfId="0" applyFont="1" applyAlignment="1">
      <alignment horizontal="center" vertical="center" wrapText="1"/>
    </xf>
    <xf numFmtId="0" fontId="37" fillId="0" borderId="0" xfId="111" applyNumberFormat="1" applyFont="1" applyFill="1" applyBorder="1" applyAlignment="1" applyProtection="1">
      <alignment horizontal="center" vertical="center" wrapText="1"/>
    </xf>
    <xf numFmtId="0" fontId="37" fillId="0" borderId="0" xfId="111" applyNumberFormat="1" applyFont="1" applyFill="1" applyBorder="1" applyAlignment="1" applyProtection="1">
      <alignment horizontal="left" vertical="center" wrapText="1"/>
    </xf>
    <xf numFmtId="0" fontId="37" fillId="0" borderId="0" xfId="111" applyNumberFormat="1" applyFont="1" applyFill="1" applyBorder="1" applyAlignment="1" applyProtection="1">
      <alignment vertical="center" wrapText="1"/>
    </xf>
    <xf numFmtId="0" fontId="36" fillId="0" borderId="0" xfId="115" applyFont="1" applyAlignment="1">
      <alignment vertical="center"/>
    </xf>
    <xf numFmtId="0" fontId="37" fillId="0" borderId="0" xfId="115" applyFont="1" applyAlignment="1">
      <alignment vertical="center" wrapText="1"/>
    </xf>
    <xf numFmtId="0" fontId="46" fillId="0" borderId="0" xfId="0" applyFont="1" applyAlignment="1">
      <alignment vertical="center" wrapText="1"/>
    </xf>
    <xf numFmtId="0" fontId="37" fillId="0" borderId="0" xfId="115" applyFont="1" applyAlignment="1" applyProtection="1">
      <alignment vertical="center" wrapText="1"/>
      <protection hidden="1"/>
    </xf>
    <xf numFmtId="0" fontId="36" fillId="0" borderId="0" xfId="115" applyFont="1" applyAlignment="1" applyProtection="1">
      <alignment horizontal="left" vertical="center" wrapText="1"/>
      <protection hidden="1"/>
    </xf>
    <xf numFmtId="0" fontId="36" fillId="0" borderId="0" xfId="115" applyFont="1" applyAlignment="1" applyProtection="1">
      <alignment horizontal="center" vertical="center" wrapText="1"/>
      <protection hidden="1"/>
    </xf>
    <xf numFmtId="0" fontId="36" fillId="0" borderId="6" xfId="111" applyNumberFormat="1" applyFont="1" applyFill="1" applyBorder="1" applyAlignment="1" applyProtection="1">
      <alignment vertical="center" wrapText="1"/>
    </xf>
    <xf numFmtId="0" fontId="36" fillId="0" borderId="10" xfId="111" applyNumberFormat="1" applyFont="1" applyFill="1" applyBorder="1" applyAlignment="1" applyProtection="1">
      <alignment vertical="center" wrapText="1"/>
    </xf>
    <xf numFmtId="0" fontId="36" fillId="0" borderId="7" xfId="111" applyNumberFormat="1" applyFont="1" applyFill="1" applyBorder="1" applyAlignment="1" applyProtection="1">
      <alignment horizontal="center" vertical="center" wrapText="1"/>
    </xf>
    <xf numFmtId="0" fontId="36" fillId="0" borderId="8" xfId="111" applyNumberFormat="1" applyFont="1" applyFill="1" applyBorder="1" applyAlignment="1" applyProtection="1">
      <alignment horizontal="center" vertical="center" wrapText="1"/>
    </xf>
    <xf numFmtId="0" fontId="59" fillId="0" borderId="0" xfId="0" applyFont="1" applyAlignment="1">
      <alignment vertical="center" wrapText="1"/>
    </xf>
    <xf numFmtId="0" fontId="47" fillId="0" borderId="0" xfId="0" applyFont="1" applyAlignment="1">
      <alignment vertical="center" wrapText="1"/>
    </xf>
    <xf numFmtId="0" fontId="55" fillId="13" borderId="9" xfId="0" applyFont="1" applyFill="1" applyBorder="1" applyAlignment="1">
      <alignment horizontal="center" vertical="center" wrapText="1"/>
    </xf>
    <xf numFmtId="0" fontId="55" fillId="13" borderId="25" xfId="0" applyFont="1" applyFill="1" applyBorder="1" applyAlignment="1">
      <alignment horizontal="center" vertical="center" wrapText="1"/>
    </xf>
    <xf numFmtId="0" fontId="59" fillId="13" borderId="0" xfId="0" applyFont="1" applyFill="1" applyAlignment="1">
      <alignment vertical="center" wrapText="1"/>
    </xf>
    <xf numFmtId="0" fontId="47" fillId="13" borderId="0" xfId="0" applyFont="1" applyFill="1" applyAlignment="1">
      <alignment vertical="center" wrapText="1"/>
    </xf>
    <xf numFmtId="0" fontId="37" fillId="0" borderId="9" xfId="111" applyNumberFormat="1" applyFont="1" applyFill="1" applyBorder="1" applyAlignment="1" applyProtection="1">
      <alignment horizontal="center" vertical="center" wrapText="1"/>
    </xf>
    <xf numFmtId="164" fontId="49" fillId="0" borderId="9" xfId="8" applyFont="1" applyFill="1" applyBorder="1" applyAlignment="1" applyProtection="1">
      <alignment horizontal="right" vertical="top" wrapText="1"/>
    </xf>
    <xf numFmtId="0" fontId="37" fillId="10" borderId="9" xfId="111" applyNumberFormat="1" applyFont="1" applyFill="1" applyBorder="1" applyAlignment="1" applyProtection="1">
      <alignment horizontal="center" vertical="center" wrapText="1"/>
      <protection locked="0"/>
    </xf>
    <xf numFmtId="0" fontId="49" fillId="10" borderId="9" xfId="0" applyFont="1" applyFill="1" applyBorder="1" applyAlignment="1">
      <alignment vertical="center" wrapText="1"/>
    </xf>
    <xf numFmtId="0" fontId="49" fillId="10" borderId="9" xfId="0" applyFont="1" applyFill="1" applyBorder="1" applyAlignment="1">
      <alignment horizontal="left" vertical="center" wrapText="1"/>
    </xf>
    <xf numFmtId="0" fontId="49" fillId="10" borderId="9" xfId="0" applyFont="1" applyFill="1" applyBorder="1" applyAlignment="1">
      <alignment horizontal="center" vertical="center" wrapText="1"/>
    </xf>
    <xf numFmtId="4" fontId="54" fillId="10" borderId="9" xfId="8" applyNumberFormat="1" applyFont="1" applyFill="1" applyBorder="1" applyAlignment="1" applyProtection="1">
      <alignment horizontal="right" vertical="center" wrapText="1"/>
    </xf>
    <xf numFmtId="0" fontId="49" fillId="0" borderId="0" xfId="0" applyFont="1" applyAlignment="1">
      <alignment vertical="center" wrapText="1"/>
    </xf>
    <xf numFmtId="0" fontId="37" fillId="0" borderId="0" xfId="111" applyNumberFormat="1" applyFont="1" applyFill="1" applyBorder="1" applyAlignment="1" applyProtection="1">
      <alignment horizontal="center" vertical="center" wrapText="1"/>
      <protection locked="0"/>
    </xf>
    <xf numFmtId="0" fontId="36" fillId="0" borderId="0" xfId="0" applyFont="1" applyAlignment="1">
      <alignment horizontal="justify" vertical="center" wrapText="1"/>
    </xf>
    <xf numFmtId="175" fontId="36" fillId="0" borderId="0" xfId="0" applyNumberFormat="1" applyFont="1" applyAlignment="1">
      <alignment horizontal="justify" vertical="center" wrapText="1"/>
    </xf>
    <xf numFmtId="0" fontId="36" fillId="0" borderId="0" xfId="0" applyFont="1" applyAlignment="1">
      <alignment horizontal="right" vertical="center" wrapText="1"/>
    </xf>
    <xf numFmtId="0" fontId="45" fillId="0" borderId="0" xfId="0" applyFont="1" applyAlignment="1">
      <alignment horizontal="justify" vertical="center" wrapText="1"/>
    </xf>
    <xf numFmtId="0" fontId="36" fillId="13" borderId="9" xfId="0" applyFont="1" applyFill="1" applyBorder="1" applyAlignment="1">
      <alignment horizontal="center" vertical="center" wrapText="1"/>
    </xf>
    <xf numFmtId="165" fontId="36" fillId="0" borderId="5" xfId="0" applyNumberFormat="1" applyFont="1" applyBorder="1" applyAlignment="1">
      <alignment horizontal="left" vertical="center"/>
    </xf>
    <xf numFmtId="165" fontId="36" fillId="0" borderId="5" xfId="0" applyNumberFormat="1" applyFont="1" applyBorder="1" applyAlignment="1">
      <alignment horizontal="left" vertical="center" wrapText="1"/>
    </xf>
    <xf numFmtId="0" fontId="36" fillId="0" borderId="5" xfId="0" applyFont="1" applyBorder="1" applyAlignment="1">
      <alignment horizontal="justify" vertical="center" wrapText="1"/>
    </xf>
    <xf numFmtId="0" fontId="36" fillId="0" borderId="5" xfId="0" applyFont="1" applyBorder="1" applyAlignment="1">
      <alignment horizontal="right" vertical="center"/>
    </xf>
    <xf numFmtId="0" fontId="45" fillId="0" borderId="0" xfId="0" applyFont="1" applyAlignment="1">
      <alignment vertical="center"/>
    </xf>
    <xf numFmtId="0" fontId="37" fillId="0" borderId="0" xfId="0" applyFont="1" applyAlignment="1">
      <alignment vertical="center"/>
    </xf>
    <xf numFmtId="165" fontId="37" fillId="0" borderId="0" xfId="0" applyNumberFormat="1" applyFont="1" applyAlignment="1">
      <alignment horizontal="left" vertical="center"/>
    </xf>
    <xf numFmtId="165" fontId="37" fillId="0" borderId="0" xfId="0" applyNumberFormat="1" applyFont="1" applyAlignment="1">
      <alignment horizontal="left" vertical="center" wrapText="1"/>
    </xf>
    <xf numFmtId="0" fontId="37" fillId="0" borderId="0" xfId="0" applyFont="1" applyAlignment="1">
      <alignment horizontal="justify" vertical="center" wrapText="1"/>
    </xf>
    <xf numFmtId="165" fontId="37" fillId="0" borderId="0" xfId="111" applyNumberFormat="1" applyFont="1" applyFill="1" applyBorder="1" applyAlignment="1" applyProtection="1">
      <alignment vertical="center" wrapText="1"/>
    </xf>
    <xf numFmtId="0" fontId="37" fillId="0" borderId="0" xfId="111" applyNumberFormat="1" applyFont="1" applyFill="1" applyBorder="1" applyAlignment="1" applyProtection="1">
      <alignment vertical="center"/>
    </xf>
    <xf numFmtId="0" fontId="37" fillId="0" borderId="0" xfId="111" applyNumberFormat="1" applyFont="1" applyFill="1" applyBorder="1" applyAlignment="1" applyProtection="1">
      <alignment horizontal="center" vertical="center"/>
    </xf>
    <xf numFmtId="165" fontId="36" fillId="0" borderId="0" xfId="115" applyNumberFormat="1" applyFont="1" applyAlignment="1" applyProtection="1">
      <alignment vertical="center" wrapText="1"/>
      <protection hidden="1"/>
    </xf>
    <xf numFmtId="0" fontId="37" fillId="0" borderId="0" xfId="0" applyFont="1" applyAlignment="1" applyProtection="1">
      <alignment horizontal="left" vertical="center"/>
      <protection hidden="1"/>
    </xf>
    <xf numFmtId="0" fontId="37" fillId="0" borderId="0" xfId="115" applyFont="1" applyAlignment="1" applyProtection="1">
      <alignment horizontal="center" vertical="center"/>
      <protection hidden="1"/>
    </xf>
    <xf numFmtId="0" fontId="36" fillId="0" borderId="0" xfId="111" applyNumberFormat="1" applyFont="1" applyFill="1" applyBorder="1" applyAlignment="1" applyProtection="1">
      <alignment vertical="center" wrapText="1"/>
    </xf>
    <xf numFmtId="0" fontId="37" fillId="0" borderId="0" xfId="115" applyFont="1" applyAlignment="1" applyProtection="1">
      <alignment horizontal="left" vertical="center"/>
      <protection hidden="1"/>
    </xf>
    <xf numFmtId="0" fontId="37" fillId="0" borderId="0" xfId="115" applyFont="1" applyAlignment="1">
      <alignment horizontal="left" vertical="center" wrapText="1"/>
    </xf>
    <xf numFmtId="165" fontId="37" fillId="0" borderId="0" xfId="115" applyNumberFormat="1" applyFont="1" applyAlignment="1" applyProtection="1">
      <alignment vertical="center"/>
      <protection hidden="1"/>
    </xf>
    <xf numFmtId="165" fontId="37" fillId="0" borderId="0" xfId="115" applyNumberFormat="1" applyFont="1" applyAlignment="1" applyProtection="1">
      <alignment vertical="center" wrapText="1"/>
      <protection hidden="1"/>
    </xf>
    <xf numFmtId="165" fontId="36" fillId="0" borderId="9" xfId="111" applyNumberFormat="1" applyFont="1" applyFill="1" applyBorder="1" applyAlignment="1" applyProtection="1">
      <alignment vertical="center" wrapText="1"/>
    </xf>
    <xf numFmtId="0" fontId="36" fillId="0" borderId="9" xfId="111" applyNumberFormat="1" applyFont="1" applyFill="1" applyBorder="1" applyAlignment="1" applyProtection="1">
      <alignment vertical="center" wrapText="1"/>
    </xf>
    <xf numFmtId="0" fontId="60" fillId="0" borderId="9" xfId="0" applyFont="1" applyBorder="1" applyAlignment="1">
      <alignment horizontal="center" vertical="center" wrapText="1"/>
    </xf>
    <xf numFmtId="0" fontId="60" fillId="0" borderId="9" xfId="0" applyFont="1" applyBorder="1" applyAlignment="1">
      <alignment vertical="center" wrapText="1"/>
    </xf>
    <xf numFmtId="0" fontId="36" fillId="0" borderId="9" xfId="111" applyNumberFormat="1" applyFont="1" applyFill="1" applyBorder="1" applyAlignment="1" applyProtection="1">
      <alignment horizontal="center" vertical="center" wrapText="1"/>
    </xf>
    <xf numFmtId="0" fontId="36" fillId="0" borderId="9" xfId="111" applyNumberFormat="1" applyFont="1" applyFill="1" applyBorder="1" applyAlignment="1" applyProtection="1">
      <alignment horizontal="center" vertical="center"/>
    </xf>
    <xf numFmtId="0" fontId="45" fillId="10" borderId="0" xfId="0" applyFont="1" applyFill="1" applyAlignment="1">
      <alignment vertical="center"/>
    </xf>
    <xf numFmtId="0" fontId="61" fillId="8" borderId="9" xfId="0" applyFont="1" applyFill="1" applyBorder="1" applyAlignment="1" applyProtection="1">
      <alignment horizontal="center" vertical="center" wrapText="1"/>
      <protection locked="0"/>
    </xf>
    <xf numFmtId="0" fontId="61" fillId="8" borderId="9" xfId="0" applyFont="1" applyFill="1" applyBorder="1" applyAlignment="1" applyProtection="1">
      <alignment horizontal="center" vertical="center"/>
      <protection locked="0"/>
    </xf>
    <xf numFmtId="0" fontId="37" fillId="10" borderId="0" xfId="0" applyFont="1" applyFill="1" applyAlignment="1">
      <alignment vertical="center"/>
    </xf>
    <xf numFmtId="0" fontId="62" fillId="13" borderId="9" xfId="0" applyFont="1" applyFill="1" applyBorder="1" applyAlignment="1">
      <alignment horizontal="center" vertical="center"/>
    </xf>
    <xf numFmtId="0" fontId="62" fillId="13" borderId="9" xfId="0" applyFont="1" applyFill="1" applyBorder="1" applyAlignment="1">
      <alignment horizontal="center" vertical="center" wrapText="1"/>
    </xf>
    <xf numFmtId="0" fontId="63" fillId="13" borderId="9" xfId="0" applyFont="1" applyFill="1" applyBorder="1" applyAlignment="1">
      <alignment horizontal="center" vertical="center" wrapText="1"/>
    </xf>
    <xf numFmtId="0" fontId="64" fillId="13" borderId="0" xfId="0" applyFont="1" applyFill="1" applyAlignment="1">
      <alignment vertical="center"/>
    </xf>
    <xf numFmtId="0" fontId="65" fillId="13" borderId="0" xfId="0" applyFont="1" applyFill="1" applyAlignment="1">
      <alignment vertical="center"/>
    </xf>
    <xf numFmtId="1" fontId="37" fillId="0" borderId="9" xfId="111" applyNumberFormat="1" applyFont="1" applyFill="1" applyBorder="1" applyAlignment="1" applyProtection="1">
      <alignment horizontal="center" vertical="top" wrapText="1"/>
    </xf>
    <xf numFmtId="0" fontId="49" fillId="3" borderId="9" xfId="109" applyFont="1" applyFill="1" applyBorder="1" applyAlignment="1" applyProtection="1">
      <alignment horizontal="center" vertical="top" wrapText="1"/>
      <protection locked="0"/>
    </xf>
    <xf numFmtId="10" fontId="37" fillId="0" borderId="9" xfId="111" applyNumberFormat="1" applyFont="1" applyFill="1" applyBorder="1" applyAlignment="1" applyProtection="1">
      <alignment horizontal="center" vertical="top" wrapText="1"/>
      <protection locked="0" hidden="1"/>
    </xf>
    <xf numFmtId="2" fontId="37" fillId="0" borderId="9" xfId="111" applyNumberFormat="1" applyFont="1" applyFill="1" applyBorder="1" applyAlignment="1" applyProtection="1">
      <alignment horizontal="right" vertical="top" wrapText="1"/>
    </xf>
    <xf numFmtId="0" fontId="37" fillId="0" borderId="9" xfId="0" applyFont="1" applyBorder="1" applyAlignment="1" applyProtection="1">
      <alignment horizontal="center" vertical="center"/>
      <protection locked="0"/>
    </xf>
    <xf numFmtId="178" fontId="37" fillId="0" borderId="9" xfId="0" applyNumberFormat="1" applyFont="1" applyBorder="1" applyAlignment="1" applyProtection="1">
      <alignment vertical="center"/>
      <protection locked="0"/>
    </xf>
    <xf numFmtId="0" fontId="37" fillId="0" borderId="9" xfId="0" applyFont="1" applyBorder="1" applyAlignment="1" applyProtection="1">
      <alignment vertical="center"/>
      <protection locked="0"/>
    </xf>
    <xf numFmtId="43" fontId="45" fillId="0" borderId="0" xfId="0" applyNumberFormat="1" applyFont="1" applyAlignment="1" applyProtection="1">
      <alignment vertical="center"/>
      <protection locked="0"/>
    </xf>
    <xf numFmtId="0" fontId="45" fillId="0" borderId="0" xfId="0" applyFont="1" applyAlignment="1" applyProtection="1">
      <alignment vertical="center"/>
      <protection locked="0"/>
    </xf>
    <xf numFmtId="165" fontId="62" fillId="10" borderId="18" xfId="111" applyNumberFormat="1" applyFont="1" applyFill="1" applyBorder="1" applyAlignment="1" applyProtection="1">
      <alignment vertical="center" wrapText="1"/>
      <protection locked="0"/>
    </xf>
    <xf numFmtId="2" fontId="62" fillId="10" borderId="18" xfId="0" applyNumberFormat="1" applyFont="1" applyFill="1" applyBorder="1" applyAlignment="1">
      <alignment horizontal="left" vertical="center" wrapText="1"/>
    </xf>
    <xf numFmtId="0" fontId="62" fillId="10" borderId="18" xfId="118" applyFont="1" applyFill="1" applyBorder="1" applyAlignment="1" applyProtection="1">
      <alignment vertical="center" wrapText="1"/>
    </xf>
    <xf numFmtId="2" fontId="62" fillId="10" borderId="18" xfId="0" applyNumberFormat="1" applyFont="1" applyFill="1" applyBorder="1" applyAlignment="1">
      <alignment horizontal="right" vertical="center" wrapText="1"/>
    </xf>
    <xf numFmtId="2" fontId="62" fillId="10" borderId="18" xfId="0" applyNumberFormat="1" applyFont="1" applyFill="1" applyBorder="1" applyAlignment="1">
      <alignment horizontal="center" vertical="center" wrapText="1"/>
    </xf>
    <xf numFmtId="39" fontId="62" fillId="10" borderId="18" xfId="8" applyNumberFormat="1" applyFont="1" applyFill="1" applyBorder="1" applyAlignment="1" applyProtection="1">
      <alignment horizontal="right" vertical="center" wrapText="1"/>
    </xf>
    <xf numFmtId="164" fontId="36" fillId="0" borderId="0" xfId="8" applyFont="1" applyAlignment="1" applyProtection="1">
      <alignment vertical="center"/>
      <protection locked="0"/>
    </xf>
    <xf numFmtId="0" fontId="37" fillId="0" borderId="0" xfId="0" applyFont="1" applyAlignment="1" applyProtection="1">
      <alignment vertical="center"/>
      <protection locked="0"/>
    </xf>
    <xf numFmtId="0" fontId="37" fillId="0" borderId="0" xfId="0" applyFont="1" applyAlignment="1" applyProtection="1">
      <alignment horizontal="center" vertical="center"/>
      <protection locked="0"/>
    </xf>
    <xf numFmtId="165" fontId="37" fillId="0" borderId="0" xfId="111" applyNumberFormat="1" applyFont="1" applyFill="1" applyBorder="1" applyAlignment="1" applyProtection="1">
      <alignment vertical="center"/>
    </xf>
    <xf numFmtId="0" fontId="49" fillId="0" borderId="16" xfId="0" applyFont="1" applyBorder="1"/>
    <xf numFmtId="0" fontId="66" fillId="0" borderId="16" xfId="0" applyFont="1" applyBorder="1"/>
    <xf numFmtId="0" fontId="66" fillId="0" borderId="0" xfId="0" applyFont="1" applyAlignment="1">
      <alignment vertical="center"/>
    </xf>
    <xf numFmtId="0" fontId="66" fillId="0" borderId="0" xfId="0" applyFont="1" applyAlignment="1">
      <alignment horizontal="center" vertical="center"/>
    </xf>
    <xf numFmtId="0" fontId="60" fillId="0" borderId="0" xfId="0" applyFont="1" applyAlignment="1">
      <alignment horizontal="center" vertical="center"/>
    </xf>
    <xf numFmtId="0" fontId="60" fillId="0" borderId="0" xfId="0" applyFont="1" applyAlignment="1">
      <alignment vertical="center"/>
    </xf>
    <xf numFmtId="165" fontId="36" fillId="0" borderId="0" xfId="0" applyNumberFormat="1" applyFont="1" applyAlignment="1">
      <alignment horizontal="justify" vertical="center"/>
    </xf>
    <xf numFmtId="175" fontId="36" fillId="0" borderId="0" xfId="0" applyNumberFormat="1" applyFont="1" applyAlignment="1">
      <alignment horizontal="justify" vertical="center"/>
    </xf>
    <xf numFmtId="14" fontId="37" fillId="0" borderId="0" xfId="0" applyNumberFormat="1" applyFont="1" applyAlignment="1">
      <alignment horizontal="left" vertical="center"/>
    </xf>
    <xf numFmtId="0" fontId="36" fillId="0" borderId="0" xfId="0" applyFont="1" applyAlignment="1">
      <alignment horizontal="right" vertical="center"/>
    </xf>
    <xf numFmtId="0" fontId="60" fillId="0" borderId="0" xfId="0" applyFont="1" applyAlignment="1">
      <alignment horizontal="left" vertical="center"/>
    </xf>
    <xf numFmtId="0" fontId="67" fillId="0" borderId="0" xfId="0" applyFont="1" applyAlignment="1">
      <alignment horizontal="center" vertical="center"/>
    </xf>
    <xf numFmtId="165" fontId="45" fillId="0" borderId="0" xfId="0" applyNumberFormat="1" applyFont="1" applyAlignment="1">
      <alignment horizontal="center" vertical="center"/>
    </xf>
    <xf numFmtId="0" fontId="45" fillId="0" borderId="0" xfId="0" applyFont="1" applyAlignment="1">
      <alignment horizontal="justify" vertical="center"/>
    </xf>
    <xf numFmtId="43" fontId="37" fillId="0" borderId="0" xfId="111" applyNumberFormat="1" applyFont="1" applyFill="1" applyBorder="1" applyAlignment="1" applyProtection="1">
      <alignment vertical="center"/>
    </xf>
    <xf numFmtId="0" fontId="53" fillId="0" borderId="9" xfId="0" applyFont="1" applyBorder="1" applyAlignment="1">
      <alignment horizontal="center" vertical="center" wrapText="1"/>
    </xf>
    <xf numFmtId="0" fontId="36" fillId="0" borderId="5" xfId="0" applyFont="1" applyBorder="1" applyAlignment="1" applyProtection="1">
      <alignment horizontal="left" vertical="center"/>
      <protection hidden="1"/>
    </xf>
    <xf numFmtId="0" fontId="36" fillId="0" borderId="5" xfId="0" applyFont="1" applyBorder="1" applyAlignment="1" applyProtection="1">
      <alignment horizontal="justify" vertical="center"/>
      <protection hidden="1"/>
    </xf>
    <xf numFmtId="0" fontId="36" fillId="0" borderId="5" xfId="0" applyFont="1" applyBorder="1" applyAlignment="1" applyProtection="1">
      <alignment horizontal="center" vertical="center" wrapText="1"/>
      <protection hidden="1"/>
    </xf>
    <xf numFmtId="0" fontId="36" fillId="0" borderId="5" xfId="0" applyFont="1" applyBorder="1" applyAlignment="1" applyProtection="1">
      <alignment horizontal="center" vertical="center"/>
      <protection hidden="1"/>
    </xf>
    <xf numFmtId="0" fontId="36" fillId="0" borderId="5" xfId="0" applyFont="1" applyBorder="1" applyAlignment="1" applyProtection="1">
      <alignment vertical="center"/>
      <protection hidden="1"/>
    </xf>
    <xf numFmtId="0" fontId="36" fillId="0" borderId="5" xfId="0" applyFont="1" applyBorder="1" applyAlignment="1" applyProtection="1">
      <alignment horizontal="right" vertical="center"/>
      <protection hidden="1"/>
    </xf>
    <xf numFmtId="0" fontId="37" fillId="0" borderId="0" xfId="112" applyNumberFormat="1" applyFont="1" applyFill="1" applyBorder="1" applyAlignment="1" applyProtection="1">
      <alignment vertical="top"/>
      <protection hidden="1"/>
    </xf>
    <xf numFmtId="0" fontId="37" fillId="0" borderId="0" xfId="0" applyFont="1" applyAlignment="1" applyProtection="1">
      <alignment horizontal="justify" vertical="center"/>
      <protection hidden="1"/>
    </xf>
    <xf numFmtId="0" fontId="37" fillId="0" borderId="0" xfId="0" applyFont="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7" fillId="0" borderId="0" xfId="0" applyFont="1" applyAlignment="1" applyProtection="1">
      <alignment vertical="center"/>
      <protection hidden="1"/>
    </xf>
    <xf numFmtId="0" fontId="53" fillId="0" borderId="0" xfId="0" applyFont="1" applyAlignment="1" applyProtection="1">
      <alignment horizontal="left" vertical="center" wrapText="1"/>
      <protection hidden="1"/>
    </xf>
    <xf numFmtId="0" fontId="37" fillId="0" borderId="0" xfId="111" applyNumberFormat="1" applyFont="1" applyFill="1" applyBorder="1" applyAlignment="1" applyProtection="1">
      <alignment vertical="center"/>
      <protection hidden="1"/>
    </xf>
    <xf numFmtId="0" fontId="37" fillId="0" borderId="0" xfId="111" applyNumberFormat="1" applyFont="1" applyFill="1" applyBorder="1" applyAlignment="1" applyProtection="1">
      <alignment vertical="center" wrapText="1"/>
      <protection hidden="1"/>
    </xf>
    <xf numFmtId="0" fontId="37" fillId="0" borderId="0" xfId="115" applyFont="1" applyAlignment="1" applyProtection="1">
      <alignment vertical="center"/>
      <protection hidden="1"/>
    </xf>
    <xf numFmtId="0" fontId="37" fillId="0" borderId="0" xfId="0" applyFont="1" applyAlignment="1" applyProtection="1">
      <alignment horizontal="left" vertical="center" indent="1"/>
      <protection hidden="1"/>
    </xf>
    <xf numFmtId="0" fontId="37" fillId="0" borderId="0" xfId="112" applyNumberFormat="1" applyFont="1" applyFill="1" applyBorder="1" applyAlignment="1" applyProtection="1">
      <alignment vertical="top" wrapText="1"/>
      <protection hidden="1"/>
    </xf>
    <xf numFmtId="165" fontId="53" fillId="11" borderId="9" xfId="111" applyNumberFormat="1" applyFont="1" applyFill="1" applyBorder="1" applyAlignment="1" applyProtection="1">
      <alignment vertical="center" wrapText="1"/>
    </xf>
    <xf numFmtId="0" fontId="53" fillId="11" borderId="9" xfId="111" applyNumberFormat="1" applyFont="1" applyFill="1" applyBorder="1" applyAlignment="1" applyProtection="1">
      <alignment vertical="center" wrapText="1"/>
    </xf>
    <xf numFmtId="0" fontId="60" fillId="11" borderId="9" xfId="0" applyFont="1" applyFill="1" applyBorder="1" applyAlignment="1">
      <alignment horizontal="center" vertical="top" wrapText="1"/>
    </xf>
    <xf numFmtId="0" fontId="60" fillId="11" borderId="9" xfId="0" applyFont="1" applyFill="1" applyBorder="1" applyAlignment="1">
      <alignment vertical="top" wrapText="1"/>
    </xf>
    <xf numFmtId="0" fontId="53" fillId="11" borderId="9" xfId="111" applyNumberFormat="1" applyFont="1" applyFill="1" applyBorder="1" applyAlignment="1" applyProtection="1">
      <alignment horizontal="center" vertical="center"/>
    </xf>
    <xf numFmtId="0" fontId="53" fillId="11" borderId="9" xfId="111" applyNumberFormat="1" applyFont="1" applyFill="1" applyBorder="1" applyAlignment="1" applyProtection="1">
      <alignment horizontal="center" vertical="center" wrapText="1"/>
    </xf>
    <xf numFmtId="0" fontId="68" fillId="11" borderId="9" xfId="0" applyFont="1" applyFill="1" applyBorder="1" applyAlignment="1">
      <alignment horizontal="center" vertical="center"/>
    </xf>
    <xf numFmtId="0" fontId="69" fillId="11" borderId="9" xfId="0" applyFont="1" applyFill="1" applyBorder="1" applyAlignment="1">
      <alignment horizontal="center" vertical="top" wrapText="1"/>
    </xf>
    <xf numFmtId="0" fontId="68" fillId="11" borderId="9" xfId="0" applyFont="1" applyFill="1" applyBorder="1" applyAlignment="1">
      <alignment horizontal="center" vertical="center" wrapText="1"/>
    </xf>
    <xf numFmtId="0" fontId="70" fillId="0" borderId="0" xfId="112" applyNumberFormat="1" applyFont="1" applyFill="1" applyBorder="1" applyAlignment="1" applyProtection="1">
      <alignment horizontal="center" vertical="top"/>
      <protection hidden="1"/>
    </xf>
    <xf numFmtId="0" fontId="37" fillId="0" borderId="9" xfId="112" applyNumberFormat="1" applyFont="1" applyFill="1" applyBorder="1" applyAlignment="1" applyProtection="1">
      <alignment vertical="center"/>
      <protection locked="0" hidden="1"/>
    </xf>
    <xf numFmtId="0" fontId="37" fillId="0" borderId="9" xfId="112" applyNumberFormat="1" applyFont="1" applyFill="1" applyBorder="1" applyAlignment="1" applyProtection="1">
      <alignment vertical="center" wrapText="1"/>
      <protection locked="0" hidden="1"/>
    </xf>
    <xf numFmtId="0" fontId="37" fillId="0" borderId="9" xfId="112" applyNumberFormat="1" applyFont="1" applyFill="1" applyBorder="1" applyAlignment="1" applyProtection="1">
      <alignment vertical="top"/>
      <protection locked="0" hidden="1"/>
    </xf>
    <xf numFmtId="0" fontId="37" fillId="0" borderId="0" xfId="112" applyNumberFormat="1" applyFont="1" applyFill="1" applyBorder="1" applyAlignment="1" applyProtection="1">
      <alignment vertical="top"/>
      <protection locked="0" hidden="1"/>
    </xf>
    <xf numFmtId="0" fontId="49" fillId="0" borderId="9" xfId="0" applyFont="1" applyBorder="1" applyAlignment="1">
      <alignment vertical="center"/>
    </xf>
    <xf numFmtId="0" fontId="37" fillId="0" borderId="0" xfId="112" applyNumberFormat="1" applyFont="1" applyFill="1" applyBorder="1" applyAlignment="1" applyProtection="1">
      <alignment vertical="center"/>
      <protection locked="0" hidden="1"/>
    </xf>
    <xf numFmtId="0" fontId="54" fillId="0" borderId="9" xfId="0" applyFont="1" applyBorder="1" applyAlignment="1">
      <alignment horizontal="right" vertical="center"/>
    </xf>
    <xf numFmtId="0" fontId="49" fillId="0" borderId="9" xfId="0" applyFont="1" applyBorder="1"/>
    <xf numFmtId="0" fontId="54" fillId="0" borderId="9" xfId="0" applyFont="1" applyBorder="1" applyAlignment="1">
      <alignment horizontal="center" vertical="center"/>
    </xf>
    <xf numFmtId="0" fontId="49" fillId="0" borderId="0" xfId="0" applyFont="1"/>
    <xf numFmtId="0" fontId="49" fillId="0" borderId="0" xfId="0" applyFont="1" applyAlignment="1" applyProtection="1">
      <alignment horizontal="left" vertical="center"/>
      <protection locked="0"/>
    </xf>
    <xf numFmtId="0" fontId="37" fillId="0" borderId="0" xfId="112" applyNumberFormat="1" applyFont="1" applyFill="1" applyBorder="1" applyAlignment="1" applyProtection="1">
      <alignment vertical="center" wrapText="1"/>
      <protection locked="0" hidden="1"/>
    </xf>
    <xf numFmtId="0" fontId="53" fillId="0" borderId="5" xfId="73" applyFont="1" applyBorder="1" applyAlignment="1">
      <alignment horizontal="left" vertical="center"/>
    </xf>
    <xf numFmtId="0" fontId="53" fillId="0" borderId="5" xfId="73" applyFont="1" applyBorder="1" applyAlignment="1">
      <alignment horizontal="justify" vertical="center"/>
    </xf>
    <xf numFmtId="0" fontId="53" fillId="0" borderId="5" xfId="73" applyFont="1" applyBorder="1" applyAlignment="1">
      <alignment horizontal="center" vertical="center"/>
    </xf>
    <xf numFmtId="0" fontId="53" fillId="0" borderId="5" xfId="73" applyFont="1" applyBorder="1" applyAlignment="1">
      <alignment horizontal="right" vertical="center"/>
    </xf>
    <xf numFmtId="0" fontId="45" fillId="0" borderId="0" xfId="114" applyFont="1" applyAlignment="1" applyProtection="1">
      <alignment vertical="top"/>
      <protection hidden="1"/>
    </xf>
    <xf numFmtId="0" fontId="51" fillId="0" borderId="0" xfId="114" applyFont="1" applyAlignment="1" applyProtection="1">
      <alignment vertical="top"/>
      <protection hidden="1"/>
    </xf>
    <xf numFmtId="0" fontId="37" fillId="0" borderId="0" xfId="114" applyFont="1" applyAlignment="1" applyProtection="1">
      <alignment vertical="top"/>
      <protection hidden="1"/>
    </xf>
    <xf numFmtId="0" fontId="67" fillId="0" borderId="0" xfId="73" applyFont="1" applyAlignment="1">
      <alignment horizontal="left" vertical="center"/>
    </xf>
    <xf numFmtId="0" fontId="67" fillId="0" borderId="0" xfId="73" applyFont="1" applyAlignment="1">
      <alignment horizontal="justify" vertical="center"/>
    </xf>
    <xf numFmtId="0" fontId="67" fillId="0" borderId="0" xfId="73" applyFont="1" applyAlignment="1">
      <alignment horizontal="center" vertical="center"/>
    </xf>
    <xf numFmtId="0" fontId="67" fillId="0" borderId="0" xfId="73" applyFont="1" applyAlignment="1">
      <alignment vertical="center"/>
    </xf>
    <xf numFmtId="0" fontId="71" fillId="0" borderId="0" xfId="73" applyFont="1" applyAlignment="1" applyProtection="1">
      <alignment vertical="center"/>
      <protection hidden="1"/>
    </xf>
    <xf numFmtId="0" fontId="72" fillId="0" borderId="0" xfId="114" applyFont="1" applyAlignment="1" applyProtection="1">
      <alignment vertical="center"/>
      <protection hidden="1"/>
    </xf>
    <xf numFmtId="0" fontId="72" fillId="0" borderId="0" xfId="114" applyFont="1" applyAlignment="1" applyProtection="1">
      <alignment horizontal="center" vertical="center"/>
      <protection hidden="1"/>
    </xf>
    <xf numFmtId="0" fontId="40" fillId="0" borderId="0" xfId="0" applyFont="1" applyAlignment="1">
      <alignment vertical="center" wrapText="1"/>
    </xf>
    <xf numFmtId="0" fontId="67" fillId="0" borderId="0" xfId="114" applyFont="1" applyAlignment="1" applyProtection="1">
      <alignment vertical="center"/>
      <protection hidden="1"/>
    </xf>
    <xf numFmtId="0" fontId="67" fillId="0" borderId="0" xfId="114" applyFont="1" applyAlignment="1" applyProtection="1">
      <alignment horizontal="left" vertical="center"/>
      <protection hidden="1"/>
    </xf>
    <xf numFmtId="0" fontId="53" fillId="0" borderId="6" xfId="114" applyFont="1" applyBorder="1" applyAlignment="1" applyProtection="1">
      <alignment horizontal="center" vertical="center" wrapText="1"/>
      <protection hidden="1"/>
    </xf>
    <xf numFmtId="176" fontId="53" fillId="0" borderId="23" xfId="114" applyNumberFormat="1" applyFont="1" applyBorder="1" applyAlignment="1" applyProtection="1">
      <alignment horizontal="center" vertical="center"/>
      <protection hidden="1"/>
    </xf>
    <xf numFmtId="0" fontId="73" fillId="0" borderId="0" xfId="114" applyFont="1" applyAlignment="1" applyProtection="1">
      <alignment vertical="top"/>
      <protection hidden="1"/>
    </xf>
    <xf numFmtId="0" fontId="46" fillId="0" borderId="0" xfId="114" applyFont="1" applyAlignment="1" applyProtection="1">
      <alignment vertical="top"/>
      <protection hidden="1"/>
    </xf>
    <xf numFmtId="0" fontId="67" fillId="0" borderId="23" xfId="114" applyFont="1" applyBorder="1" applyAlignment="1" applyProtection="1">
      <alignment horizontal="center" vertical="center"/>
      <protection hidden="1"/>
    </xf>
    <xf numFmtId="0" fontId="74" fillId="0" borderId="0" xfId="114" applyFont="1" applyAlignment="1" applyProtection="1">
      <alignment vertical="top"/>
      <protection hidden="1"/>
    </xf>
    <xf numFmtId="2" fontId="73" fillId="0" borderId="0" xfId="114" applyNumberFormat="1" applyFont="1" applyAlignment="1" applyProtection="1">
      <alignment vertical="top"/>
      <protection hidden="1"/>
    </xf>
    <xf numFmtId="2" fontId="46" fillId="0" borderId="0" xfId="114" applyNumberFormat="1" applyFont="1" applyAlignment="1" applyProtection="1">
      <alignment vertical="top"/>
      <protection hidden="1"/>
    </xf>
    <xf numFmtId="0" fontId="75" fillId="0" borderId="0" xfId="114" applyFont="1" applyAlignment="1" applyProtection="1">
      <alignment vertical="top"/>
      <protection hidden="1"/>
    </xf>
    <xf numFmtId="174" fontId="51" fillId="0" borderId="0" xfId="114" applyNumberFormat="1" applyFont="1" applyAlignment="1" applyProtection="1">
      <alignment vertical="top"/>
      <protection hidden="1"/>
    </xf>
    <xf numFmtId="0" fontId="53" fillId="0" borderId="45" xfId="114" applyFont="1" applyBorder="1" applyAlignment="1" applyProtection="1">
      <alignment vertical="center" wrapText="1"/>
      <protection hidden="1"/>
    </xf>
    <xf numFmtId="0" fontId="53" fillId="0" borderId="46" xfId="114" applyFont="1" applyBorder="1" applyAlignment="1" applyProtection="1">
      <alignment vertical="center" wrapText="1"/>
      <protection hidden="1"/>
    </xf>
    <xf numFmtId="0" fontId="53" fillId="0" borderId="47" xfId="114" applyFont="1" applyBorder="1" applyAlignment="1" applyProtection="1">
      <alignment vertical="center" wrapText="1"/>
      <protection hidden="1"/>
    </xf>
    <xf numFmtId="0" fontId="67" fillId="0" borderId="0" xfId="114" applyFont="1" applyAlignment="1" applyProtection="1">
      <alignment horizontal="left" vertical="center" wrapText="1"/>
      <protection hidden="1"/>
    </xf>
    <xf numFmtId="0" fontId="53" fillId="0" borderId="0" xfId="73" applyFont="1" applyAlignment="1">
      <alignment horizontal="right" vertical="center"/>
    </xf>
    <xf numFmtId="0" fontId="53" fillId="0" borderId="0" xfId="73" applyFont="1" applyAlignment="1">
      <alignment horizontal="justify" vertical="center"/>
    </xf>
    <xf numFmtId="10" fontId="53" fillId="0" borderId="9" xfId="114" applyNumberFormat="1" applyFont="1" applyBorder="1" applyAlignment="1" applyProtection="1">
      <alignment horizontal="left" vertical="center" wrapText="1"/>
      <protection hidden="1"/>
    </xf>
    <xf numFmtId="0" fontId="71" fillId="0" borderId="0" xfId="73" applyFont="1" applyAlignment="1" applyProtection="1">
      <alignment horizontal="right" vertical="center"/>
      <protection hidden="1"/>
    </xf>
    <xf numFmtId="0" fontId="53" fillId="0" borderId="9" xfId="114" applyFont="1" applyBorder="1" applyAlignment="1" applyProtection="1">
      <alignment horizontal="left" vertical="center" wrapText="1"/>
      <protection hidden="1"/>
    </xf>
    <xf numFmtId="0" fontId="71" fillId="0" borderId="0" xfId="73" applyFont="1" applyAlignment="1" applyProtection="1">
      <alignment horizontal="center" vertical="center"/>
      <protection hidden="1"/>
    </xf>
    <xf numFmtId="0" fontId="71" fillId="0" borderId="0" xfId="73" applyFont="1" applyAlignment="1" applyProtection="1">
      <alignment horizontal="justify" vertical="center"/>
      <protection hidden="1"/>
    </xf>
    <xf numFmtId="0" fontId="72" fillId="0" borderId="0" xfId="73" applyFont="1" applyAlignment="1" applyProtection="1">
      <alignment horizontal="right" vertical="center"/>
      <protection hidden="1"/>
    </xf>
    <xf numFmtId="0" fontId="71" fillId="0" borderId="0" xfId="114" applyFont="1" applyAlignment="1" applyProtection="1">
      <alignment vertical="center"/>
      <protection hidden="1"/>
    </xf>
    <xf numFmtId="0" fontId="71" fillId="0" borderId="0" xfId="114" applyFont="1" applyAlignment="1" applyProtection="1">
      <alignment horizontal="right" vertical="center"/>
      <protection hidden="1"/>
    </xf>
    <xf numFmtId="0" fontId="71" fillId="0" borderId="0" xfId="114" applyFont="1" applyAlignment="1" applyProtection="1">
      <alignment horizontal="left" vertical="center"/>
      <protection hidden="1"/>
    </xf>
    <xf numFmtId="0" fontId="37" fillId="0" borderId="0" xfId="0" applyFont="1" applyAlignment="1" applyProtection="1">
      <alignment horizontal="left" vertical="top" indent="1"/>
      <protection hidden="1"/>
    </xf>
    <xf numFmtId="0" fontId="67" fillId="0" borderId="0" xfId="114" applyFont="1" applyAlignment="1" applyProtection="1">
      <alignment horizontal="left" vertical="center" indent="1"/>
      <protection hidden="1"/>
    </xf>
    <xf numFmtId="0" fontId="67" fillId="0" borderId="0" xfId="117" applyFont="1" applyAlignment="1" applyProtection="1">
      <alignment horizontal="left" vertical="center" indent="1"/>
      <protection hidden="1"/>
    </xf>
    <xf numFmtId="49" fontId="53" fillId="9" borderId="9" xfId="114" applyNumberFormat="1" applyFont="1" applyFill="1" applyBorder="1" applyAlignment="1">
      <alignment horizontal="left" vertical="center" wrapText="1"/>
    </xf>
    <xf numFmtId="49" fontId="53" fillId="0" borderId="9" xfId="114" applyNumberFormat="1" applyFont="1" applyBorder="1" applyAlignment="1" applyProtection="1">
      <alignment horizontal="left" vertical="center" wrapText="1"/>
      <protection hidden="1"/>
    </xf>
    <xf numFmtId="0" fontId="53" fillId="0" borderId="5" xfId="73" applyFont="1" applyBorder="1" applyAlignment="1" applyProtection="1">
      <alignment horizontal="left" vertical="center"/>
      <protection hidden="1"/>
    </xf>
    <xf numFmtId="0" fontId="53" fillId="0" borderId="5" xfId="73" applyFont="1" applyBorder="1" applyAlignment="1" applyProtection="1">
      <alignment horizontal="justify" vertical="center"/>
      <protection hidden="1"/>
    </xf>
    <xf numFmtId="0" fontId="53" fillId="0" borderId="5" xfId="73" applyFont="1" applyBorder="1" applyAlignment="1" applyProtection="1">
      <alignment vertical="center"/>
      <protection hidden="1"/>
    </xf>
    <xf numFmtId="0" fontId="53" fillId="0" borderId="5" xfId="73" applyFont="1" applyBorder="1" applyAlignment="1" applyProtection="1">
      <alignment horizontal="right" vertical="center"/>
      <protection hidden="1"/>
    </xf>
    <xf numFmtId="0" fontId="67" fillId="0" borderId="0" xfId="73" applyFont="1" applyAlignment="1" applyProtection="1">
      <alignment horizontal="left" vertical="center"/>
      <protection hidden="1"/>
    </xf>
    <xf numFmtId="0" fontId="67" fillId="0" borderId="0" xfId="73" applyFont="1" applyAlignment="1" applyProtection="1">
      <alignment horizontal="justify" vertical="center"/>
      <protection hidden="1"/>
    </xf>
    <xf numFmtId="0" fontId="67" fillId="0" borderId="0" xfId="73" applyFont="1" applyAlignment="1" applyProtection="1">
      <alignment vertical="center"/>
      <protection hidden="1"/>
    </xf>
    <xf numFmtId="0" fontId="36" fillId="0" borderId="0" xfId="114" applyFont="1" applyAlignment="1" applyProtection="1">
      <alignment horizontal="center" vertical="top"/>
      <protection hidden="1"/>
    </xf>
    <xf numFmtId="0" fontId="53" fillId="0" borderId="0" xfId="114" applyFont="1" applyAlignment="1" applyProtection="1">
      <alignment vertical="center"/>
      <protection hidden="1"/>
    </xf>
    <xf numFmtId="0" fontId="53" fillId="0" borderId="0" xfId="114" applyFont="1" applyAlignment="1" applyProtection="1">
      <alignment vertical="top"/>
      <protection hidden="1"/>
    </xf>
    <xf numFmtId="0" fontId="53" fillId="0" borderId="38" xfId="114" applyFont="1" applyBorder="1" applyAlignment="1" applyProtection="1">
      <alignment horizontal="justify" vertical="top" wrapText="1"/>
      <protection hidden="1"/>
    </xf>
    <xf numFmtId="0" fontId="53" fillId="0" borderId="39" xfId="114" applyFont="1" applyBorder="1" applyAlignment="1" applyProtection="1">
      <alignment horizontal="right" vertical="center" wrapText="1" indent="5"/>
      <protection hidden="1"/>
    </xf>
    <xf numFmtId="176" fontId="53" fillId="0" borderId="40" xfId="114" applyNumberFormat="1" applyFont="1" applyBorder="1" applyAlignment="1" applyProtection="1">
      <alignment horizontal="center" vertical="center"/>
      <protection hidden="1"/>
    </xf>
    <xf numFmtId="4" fontId="53" fillId="0" borderId="41" xfId="114" applyNumberFormat="1" applyFont="1" applyBorder="1" applyAlignment="1" applyProtection="1">
      <alignment vertical="center"/>
      <protection hidden="1"/>
    </xf>
    <xf numFmtId="0" fontId="67" fillId="0" borderId="42" xfId="114" applyFont="1" applyBorder="1" applyAlignment="1" applyProtection="1">
      <alignment horizontal="center" vertical="center"/>
      <protection hidden="1"/>
    </xf>
    <xf numFmtId="0" fontId="67" fillId="0" borderId="43" xfId="114" applyFont="1" applyBorder="1" applyAlignment="1" applyProtection="1">
      <alignment vertical="center"/>
      <protection hidden="1"/>
    </xf>
    <xf numFmtId="4" fontId="53" fillId="0" borderId="41" xfId="114" applyNumberFormat="1" applyFont="1" applyBorder="1" applyAlignment="1" applyProtection="1">
      <alignment horizontal="right" vertical="center"/>
      <protection hidden="1"/>
    </xf>
    <xf numFmtId="0" fontId="66" fillId="0" borderId="43" xfId="114" applyFont="1" applyBorder="1" applyAlignment="1" applyProtection="1">
      <alignment horizontal="justify" vertical="top" wrapText="1"/>
      <protection hidden="1"/>
    </xf>
    <xf numFmtId="4" fontId="53" fillId="0" borderId="41" xfId="114" applyNumberFormat="1" applyFont="1" applyBorder="1" applyAlignment="1" applyProtection="1">
      <alignment vertical="center" wrapText="1"/>
      <protection hidden="1"/>
    </xf>
    <xf numFmtId="4" fontId="61" fillId="0" borderId="44" xfId="114" applyNumberFormat="1" applyFont="1" applyBorder="1" applyAlignment="1" applyProtection="1">
      <alignment horizontal="right" vertical="center" wrapText="1"/>
      <protection hidden="1"/>
    </xf>
    <xf numFmtId="0" fontId="67" fillId="0" borderId="0" xfId="114" applyFont="1" applyAlignment="1" applyProtection="1">
      <alignment horizontal="center" vertical="center"/>
      <protection hidden="1"/>
    </xf>
    <xf numFmtId="0" fontId="53" fillId="0" borderId="0" xfId="114" applyFont="1" applyAlignment="1" applyProtection="1">
      <alignment horizontal="left" vertical="center" wrapText="1"/>
      <protection hidden="1"/>
    </xf>
    <xf numFmtId="0" fontId="53" fillId="0" borderId="0" xfId="114" applyFont="1" applyAlignment="1" applyProtection="1">
      <alignment horizontal="right" vertical="center" wrapText="1"/>
      <protection hidden="1"/>
    </xf>
    <xf numFmtId="0" fontId="53" fillId="0" borderId="0" xfId="73" applyFont="1" applyAlignment="1" applyProtection="1">
      <alignment horizontal="right" vertical="center"/>
      <protection hidden="1"/>
    </xf>
    <xf numFmtId="0" fontId="53" fillId="0" borderId="0" xfId="73" applyFont="1" applyAlignment="1" applyProtection="1">
      <alignment horizontal="justify" vertical="center"/>
      <protection hidden="1"/>
    </xf>
    <xf numFmtId="0" fontId="67" fillId="0" borderId="0" xfId="73" applyFont="1" applyAlignment="1" applyProtection="1">
      <alignment horizontal="right" vertical="center"/>
      <protection hidden="1"/>
    </xf>
    <xf numFmtId="0" fontId="67" fillId="0" borderId="0" xfId="73" applyFont="1" applyAlignment="1" applyProtection="1">
      <alignment horizontal="center" vertical="center"/>
      <protection hidden="1"/>
    </xf>
    <xf numFmtId="0" fontId="67" fillId="0" borderId="0" xfId="114" applyFont="1" applyAlignment="1" applyProtection="1">
      <alignment horizontal="right" vertical="center"/>
      <protection hidden="1"/>
    </xf>
    <xf numFmtId="0" fontId="37" fillId="0" borderId="0" xfId="114" applyFont="1" applyAlignment="1" applyProtection="1">
      <alignment horizontal="right"/>
      <protection hidden="1"/>
    </xf>
    <xf numFmtId="0" fontId="55" fillId="0" borderId="6" xfId="114" applyFont="1" applyBorder="1" applyAlignment="1" applyProtection="1">
      <alignment horizontal="center" vertical="top"/>
      <protection hidden="1"/>
    </xf>
    <xf numFmtId="0" fontId="55" fillId="0" borderId="8" xfId="114" applyFont="1" applyBorder="1" applyAlignment="1" applyProtection="1">
      <alignment horizontal="center" vertical="top"/>
      <protection hidden="1"/>
    </xf>
    <xf numFmtId="4" fontId="37" fillId="0" borderId="23" xfId="114" applyNumberFormat="1" applyFont="1" applyBorder="1" applyAlignment="1" applyProtection="1">
      <alignment vertical="top"/>
      <protection hidden="1"/>
    </xf>
    <xf numFmtId="164" fontId="37" fillId="0" borderId="26" xfId="8" applyFont="1" applyBorder="1" applyAlignment="1" applyProtection="1">
      <alignment vertical="top"/>
      <protection hidden="1"/>
    </xf>
    <xf numFmtId="0" fontId="37" fillId="0" borderId="23" xfId="114" applyFont="1" applyBorder="1" applyAlignment="1" applyProtection="1">
      <alignment vertical="top"/>
      <protection hidden="1"/>
    </xf>
    <xf numFmtId="0" fontId="37" fillId="0" borderId="26" xfId="114" applyFont="1" applyBorder="1" applyAlignment="1" applyProtection="1">
      <alignment vertical="top"/>
      <protection hidden="1"/>
    </xf>
    <xf numFmtId="4" fontId="61" fillId="0" borderId="41" xfId="114" applyNumberFormat="1" applyFont="1" applyBorder="1" applyAlignment="1" applyProtection="1">
      <alignment vertical="center" wrapText="1"/>
      <protection hidden="1"/>
    </xf>
    <xf numFmtId="0" fontId="37" fillId="0" borderId="27" xfId="114" applyFont="1" applyBorder="1" applyAlignment="1" applyProtection="1">
      <alignment vertical="top"/>
      <protection hidden="1"/>
    </xf>
    <xf numFmtId="0" fontId="37" fillId="0" borderId="29" xfId="114" applyFont="1" applyBorder="1" applyAlignment="1" applyProtection="1">
      <alignment vertical="top"/>
      <protection hidden="1"/>
    </xf>
    <xf numFmtId="49" fontId="53" fillId="9" borderId="9" xfId="114" applyNumberFormat="1" applyFont="1" applyFill="1" applyBorder="1" applyAlignment="1">
      <alignment horizontal="right" vertical="center" wrapText="1"/>
    </xf>
    <xf numFmtId="0" fontId="53" fillId="0" borderId="5" xfId="0" applyFont="1" applyBorder="1" applyAlignment="1">
      <alignment horizontal="left" vertical="center"/>
    </xf>
    <xf numFmtId="0" fontId="53" fillId="0" borderId="5" xfId="0" applyFont="1" applyBorder="1" applyAlignment="1">
      <alignment horizontal="justify" vertical="center" wrapText="1"/>
    </xf>
    <xf numFmtId="0" fontId="53" fillId="0" borderId="5" xfId="0" applyFont="1" applyBorder="1" applyAlignment="1">
      <alignment horizontal="center" vertical="center"/>
    </xf>
    <xf numFmtId="0" fontId="53" fillId="0" borderId="5" xfId="0" applyFont="1" applyBorder="1" applyAlignment="1">
      <alignment horizontal="right" vertical="center"/>
    </xf>
    <xf numFmtId="0" fontId="67" fillId="0" borderId="0" xfId="0" applyFont="1"/>
    <xf numFmtId="0" fontId="67" fillId="0" borderId="0" xfId="0" applyFont="1" applyAlignment="1">
      <alignment horizontal="left" vertical="center"/>
    </xf>
    <xf numFmtId="0" fontId="67" fillId="0" borderId="0" xfId="0" applyFont="1" applyAlignment="1">
      <alignment horizontal="justify" vertical="center" wrapText="1"/>
    </xf>
    <xf numFmtId="0" fontId="67" fillId="0" borderId="0" xfId="114" applyFont="1" applyAlignment="1">
      <alignment vertical="top"/>
    </xf>
    <xf numFmtId="0" fontId="67" fillId="0" borderId="0" xfId="114" applyFont="1" applyAlignment="1">
      <alignment horizontal="left" vertical="top"/>
    </xf>
    <xf numFmtId="0" fontId="67" fillId="0" borderId="0" xfId="0" applyFont="1" applyAlignment="1">
      <alignment wrapText="1"/>
    </xf>
    <xf numFmtId="0" fontId="67" fillId="0" borderId="0" xfId="111" applyNumberFormat="1" applyFont="1" applyFill="1" applyBorder="1" applyAlignment="1" applyProtection="1">
      <alignment vertical="center"/>
    </xf>
    <xf numFmtId="0" fontId="67" fillId="0" borderId="0" xfId="115" applyFont="1" applyAlignment="1">
      <alignment vertical="center"/>
    </xf>
    <xf numFmtId="0" fontId="40" fillId="0" borderId="0" xfId="0" applyFont="1" applyAlignment="1">
      <alignment vertical="center"/>
    </xf>
    <xf numFmtId="0" fontId="67" fillId="0" borderId="0" xfId="115" applyFont="1" applyAlignment="1" applyProtection="1">
      <alignment vertical="center"/>
      <protection hidden="1"/>
    </xf>
    <xf numFmtId="0" fontId="67" fillId="0" borderId="0" xfId="0" applyFont="1" applyAlignment="1" applyProtection="1">
      <alignment vertical="center"/>
      <protection hidden="1"/>
    </xf>
    <xf numFmtId="0" fontId="35" fillId="0" borderId="0" xfId="112" applyNumberFormat="1" applyFont="1" applyFill="1" applyBorder="1" applyAlignment="1" applyProtection="1">
      <alignment vertical="top"/>
      <protection hidden="1"/>
    </xf>
    <xf numFmtId="0" fontId="67" fillId="0" borderId="0" xfId="114" applyFont="1" applyAlignment="1">
      <alignment horizontal="left" vertical="top" wrapText="1"/>
    </xf>
    <xf numFmtId="0" fontId="71" fillId="0" borderId="0" xfId="0" applyFont="1"/>
    <xf numFmtId="0" fontId="53" fillId="0" borderId="9" xfId="0" applyFont="1" applyBorder="1" applyAlignment="1">
      <alignment horizontal="left" vertical="center" wrapText="1"/>
    </xf>
    <xf numFmtId="0" fontId="60" fillId="0" borderId="9" xfId="0" applyFont="1" applyBorder="1" applyAlignment="1">
      <alignment horizontal="center" vertical="top" wrapText="1"/>
    </xf>
    <xf numFmtId="0" fontId="60" fillId="0" borderId="9" xfId="0" applyFont="1" applyBorder="1" applyAlignment="1">
      <alignment vertical="top" wrapText="1"/>
    </xf>
    <xf numFmtId="166" fontId="53" fillId="0" borderId="9" xfId="0" applyNumberFormat="1" applyFont="1" applyBorder="1" applyAlignment="1">
      <alignment horizontal="center" vertical="center" wrapText="1"/>
    </xf>
    <xf numFmtId="0" fontId="67" fillId="0" borderId="9" xfId="115" applyFont="1" applyBorder="1" applyAlignment="1" applyProtection="1">
      <alignment horizontal="left" vertical="center"/>
      <protection locked="0"/>
    </xf>
    <xf numFmtId="0" fontId="67" fillId="0" borderId="9" xfId="115" applyFont="1" applyBorder="1" applyAlignment="1" applyProtection="1">
      <alignment vertical="center" wrapText="1"/>
      <protection locked="0"/>
    </xf>
    <xf numFmtId="0" fontId="67" fillId="0" borderId="9" xfId="115" applyFont="1" applyBorder="1" applyAlignment="1" applyProtection="1">
      <alignment vertical="center"/>
      <protection locked="0"/>
    </xf>
    <xf numFmtId="0" fontId="67" fillId="0" borderId="0" xfId="0" applyFont="1" applyProtection="1">
      <protection locked="0"/>
    </xf>
    <xf numFmtId="0" fontId="66" fillId="0" borderId="9" xfId="0" applyFont="1" applyBorder="1" applyAlignment="1">
      <alignment horizontal="center" vertical="center" wrapText="1"/>
    </xf>
    <xf numFmtId="0" fontId="67" fillId="0" borderId="9" xfId="0" applyFont="1" applyBorder="1" applyAlignment="1" applyProtection="1">
      <alignment horizontal="center" vertical="center"/>
      <protection locked="0"/>
    </xf>
    <xf numFmtId="0" fontId="77" fillId="0" borderId="9" xfId="0" applyFont="1" applyBorder="1" applyAlignment="1">
      <alignment horizontal="center" vertical="center"/>
    </xf>
    <xf numFmtId="0" fontId="66" fillId="0" borderId="9" xfId="0" applyFont="1" applyBorder="1"/>
    <xf numFmtId="0" fontId="67" fillId="0" borderId="0" xfId="115" applyFont="1" applyAlignment="1" applyProtection="1">
      <alignment horizontal="left" vertical="center"/>
      <protection locked="0"/>
    </xf>
    <xf numFmtId="0" fontId="67" fillId="0" borderId="0" xfId="115" applyFont="1" applyAlignment="1" applyProtection="1">
      <alignment horizontal="left" vertical="center" wrapText="1"/>
      <protection hidden="1"/>
    </xf>
    <xf numFmtId="2" fontId="53" fillId="0" borderId="0" xfId="115" applyNumberFormat="1" applyFont="1" applyAlignment="1" applyProtection="1">
      <alignment vertical="center"/>
      <protection hidden="1"/>
    </xf>
    <xf numFmtId="0" fontId="66" fillId="0" borderId="0" xfId="0" applyFont="1"/>
    <xf numFmtId="0" fontId="78" fillId="0" borderId="0" xfId="115" applyFont="1" applyAlignment="1" applyProtection="1">
      <alignment horizontal="justify" vertical="center" wrapText="1"/>
      <protection hidden="1"/>
    </xf>
    <xf numFmtId="0" fontId="66" fillId="0" borderId="0" xfId="0" applyFont="1" applyAlignment="1" applyProtection="1">
      <alignment horizontal="center" vertical="center"/>
      <protection locked="0"/>
    </xf>
    <xf numFmtId="0" fontId="78" fillId="0" borderId="0" xfId="115" applyFont="1" applyAlignment="1" applyProtection="1">
      <alignment horizontal="center" vertical="center" wrapText="1"/>
      <protection hidden="1"/>
    </xf>
    <xf numFmtId="0" fontId="53" fillId="0" borderId="0" xfId="0" applyFont="1" applyAlignment="1" applyProtection="1">
      <alignment horizontal="justify" vertical="center"/>
      <protection hidden="1"/>
    </xf>
    <xf numFmtId="175" fontId="53" fillId="0" borderId="0" xfId="0" applyNumberFormat="1" applyFont="1" applyAlignment="1" applyProtection="1">
      <alignment horizontal="left" vertical="center" indent="1"/>
      <protection hidden="1"/>
    </xf>
    <xf numFmtId="0" fontId="53" fillId="0" borderId="0" xfId="0" applyFont="1" applyAlignment="1" applyProtection="1">
      <alignment horizontal="left" vertical="center" indent="1"/>
      <protection hidden="1"/>
    </xf>
    <xf numFmtId="0" fontId="67" fillId="0" borderId="0" xfId="0" applyFont="1" applyAlignment="1" applyProtection="1">
      <alignment horizontal="center" vertical="center"/>
      <protection hidden="1"/>
    </xf>
    <xf numFmtId="0" fontId="67" fillId="0" borderId="0" xfId="0" applyFont="1" applyAlignment="1" applyProtection="1">
      <alignment horizontal="justify" vertical="center"/>
      <protection hidden="1"/>
    </xf>
    <xf numFmtId="0" fontId="53" fillId="0" borderId="0" xfId="115" applyFont="1" applyAlignment="1" applyProtection="1">
      <alignment horizontal="left" vertical="top"/>
      <protection hidden="1"/>
    </xf>
    <xf numFmtId="0" fontId="67" fillId="0" borderId="0" xfId="115" applyFont="1" applyAlignment="1" applyProtection="1">
      <alignment vertical="top" wrapText="1"/>
      <protection hidden="1"/>
    </xf>
    <xf numFmtId="0" fontId="71" fillId="0" borderId="0" xfId="115" applyFont="1" applyAlignment="1" applyProtection="1">
      <alignment horizontal="left" vertical="center"/>
      <protection locked="0"/>
    </xf>
    <xf numFmtId="0" fontId="71" fillId="0" borderId="0" xfId="115" applyFont="1" applyAlignment="1" applyProtection="1">
      <alignment vertical="center" wrapText="1"/>
      <protection locked="0"/>
    </xf>
    <xf numFmtId="0" fontId="71" fillId="0" borderId="0" xfId="115" applyFont="1" applyAlignment="1" applyProtection="1">
      <alignment vertical="center"/>
      <protection locked="0"/>
    </xf>
    <xf numFmtId="0" fontId="71" fillId="0" borderId="0" xfId="0" applyFont="1" applyProtection="1">
      <protection locked="0"/>
    </xf>
    <xf numFmtId="0" fontId="53" fillId="0" borderId="0" xfId="0" applyFont="1" applyAlignment="1" applyProtection="1">
      <alignment horizontal="left" vertical="center"/>
      <protection locked="0"/>
    </xf>
    <xf numFmtId="0" fontId="53" fillId="0" borderId="0" xfId="0" applyFont="1" applyAlignment="1" applyProtection="1">
      <alignment horizontal="justify" vertical="center" wrapText="1"/>
      <protection locked="0"/>
    </xf>
    <xf numFmtId="0" fontId="53" fillId="0" borderId="0" xfId="0" applyFont="1" applyAlignment="1" applyProtection="1">
      <alignment horizontal="center" vertical="center"/>
      <protection locked="0"/>
    </xf>
    <xf numFmtId="0" fontId="67" fillId="0" borderId="0" xfId="0" applyFont="1" applyAlignment="1" applyProtection="1">
      <alignment horizontal="left" vertical="center"/>
      <protection locked="0"/>
    </xf>
    <xf numFmtId="0" fontId="67" fillId="0" borderId="0" xfId="0" applyFont="1" applyAlignment="1" applyProtection="1">
      <alignment horizontal="justify" vertical="center" wrapText="1"/>
      <protection locked="0"/>
    </xf>
    <xf numFmtId="0" fontId="67" fillId="0" borderId="0" xfId="0" applyFont="1" applyAlignment="1" applyProtection="1">
      <alignment horizontal="center" vertical="center"/>
      <protection locked="0"/>
    </xf>
    <xf numFmtId="0" fontId="53" fillId="0" borderId="0" xfId="115" applyFont="1" applyAlignment="1" applyProtection="1">
      <alignment horizontal="center" vertical="center" wrapText="1"/>
      <protection locked="0"/>
    </xf>
    <xf numFmtId="0" fontId="53" fillId="0" borderId="0" xfId="115" applyFont="1" applyAlignment="1" applyProtection="1">
      <alignment horizontal="left" vertical="center"/>
      <protection locked="0"/>
    </xf>
    <xf numFmtId="0" fontId="53" fillId="0" borderId="0" xfId="115" applyFont="1" applyAlignment="1" applyProtection="1">
      <alignment horizontal="center" vertical="center"/>
      <protection locked="0"/>
    </xf>
    <xf numFmtId="0" fontId="53" fillId="0" borderId="0" xfId="115" applyFont="1" applyAlignment="1" applyProtection="1">
      <alignment vertical="center"/>
      <protection locked="0"/>
    </xf>
    <xf numFmtId="0" fontId="67" fillId="0" borderId="0" xfId="114" applyFont="1" applyAlignment="1" applyProtection="1">
      <alignment vertical="center" wrapText="1"/>
      <protection locked="0"/>
    </xf>
    <xf numFmtId="0" fontId="67" fillId="0" borderId="0" xfId="114" applyFont="1" applyAlignment="1" applyProtection="1">
      <alignment vertical="center"/>
      <protection locked="0"/>
    </xf>
    <xf numFmtId="0" fontId="53" fillId="0" borderId="0" xfId="111" applyNumberFormat="1" applyFont="1" applyFill="1" applyBorder="1" applyAlignment="1" applyProtection="1">
      <alignment horizontal="justify" vertical="center"/>
      <protection locked="0"/>
    </xf>
    <xf numFmtId="0" fontId="53" fillId="0" borderId="0" xfId="117" applyFont="1" applyAlignment="1" applyProtection="1">
      <alignment vertical="top"/>
      <protection locked="0"/>
    </xf>
    <xf numFmtId="0" fontId="67" fillId="0" borderId="0" xfId="114" applyFont="1" applyAlignment="1" applyProtection="1">
      <alignment horizontal="left" vertical="top"/>
      <protection locked="0"/>
    </xf>
    <xf numFmtId="0" fontId="67" fillId="0" borderId="0" xfId="114" applyFont="1" applyAlignment="1" applyProtection="1">
      <alignment vertical="top"/>
      <protection locked="0"/>
    </xf>
    <xf numFmtId="0" fontId="67" fillId="0" borderId="0" xfId="115" applyFont="1" applyAlignment="1" applyProtection="1">
      <alignment vertical="center" wrapText="1"/>
      <protection locked="0"/>
    </xf>
    <xf numFmtId="0" fontId="67" fillId="0" borderId="0" xfId="115" applyFont="1" applyAlignment="1" applyProtection="1">
      <alignment vertical="center"/>
      <protection locked="0"/>
    </xf>
    <xf numFmtId="0" fontId="53" fillId="0" borderId="0" xfId="0" applyFont="1" applyAlignment="1" applyProtection="1">
      <alignment horizontal="left" vertical="center" wrapText="1"/>
      <protection locked="0"/>
    </xf>
    <xf numFmtId="0" fontId="53" fillId="0" borderId="0" xfId="0" applyFont="1" applyAlignment="1" applyProtection="1">
      <alignment horizontal="center" vertical="center" wrapText="1"/>
      <protection locked="0"/>
    </xf>
    <xf numFmtId="167" fontId="53" fillId="0" borderId="0" xfId="8" applyNumberFormat="1" applyFont="1" applyFill="1" applyBorder="1" applyAlignment="1" applyProtection="1">
      <alignment horizontal="left" vertical="center" wrapText="1" indent="1"/>
      <protection locked="0"/>
    </xf>
    <xf numFmtId="0" fontId="53" fillId="0" borderId="0" xfId="0" applyFont="1" applyAlignment="1" applyProtection="1">
      <alignment vertical="center" wrapText="1"/>
      <protection locked="0"/>
    </xf>
    <xf numFmtId="167" fontId="67" fillId="0" borderId="0" xfId="8" applyNumberFormat="1" applyFont="1" applyFill="1" applyBorder="1" applyAlignment="1" applyProtection="1">
      <alignment horizontal="right" vertical="center" wrapText="1" indent="1"/>
      <protection locked="0"/>
    </xf>
    <xf numFmtId="0" fontId="67" fillId="0" borderId="0" xfId="0" applyFont="1" applyAlignment="1" applyProtection="1">
      <alignment vertical="center" wrapText="1"/>
      <protection locked="0"/>
    </xf>
    <xf numFmtId="167" fontId="67" fillId="0" borderId="0" xfId="8" applyNumberFormat="1" applyFont="1" applyFill="1" applyBorder="1" applyAlignment="1" applyProtection="1">
      <alignment horizontal="left" vertical="center" wrapText="1"/>
      <protection locked="0"/>
    </xf>
    <xf numFmtId="165" fontId="53" fillId="0" borderId="0" xfId="115" applyNumberFormat="1" applyFont="1" applyAlignment="1" applyProtection="1">
      <alignment horizontal="center" vertical="center"/>
      <protection locked="0"/>
    </xf>
    <xf numFmtId="167" fontId="53" fillId="0" borderId="0" xfId="8" applyNumberFormat="1" applyFont="1" applyFill="1" applyBorder="1" applyAlignment="1" applyProtection="1">
      <alignment horizontal="right" vertical="center" wrapText="1" indent="1"/>
      <protection locked="0"/>
    </xf>
    <xf numFmtId="167" fontId="53" fillId="0" borderId="0" xfId="8" applyNumberFormat="1" applyFont="1" applyFill="1" applyBorder="1" applyAlignment="1" applyProtection="1">
      <alignment horizontal="left" vertical="center" wrapText="1"/>
      <protection locked="0"/>
    </xf>
    <xf numFmtId="0" fontId="53" fillId="0" borderId="0" xfId="0" applyFont="1" applyProtection="1">
      <protection locked="0"/>
    </xf>
    <xf numFmtId="0" fontId="67" fillId="0" borderId="0" xfId="115" applyFont="1" applyAlignment="1" applyProtection="1">
      <alignment horizontal="left" vertical="center" wrapText="1"/>
      <protection locked="0"/>
    </xf>
    <xf numFmtId="0" fontId="67" fillId="0" borderId="0" xfId="115" applyFont="1" applyAlignment="1" applyProtection="1">
      <alignment horizontal="right" vertical="center" wrapText="1"/>
      <protection locked="0"/>
    </xf>
    <xf numFmtId="0" fontId="67" fillId="0" borderId="0" xfId="0" applyFont="1" applyAlignment="1" applyProtection="1">
      <alignment horizontal="left" vertical="center" wrapText="1"/>
      <protection locked="0"/>
    </xf>
    <xf numFmtId="167" fontId="67" fillId="0" borderId="0" xfId="8" applyNumberFormat="1" applyFont="1" applyFill="1" applyBorder="1" applyAlignment="1" applyProtection="1">
      <alignment horizontal="right" vertical="center" wrapText="1"/>
      <protection locked="0"/>
    </xf>
    <xf numFmtId="0" fontId="72" fillId="0" borderId="0" xfId="0" applyFont="1" applyAlignment="1" applyProtection="1">
      <alignment horizontal="left" vertical="center" wrapText="1"/>
      <protection locked="0"/>
    </xf>
    <xf numFmtId="0" fontId="72" fillId="0" borderId="0" xfId="0" applyFont="1" applyAlignment="1" applyProtection="1">
      <alignment horizontal="center" vertical="center" wrapText="1"/>
      <protection locked="0"/>
    </xf>
    <xf numFmtId="0" fontId="79" fillId="0" borderId="0" xfId="113" applyNumberFormat="1" applyFont="1" applyFill="1" applyBorder="1" applyAlignment="1" applyProtection="1">
      <alignment horizontal="center" vertical="center"/>
      <protection hidden="1"/>
    </xf>
    <xf numFmtId="0" fontId="80" fillId="0" borderId="0" xfId="113" applyNumberFormat="1" applyFont="1" applyFill="1" applyBorder="1" applyAlignment="1" applyProtection="1">
      <alignment horizontal="center" vertical="center"/>
      <protection hidden="1"/>
    </xf>
    <xf numFmtId="0" fontId="80" fillId="0" borderId="0" xfId="113" applyNumberFormat="1" applyFont="1" applyFill="1" applyBorder="1" applyAlignment="1" applyProtection="1">
      <alignment horizontal="center" vertical="top"/>
      <protection hidden="1"/>
    </xf>
    <xf numFmtId="0" fontId="46" fillId="0" borderId="0" xfId="113" applyNumberFormat="1" applyFont="1" applyFill="1" applyBorder="1" applyAlignment="1" applyProtection="1">
      <alignment horizontal="center" vertical="top"/>
      <protection hidden="1"/>
    </xf>
    <xf numFmtId="0" fontId="36" fillId="0" borderId="0" xfId="113" applyNumberFormat="1" applyFont="1" applyFill="1" applyBorder="1" applyAlignment="1" applyProtection="1">
      <alignment horizontal="center" vertical="top"/>
      <protection hidden="1"/>
    </xf>
    <xf numFmtId="0" fontId="53" fillId="0" borderId="5" xfId="73" applyFont="1" applyBorder="1" applyAlignment="1" applyProtection="1">
      <alignment horizontal="center" vertical="center"/>
      <protection hidden="1"/>
    </xf>
    <xf numFmtId="0" fontId="79" fillId="0" borderId="0" xfId="113" applyNumberFormat="1" applyFont="1" applyFill="1" applyBorder="1" applyAlignment="1" applyProtection="1">
      <alignment vertical="center"/>
      <protection hidden="1"/>
    </xf>
    <xf numFmtId="0" fontId="81" fillId="0" borderId="0" xfId="113" applyNumberFormat="1" applyFont="1" applyFill="1" applyBorder="1" applyAlignment="1" applyProtection="1">
      <alignment vertical="center"/>
      <protection hidden="1"/>
    </xf>
    <xf numFmtId="0" fontId="81" fillId="0" borderId="0" xfId="113" applyNumberFormat="1" applyFont="1" applyFill="1" applyBorder="1" applyAlignment="1" applyProtection="1">
      <alignment vertical="top"/>
      <protection hidden="1"/>
    </xf>
    <xf numFmtId="0" fontId="82" fillId="0" borderId="0" xfId="113" applyNumberFormat="1" applyFont="1" applyFill="1" applyBorder="1" applyAlignment="1" applyProtection="1">
      <alignment vertical="top"/>
      <protection hidden="1"/>
    </xf>
    <xf numFmtId="0" fontId="83" fillId="0" borderId="0" xfId="113" applyNumberFormat="1" applyFont="1" applyFill="1" applyBorder="1" applyAlignment="1" applyProtection="1">
      <alignment vertical="top"/>
      <protection hidden="1"/>
    </xf>
    <xf numFmtId="0" fontId="35" fillId="0" borderId="0" xfId="113" applyNumberFormat="1" applyFont="1" applyFill="1" applyBorder="1" applyAlignment="1" applyProtection="1">
      <alignment vertical="top"/>
      <protection hidden="1"/>
    </xf>
    <xf numFmtId="0" fontId="67" fillId="0" borderId="0" xfId="73" applyFont="1" applyAlignment="1" applyProtection="1">
      <alignment horizontal="left" vertical="center" indent="1"/>
      <protection hidden="1"/>
    </xf>
    <xf numFmtId="0" fontId="53" fillId="0" borderId="0" xfId="73" applyFont="1" applyAlignment="1" applyProtection="1">
      <alignment horizontal="center" vertical="center"/>
      <protection hidden="1"/>
    </xf>
    <xf numFmtId="0" fontId="67" fillId="0" borderId="0" xfId="115" applyFont="1" applyAlignment="1" applyProtection="1">
      <alignment horizontal="left" vertical="center" indent="1"/>
      <protection hidden="1"/>
    </xf>
    <xf numFmtId="0" fontId="37" fillId="0" borderId="9" xfId="113" applyNumberFormat="1" applyFont="1" applyFill="1" applyBorder="1" applyAlignment="1" applyProtection="1">
      <alignment vertical="center"/>
      <protection hidden="1"/>
    </xf>
    <xf numFmtId="4" fontId="48" fillId="0" borderId="9" xfId="8" applyNumberFormat="1" applyFont="1" applyFill="1" applyBorder="1" applyAlignment="1" applyProtection="1">
      <alignment vertical="top"/>
      <protection hidden="1"/>
    </xf>
    <xf numFmtId="2" fontId="80" fillId="0" borderId="0" xfId="113" applyNumberFormat="1" applyFont="1" applyFill="1" applyBorder="1" applyAlignment="1" applyProtection="1">
      <alignment vertical="top"/>
      <protection hidden="1"/>
    </xf>
    <xf numFmtId="43" fontId="81" fillId="0" borderId="0" xfId="113" applyNumberFormat="1" applyFont="1" applyFill="1" applyBorder="1" applyAlignment="1" applyProtection="1">
      <alignment vertical="top"/>
      <protection hidden="1"/>
    </xf>
    <xf numFmtId="0" fontId="36" fillId="0" borderId="9" xfId="113" applyNumberFormat="1" applyFont="1" applyFill="1" applyBorder="1" applyAlignment="1" applyProtection="1">
      <alignment vertical="center"/>
      <protection hidden="1"/>
    </xf>
    <xf numFmtId="4" fontId="80" fillId="0" borderId="9" xfId="8" applyNumberFormat="1" applyFont="1" applyFill="1" applyBorder="1" applyAlignment="1" applyProtection="1">
      <alignment vertical="top"/>
      <protection hidden="1"/>
    </xf>
    <xf numFmtId="0" fontId="35" fillId="0" borderId="0" xfId="113" applyNumberFormat="1" applyFont="1" applyFill="1" applyBorder="1" applyAlignment="1" applyProtection="1">
      <alignment vertical="center"/>
      <protection hidden="1"/>
    </xf>
    <xf numFmtId="0" fontId="67" fillId="0" borderId="0" xfId="113" applyFont="1" applyAlignment="1" applyProtection="1">
      <alignment vertical="top"/>
      <protection hidden="1"/>
    </xf>
    <xf numFmtId="0" fontId="53" fillId="0" borderId="0" xfId="113" applyFont="1" applyAlignment="1" applyProtection="1">
      <alignment vertical="top"/>
      <protection hidden="1"/>
    </xf>
    <xf numFmtId="0" fontId="67" fillId="0" borderId="0" xfId="113" applyFont="1" applyAlignment="1" applyProtection="1">
      <alignment vertical="center"/>
      <protection hidden="1"/>
    </xf>
    <xf numFmtId="0" fontId="67" fillId="0" borderId="0" xfId="113" applyFont="1" applyAlignment="1" applyProtection="1">
      <alignment vertical="center" wrapText="1"/>
      <protection hidden="1"/>
    </xf>
    <xf numFmtId="43" fontId="79" fillId="0" borderId="0" xfId="113" applyNumberFormat="1" applyFont="1" applyFill="1" applyBorder="1" applyAlignment="1" applyProtection="1">
      <alignment vertical="center"/>
      <protection hidden="1"/>
    </xf>
    <xf numFmtId="0" fontId="79" fillId="0" borderId="0" xfId="113" applyNumberFormat="1" applyFont="1" applyFill="1" applyBorder="1" applyAlignment="1" applyProtection="1">
      <alignment vertical="top"/>
      <protection hidden="1"/>
    </xf>
    <xf numFmtId="0" fontId="36" fillId="0" borderId="34" xfId="73" applyFont="1" applyBorder="1" applyAlignment="1" applyProtection="1">
      <alignment horizontal="center" vertical="top" wrapText="1"/>
      <protection hidden="1"/>
    </xf>
    <xf numFmtId="0" fontId="36" fillId="0" borderId="35" xfId="73" applyFont="1" applyBorder="1" applyAlignment="1" applyProtection="1">
      <alignment horizontal="center" vertical="top" wrapText="1"/>
      <protection hidden="1"/>
    </xf>
    <xf numFmtId="0" fontId="81" fillId="0" borderId="0" xfId="113" applyNumberFormat="1" applyFont="1" applyFill="1" applyBorder="1" applyAlignment="1" applyProtection="1">
      <alignment vertical="top" wrapText="1"/>
      <protection hidden="1"/>
    </xf>
    <xf numFmtId="0" fontId="67" fillId="0" borderId="0" xfId="113" applyNumberFormat="1" applyFont="1" applyFill="1" applyBorder="1" applyAlignment="1" applyProtection="1">
      <alignment vertical="center"/>
      <protection hidden="1"/>
    </xf>
    <xf numFmtId="0" fontId="67" fillId="0" borderId="9" xfId="113" applyFont="1" applyBorder="1" applyAlignment="1" applyProtection="1">
      <alignment horizontal="center" vertical="top"/>
      <protection hidden="1"/>
    </xf>
    <xf numFmtId="4" fontId="67" fillId="3" borderId="9" xfId="113" applyNumberFormat="1" applyFont="1" applyFill="1" applyBorder="1" applyAlignment="1" applyProtection="1">
      <alignment horizontal="right" vertical="center"/>
      <protection locked="0"/>
    </xf>
    <xf numFmtId="164" fontId="37" fillId="0" borderId="18" xfId="8" applyFont="1" applyBorder="1" applyAlignment="1" applyProtection="1">
      <alignment horizontal="right" vertical="top" wrapText="1"/>
      <protection hidden="1"/>
    </xf>
    <xf numFmtId="164" fontId="37" fillId="0" borderId="14" xfId="8" applyFont="1" applyBorder="1" applyAlignment="1" applyProtection="1">
      <alignment horizontal="right" vertical="top" wrapText="1"/>
      <protection hidden="1"/>
    </xf>
    <xf numFmtId="10" fontId="67" fillId="3" borderId="9" xfId="113" applyNumberFormat="1" applyFont="1" applyFill="1" applyBorder="1" applyAlignment="1" applyProtection="1">
      <alignment horizontal="right" vertical="center"/>
      <protection locked="0"/>
    </xf>
    <xf numFmtId="164" fontId="37" fillId="0" borderId="9" xfId="8" applyFont="1" applyBorder="1" applyAlignment="1" applyProtection="1">
      <alignment horizontal="right" vertical="top" wrapText="1"/>
      <protection hidden="1"/>
    </xf>
    <xf numFmtId="164" fontId="37" fillId="0" borderId="24" xfId="8" applyFont="1" applyBorder="1" applyAlignment="1" applyProtection="1">
      <alignment horizontal="right" vertical="top" wrapText="1"/>
      <protection hidden="1"/>
    </xf>
    <xf numFmtId="0" fontId="67" fillId="0" borderId="0" xfId="113" applyNumberFormat="1" applyFont="1" applyFill="1" applyBorder="1" applyAlignment="1" applyProtection="1">
      <alignment vertical="top"/>
      <protection hidden="1"/>
    </xf>
    <xf numFmtId="0" fontId="67" fillId="0" borderId="17" xfId="113" applyFont="1" applyBorder="1" applyAlignment="1" applyProtection="1">
      <alignment horizontal="center" vertical="top"/>
      <protection hidden="1"/>
    </xf>
    <xf numFmtId="0" fontId="67" fillId="0" borderId="17" xfId="113" applyNumberFormat="1" applyFont="1" applyFill="1" applyBorder="1" applyAlignment="1" applyProtection="1">
      <alignment horizontal="right" vertical="top"/>
      <protection hidden="1"/>
    </xf>
    <xf numFmtId="0" fontId="84" fillId="0" borderId="0" xfId="113" applyNumberFormat="1" applyFont="1" applyFill="1" applyBorder="1" applyAlignment="1" applyProtection="1">
      <alignment vertical="top"/>
      <protection hidden="1"/>
    </xf>
    <xf numFmtId="0" fontId="71" fillId="0" borderId="0" xfId="113" applyNumberFormat="1" applyFont="1" applyFill="1" applyBorder="1" applyAlignment="1" applyProtection="1">
      <alignment vertical="top"/>
      <protection hidden="1"/>
    </xf>
    <xf numFmtId="0" fontId="53" fillId="0" borderId="19" xfId="113" applyFont="1" applyBorder="1" applyAlignment="1" applyProtection="1">
      <alignment horizontal="center" vertical="center" wrapText="1"/>
      <protection hidden="1"/>
    </xf>
    <xf numFmtId="0" fontId="67" fillId="0" borderId="20" xfId="113" applyFont="1" applyBorder="1" applyAlignment="1" applyProtection="1">
      <alignment horizontal="right" vertical="center"/>
      <protection hidden="1"/>
    </xf>
    <xf numFmtId="4" fontId="67" fillId="3" borderId="9" xfId="113" applyNumberFormat="1" applyFont="1" applyFill="1" applyBorder="1" applyAlignment="1" applyProtection="1">
      <alignment horizontal="right" vertical="center" wrapText="1"/>
      <protection locked="0"/>
    </xf>
    <xf numFmtId="164" fontId="37" fillId="0" borderId="35" xfId="8" applyFont="1" applyBorder="1" applyAlignment="1" applyProtection="1">
      <alignment horizontal="right" vertical="top" wrapText="1"/>
      <protection hidden="1"/>
    </xf>
    <xf numFmtId="164" fontId="37" fillId="0" borderId="16" xfId="8" applyFont="1" applyBorder="1" applyAlignment="1" applyProtection="1">
      <alignment horizontal="right" vertical="top" wrapText="1"/>
      <protection hidden="1"/>
    </xf>
    <xf numFmtId="0" fontId="79" fillId="0" borderId="0" xfId="113" applyNumberFormat="1" applyFont="1" applyFill="1" applyBorder="1" applyAlignment="1" applyProtection="1">
      <alignment horizontal="left" vertical="center" indent="3"/>
      <protection hidden="1"/>
    </xf>
    <xf numFmtId="177" fontId="79" fillId="0" borderId="0" xfId="113" applyNumberFormat="1" applyFont="1" applyFill="1" applyBorder="1" applyAlignment="1" applyProtection="1">
      <alignment vertical="top"/>
      <protection hidden="1"/>
    </xf>
    <xf numFmtId="164" fontId="37" fillId="0" borderId="12" xfId="8" applyFont="1" applyBorder="1" applyAlignment="1" applyProtection="1">
      <alignment horizontal="right" vertical="top" wrapText="1"/>
      <protection hidden="1"/>
    </xf>
    <xf numFmtId="164" fontId="37" fillId="0" borderId="55" xfId="8" applyFont="1" applyBorder="1" applyAlignment="1" applyProtection="1">
      <alignment horizontal="right" vertical="top" wrapText="1"/>
      <protection hidden="1"/>
    </xf>
    <xf numFmtId="4" fontId="67" fillId="9" borderId="9" xfId="113" applyNumberFormat="1" applyFont="1" applyFill="1" applyBorder="1" applyAlignment="1" applyProtection="1">
      <alignment horizontal="right" vertical="center" wrapText="1"/>
    </xf>
    <xf numFmtId="0" fontId="53" fillId="0" borderId="18" xfId="113" applyFont="1" applyBorder="1" applyAlignment="1" applyProtection="1">
      <alignment horizontal="center" vertical="center" wrapText="1"/>
      <protection hidden="1"/>
    </xf>
    <xf numFmtId="0" fontId="67" fillId="0" borderId="21" xfId="113" applyFont="1" applyBorder="1" applyAlignment="1" applyProtection="1">
      <alignment horizontal="right" vertical="center"/>
      <protection hidden="1"/>
    </xf>
    <xf numFmtId="164" fontId="37" fillId="0" borderId="25" xfId="8" applyFont="1" applyBorder="1" applyAlignment="1" applyProtection="1">
      <alignment horizontal="right" vertical="top" wrapText="1"/>
      <protection hidden="1"/>
    </xf>
    <xf numFmtId="0" fontId="53" fillId="0" borderId="0" xfId="113" applyFont="1" applyAlignment="1" applyProtection="1">
      <alignment horizontal="center" vertical="center" wrapText="1"/>
      <protection hidden="1"/>
    </xf>
    <xf numFmtId="10" fontId="67" fillId="3" borderId="9" xfId="113" applyNumberFormat="1" applyFont="1" applyFill="1" applyBorder="1" applyAlignment="1" applyProtection="1">
      <alignment horizontal="right" vertical="center" wrapText="1"/>
      <protection locked="0"/>
    </xf>
    <xf numFmtId="164" fontId="37" fillId="0" borderId="56" xfId="8" applyFont="1" applyBorder="1" applyAlignment="1" applyProtection="1">
      <alignment horizontal="right" vertical="top" wrapText="1"/>
      <protection hidden="1"/>
    </xf>
    <xf numFmtId="164" fontId="37" fillId="0" borderId="0" xfId="8" applyFont="1" applyBorder="1" applyAlignment="1" applyProtection="1">
      <alignment horizontal="right" vertical="top" wrapText="1"/>
      <protection hidden="1"/>
    </xf>
    <xf numFmtId="10" fontId="67" fillId="9" borderId="9" xfId="113" applyNumberFormat="1" applyFont="1" applyFill="1" applyBorder="1" applyAlignment="1" applyProtection="1">
      <alignment horizontal="right" vertical="center" wrapText="1"/>
    </xf>
    <xf numFmtId="0" fontId="67" fillId="0" borderId="16" xfId="113" applyFont="1" applyBorder="1" applyAlignment="1" applyProtection="1">
      <alignment vertical="center"/>
      <protection hidden="1"/>
    </xf>
    <xf numFmtId="164" fontId="37" fillId="0" borderId="9" xfId="8" applyFont="1" applyBorder="1" applyAlignment="1" applyProtection="1">
      <alignment horizontal="center" vertical="top" wrapText="1"/>
      <protection hidden="1"/>
    </xf>
    <xf numFmtId="0" fontId="67" fillId="0" borderId="0" xfId="113" applyFont="1" applyBorder="1" applyAlignment="1" applyProtection="1">
      <alignment horizontal="center" vertical="center"/>
      <protection hidden="1"/>
    </xf>
    <xf numFmtId="164" fontId="37" fillId="0" borderId="0" xfId="8" applyFont="1" applyBorder="1" applyAlignment="1" applyProtection="1">
      <alignment vertical="top" wrapText="1"/>
      <protection hidden="1"/>
    </xf>
    <xf numFmtId="164" fontId="36" fillId="0" borderId="17" xfId="8" applyFont="1" applyBorder="1" applyAlignment="1" applyProtection="1">
      <alignment vertical="top" wrapText="1"/>
      <protection hidden="1"/>
    </xf>
    <xf numFmtId="0" fontId="53" fillId="0" borderId="0" xfId="113" applyFont="1" applyBorder="1" applyAlignment="1" applyProtection="1">
      <alignment horizontal="center" vertical="center" wrapText="1"/>
      <protection hidden="1"/>
    </xf>
    <xf numFmtId="0" fontId="67" fillId="0" borderId="0" xfId="113" applyFont="1" applyBorder="1" applyAlignment="1" applyProtection="1">
      <alignment horizontal="justify" vertical="center"/>
      <protection hidden="1"/>
    </xf>
    <xf numFmtId="164" fontId="37" fillId="0" borderId="36" xfId="8" applyFont="1" applyBorder="1" applyAlignment="1" applyProtection="1">
      <alignment vertical="top" wrapText="1"/>
      <protection hidden="1"/>
    </xf>
    <xf numFmtId="164" fontId="37" fillId="0" borderId="57" xfId="8" applyFont="1" applyBorder="1" applyAlignment="1" applyProtection="1">
      <alignment vertical="top" wrapText="1"/>
      <protection hidden="1"/>
    </xf>
    <xf numFmtId="164" fontId="79" fillId="0" borderId="0" xfId="8" applyFont="1" applyFill="1" applyBorder="1" applyAlignment="1" applyProtection="1">
      <alignment vertical="top" wrapText="1"/>
      <protection hidden="1"/>
    </xf>
    <xf numFmtId="0" fontId="67" fillId="0" borderId="0" xfId="113" applyNumberFormat="1" applyFont="1" applyFill="1" applyBorder="1" applyAlignment="1" applyProtection="1">
      <alignment horizontal="left" vertical="center" indent="6"/>
      <protection hidden="1"/>
    </xf>
    <xf numFmtId="0" fontId="67" fillId="0" borderId="0" xfId="113" applyNumberFormat="1" applyFont="1" applyFill="1" applyBorder="1" applyAlignment="1" applyProtection="1">
      <alignment vertical="center" wrapText="1"/>
      <protection hidden="1"/>
    </xf>
    <xf numFmtId="164" fontId="36" fillId="0" borderId="38" xfId="8" applyFont="1" applyBorder="1" applyAlignment="1" applyProtection="1">
      <alignment vertical="top" wrapText="1"/>
      <protection hidden="1"/>
    </xf>
    <xf numFmtId="164" fontId="36" fillId="0" borderId="58" xfId="8" applyFont="1" applyBorder="1" applyAlignment="1" applyProtection="1">
      <alignment vertical="top" wrapText="1"/>
      <protection hidden="1"/>
    </xf>
    <xf numFmtId="164" fontId="36" fillId="0" borderId="39" xfId="8" applyFont="1" applyBorder="1" applyAlignment="1" applyProtection="1">
      <alignment vertical="top" wrapText="1"/>
      <protection hidden="1"/>
    </xf>
    <xf numFmtId="37" fontId="79" fillId="0" borderId="0" xfId="113" applyNumberFormat="1" applyFont="1" applyFill="1" applyBorder="1" applyAlignment="1" applyProtection="1">
      <alignment vertical="top"/>
      <protection hidden="1"/>
    </xf>
    <xf numFmtId="0" fontId="67" fillId="0" borderId="0" xfId="107" applyFont="1" applyAlignment="1" applyProtection="1">
      <alignment vertical="center"/>
      <protection hidden="1"/>
    </xf>
    <xf numFmtId="165" fontId="67" fillId="0" borderId="0" xfId="73" applyNumberFormat="1" applyFont="1" applyAlignment="1" applyProtection="1">
      <alignment horizontal="center" vertical="center"/>
      <protection hidden="1"/>
    </xf>
    <xf numFmtId="179" fontId="37" fillId="0" borderId="36" xfId="73" applyNumberFormat="1" applyFont="1" applyBorder="1" applyAlignment="1" applyProtection="1">
      <alignment vertical="top" wrapText="1"/>
      <protection hidden="1"/>
    </xf>
    <xf numFmtId="179" fontId="37" fillId="0" borderId="37" xfId="73" applyNumberFormat="1" applyFont="1" applyBorder="1" applyAlignment="1" applyProtection="1">
      <alignment vertical="top" wrapText="1"/>
      <protection hidden="1"/>
    </xf>
    <xf numFmtId="0" fontId="85" fillId="0" borderId="0" xfId="113" applyNumberFormat="1" applyFont="1" applyFill="1" applyBorder="1" applyAlignment="1" applyProtection="1">
      <alignment vertical="top"/>
      <protection hidden="1"/>
    </xf>
    <xf numFmtId="0" fontId="35" fillId="0" borderId="0" xfId="107" applyFont="1" applyProtection="1">
      <protection hidden="1"/>
    </xf>
    <xf numFmtId="175" fontId="53" fillId="0" borderId="0" xfId="107" applyNumberFormat="1" applyFont="1" applyAlignment="1" applyProtection="1">
      <alignment vertical="center"/>
      <protection hidden="1"/>
    </xf>
    <xf numFmtId="0" fontId="53" fillId="0" borderId="0" xfId="107" applyFont="1" applyAlignment="1" applyProtection="1">
      <alignment horizontal="right" vertical="center"/>
      <protection hidden="1"/>
    </xf>
    <xf numFmtId="0" fontId="79" fillId="0" borderId="0" xfId="107" applyFont="1" applyAlignment="1" applyProtection="1">
      <alignment horizontal="left" vertical="center"/>
      <protection hidden="1"/>
    </xf>
    <xf numFmtId="0" fontId="53" fillId="0" borderId="0" xfId="107" applyFont="1" applyAlignment="1" applyProtection="1">
      <alignment horizontal="left" vertical="center" indent="2"/>
      <protection hidden="1"/>
    </xf>
    <xf numFmtId="10" fontId="67" fillId="0" borderId="9" xfId="113" applyNumberFormat="1" applyFont="1" applyFill="1" applyBorder="1" applyAlignment="1" applyProtection="1">
      <alignment horizontal="left" vertical="center"/>
      <protection hidden="1"/>
    </xf>
    <xf numFmtId="4" fontId="67" fillId="9" borderId="24" xfId="113" applyNumberFormat="1" applyFont="1" applyFill="1" applyBorder="1" applyAlignment="1" applyProtection="1">
      <alignment vertical="center"/>
    </xf>
    <xf numFmtId="4" fontId="67" fillId="9" borderId="3" xfId="113" applyNumberFormat="1" applyFont="1" applyFill="1" applyBorder="1" applyAlignment="1" applyProtection="1">
      <alignment vertical="center"/>
    </xf>
    <xf numFmtId="49" fontId="67" fillId="0" borderId="9" xfId="113" applyNumberFormat="1" applyFont="1" applyFill="1" applyBorder="1" applyAlignment="1" applyProtection="1">
      <alignment horizontal="left" vertical="center"/>
      <protection hidden="1"/>
    </xf>
    <xf numFmtId="0" fontId="67" fillId="0" borderId="0" xfId="107" applyFont="1" applyAlignment="1" applyProtection="1">
      <alignment horizontal="left" vertical="center" indent="1"/>
      <protection hidden="1"/>
    </xf>
    <xf numFmtId="0" fontId="53" fillId="0" borderId="5" xfId="106" applyFont="1" applyBorder="1" applyAlignment="1">
      <alignment vertical="center"/>
    </xf>
    <xf numFmtId="0" fontId="67" fillId="0" borderId="5" xfId="106" applyFont="1" applyBorder="1" applyAlignment="1">
      <alignment vertical="center"/>
    </xf>
    <xf numFmtId="0" fontId="53" fillId="0" borderId="5" xfId="106" applyFont="1" applyBorder="1" applyAlignment="1">
      <alignment horizontal="right" vertical="center"/>
    </xf>
    <xf numFmtId="0" fontId="67" fillId="0" borderId="0" xfId="106" applyFont="1" applyAlignment="1">
      <alignment vertical="center"/>
    </xf>
    <xf numFmtId="0" fontId="67" fillId="0" borderId="0" xfId="106" applyFont="1"/>
    <xf numFmtId="0" fontId="71" fillId="0" borderId="0" xfId="106" applyFont="1"/>
    <xf numFmtId="0" fontId="71" fillId="0" borderId="0" xfId="106" applyFont="1" applyAlignment="1">
      <alignment horizontal="center" vertical="center"/>
    </xf>
    <xf numFmtId="0" fontId="53" fillId="0" borderId="0" xfId="106" applyFont="1" applyAlignment="1">
      <alignment horizontal="center" vertical="center"/>
    </xf>
    <xf numFmtId="0" fontId="67" fillId="0" borderId="0" xfId="106" applyFont="1" applyAlignment="1">
      <alignment horizontal="left" vertical="center"/>
    </xf>
    <xf numFmtId="0" fontId="71" fillId="0" borderId="0" xfId="106" applyFont="1" applyAlignment="1">
      <alignment horizontal="center"/>
    </xf>
    <xf numFmtId="175" fontId="67" fillId="0" borderId="0" xfId="106" applyNumberFormat="1" applyFont="1" applyAlignment="1">
      <alignment horizontal="left" vertical="center"/>
    </xf>
    <xf numFmtId="0" fontId="67" fillId="0" borderId="0" xfId="108" applyFont="1" applyAlignment="1">
      <alignment horizontal="left" vertical="center"/>
    </xf>
    <xf numFmtId="0" fontId="53" fillId="0" borderId="0" xfId="108" applyFont="1" applyAlignment="1">
      <alignment horizontal="left" vertical="center"/>
    </xf>
    <xf numFmtId="0" fontId="67" fillId="0" borderId="0" xfId="106" applyFont="1" applyAlignment="1">
      <alignment horizontal="justify" vertical="center"/>
    </xf>
    <xf numFmtId="0" fontId="67" fillId="0" borderId="0" xfId="116" applyFont="1" applyAlignment="1">
      <alignment horizontal="left" vertical="center"/>
    </xf>
    <xf numFmtId="0" fontId="53" fillId="0" borderId="0" xfId="106" applyFont="1" applyAlignment="1">
      <alignment vertical="top"/>
    </xf>
    <xf numFmtId="165" fontId="53" fillId="0" borderId="0" xfId="106" applyNumberFormat="1" applyFont="1" applyAlignment="1">
      <alignment horizontal="center" vertical="top"/>
    </xf>
    <xf numFmtId="165" fontId="67" fillId="0" borderId="0" xfId="106" applyNumberFormat="1" applyFont="1" applyAlignment="1">
      <alignment horizontal="center" vertical="top"/>
    </xf>
    <xf numFmtId="0" fontId="67" fillId="0" borderId="9" xfId="106" applyFont="1" applyBorder="1" applyAlignment="1">
      <alignment vertical="center"/>
    </xf>
    <xf numFmtId="0" fontId="66" fillId="0" borderId="0" xfId="106" applyFont="1" applyAlignment="1">
      <alignment horizontal="justify" vertical="top"/>
    </xf>
    <xf numFmtId="0" fontId="67" fillId="0" borderId="0" xfId="106" quotePrefix="1" applyFont="1" applyAlignment="1">
      <alignment horizontal="justify"/>
    </xf>
    <xf numFmtId="4" fontId="53" fillId="0" borderId="0" xfId="106" applyNumberFormat="1" applyFont="1" applyAlignment="1">
      <alignment vertical="center"/>
    </xf>
    <xf numFmtId="0" fontId="53" fillId="0" borderId="0" xfId="106" applyFont="1" applyAlignment="1">
      <alignment horizontal="justify" vertical="center"/>
    </xf>
    <xf numFmtId="0" fontId="53" fillId="0" borderId="0" xfId="106" applyFont="1" applyAlignment="1">
      <alignment vertical="center"/>
    </xf>
    <xf numFmtId="165" fontId="67" fillId="0" borderId="0" xfId="106" applyNumberFormat="1" applyFont="1" applyAlignment="1">
      <alignment horizontal="center" vertical="center"/>
    </xf>
    <xf numFmtId="0" fontId="71" fillId="0" borderId="0" xfId="106" applyFont="1" applyAlignment="1">
      <alignment vertical="center"/>
    </xf>
    <xf numFmtId="0" fontId="67" fillId="0" borderId="0" xfId="106" applyFont="1" applyAlignment="1">
      <alignment horizontal="center" vertical="top"/>
    </xf>
    <xf numFmtId="0" fontId="67" fillId="0" borderId="0" xfId="106" applyFont="1" applyAlignment="1">
      <alignment vertical="top"/>
    </xf>
    <xf numFmtId="0" fontId="67" fillId="0" borderId="0" xfId="73" applyFont="1" applyAlignment="1">
      <alignment horizontal="center" vertical="center" wrapText="1"/>
    </xf>
    <xf numFmtId="0" fontId="67" fillId="0" borderId="0" xfId="73" applyFont="1"/>
    <xf numFmtId="165" fontId="67" fillId="0" borderId="0" xfId="73" applyNumberFormat="1" applyFont="1" applyAlignment="1">
      <alignment horizontal="center" vertical="center"/>
    </xf>
    <xf numFmtId="0" fontId="67" fillId="0" borderId="0" xfId="73" applyFont="1" applyAlignment="1">
      <alignment horizontal="right" vertical="center"/>
    </xf>
    <xf numFmtId="175" fontId="53" fillId="0" borderId="0" xfId="106" applyNumberFormat="1" applyFont="1" applyAlignment="1">
      <alignment vertical="center"/>
    </xf>
    <xf numFmtId="0" fontId="53" fillId="0" borderId="0" xfId="106" applyFont="1" applyAlignment="1">
      <alignment horizontal="right" vertical="center"/>
    </xf>
    <xf numFmtId="0" fontId="53" fillId="0" borderId="0" xfId="106" applyFont="1" applyAlignment="1">
      <alignment horizontal="left" vertical="center" indent="2"/>
    </xf>
    <xf numFmtId="4" fontId="53" fillId="0" borderId="0" xfId="106" applyNumberFormat="1" applyFont="1" applyAlignment="1">
      <alignment horizontal="left" vertical="center" indent="1"/>
    </xf>
    <xf numFmtId="0" fontId="67" fillId="0" borderId="0" xfId="73" applyFont="1" applyAlignment="1">
      <alignment horizontal="left" vertical="center" wrapText="1" indent="2"/>
    </xf>
    <xf numFmtId="0" fontId="67" fillId="0" borderId="0" xfId="73" applyFont="1" applyAlignment="1">
      <alignment vertical="center" wrapText="1"/>
    </xf>
    <xf numFmtId="175" fontId="53" fillId="0" borderId="0" xfId="73" applyNumberFormat="1" applyFont="1" applyAlignment="1">
      <alignment horizontal="left" vertical="center" indent="1"/>
    </xf>
    <xf numFmtId="0" fontId="67" fillId="3" borderId="0" xfId="73" applyFont="1" applyFill="1" applyAlignment="1">
      <alignment vertical="center"/>
    </xf>
    <xf numFmtId="0" fontId="67" fillId="3" borderId="0" xfId="73" applyFont="1" applyFill="1" applyAlignment="1" applyProtection="1">
      <alignment vertical="center"/>
      <protection locked="0"/>
    </xf>
    <xf numFmtId="0" fontId="67" fillId="0" borderId="0" xfId="73" applyFont="1" applyAlignment="1">
      <alignment horizontal="left" vertical="center" indent="2"/>
    </xf>
    <xf numFmtId="0" fontId="53" fillId="0" borderId="0" xfId="73" applyFont="1" applyAlignment="1">
      <alignment horizontal="left" vertical="center"/>
    </xf>
    <xf numFmtId="0" fontId="67" fillId="3" borderId="22" xfId="73" applyFont="1" applyFill="1" applyBorder="1" applyAlignment="1" applyProtection="1">
      <alignment horizontal="left" vertical="center"/>
      <protection locked="0"/>
    </xf>
    <xf numFmtId="0" fontId="35" fillId="0" borderId="9" xfId="114" applyFont="1" applyBorder="1" applyAlignment="1" applyProtection="1">
      <alignment horizontal="center" vertical="center"/>
      <protection hidden="1"/>
    </xf>
    <xf numFmtId="0" fontId="42" fillId="0" borderId="12" xfId="114" applyFont="1" applyBorder="1" applyAlignment="1" applyProtection="1">
      <alignment horizontal="right" vertical="center"/>
      <protection hidden="1"/>
    </xf>
    <xf numFmtId="0" fontId="42" fillId="0" borderId="0" xfId="114" applyFont="1" applyAlignment="1" applyProtection="1">
      <alignment horizontal="right" vertical="center"/>
      <protection hidden="1"/>
    </xf>
    <xf numFmtId="0" fontId="42" fillId="0" borderId="9" xfId="114" applyFont="1" applyBorder="1" applyAlignment="1" applyProtection="1">
      <alignment horizontal="center" vertical="center"/>
      <protection hidden="1"/>
    </xf>
    <xf numFmtId="0" fontId="44" fillId="0" borderId="14" xfId="114" applyFont="1" applyBorder="1" applyAlignment="1" applyProtection="1">
      <alignment horizontal="right" vertical="center"/>
      <protection hidden="1"/>
    </xf>
    <xf numFmtId="0" fontId="44" fillId="0" borderId="5" xfId="114" applyFont="1" applyBorder="1" applyAlignment="1" applyProtection="1">
      <alignment horizontal="right" vertical="center"/>
      <protection hidden="1"/>
    </xf>
    <xf numFmtId="0" fontId="36" fillId="0" borderId="24" xfId="114" applyFont="1" applyBorder="1" applyAlignment="1" applyProtection="1">
      <alignment horizontal="center" vertical="center"/>
      <protection hidden="1"/>
    </xf>
    <xf numFmtId="0" fontId="36" fillId="0" borderId="3" xfId="114" applyFont="1" applyBorder="1" applyAlignment="1" applyProtection="1">
      <alignment horizontal="center" vertical="center"/>
      <protection hidden="1"/>
    </xf>
    <xf numFmtId="0" fontId="36" fillId="0" borderId="25" xfId="114" applyFont="1" applyBorder="1" applyAlignment="1" applyProtection="1">
      <alignment horizontal="center" vertical="center"/>
      <protection hidden="1"/>
    </xf>
    <xf numFmtId="0" fontId="38" fillId="0" borderId="17" xfId="114" applyFont="1" applyBorder="1" applyAlignment="1" applyProtection="1">
      <alignment horizontal="center" vertical="center" textRotation="180"/>
      <protection hidden="1"/>
    </xf>
    <xf numFmtId="0" fontId="38" fillId="0" borderId="19" xfId="114" applyFont="1" applyBorder="1" applyAlignment="1" applyProtection="1">
      <alignment horizontal="center" vertical="center" textRotation="180"/>
      <protection hidden="1"/>
    </xf>
    <xf numFmtId="0" fontId="38" fillId="0" borderId="18" xfId="114" applyFont="1" applyBorder="1" applyAlignment="1" applyProtection="1">
      <alignment horizontal="center" vertical="center" textRotation="180"/>
      <protection hidden="1"/>
    </xf>
    <xf numFmtId="0" fontId="39" fillId="0" borderId="30" xfId="114" applyFont="1" applyBorder="1" applyAlignment="1" applyProtection="1">
      <alignment horizontal="justify" vertical="center" wrapText="1"/>
      <protection hidden="1"/>
    </xf>
    <xf numFmtId="0" fontId="39" fillId="0" borderId="59" xfId="114" applyFont="1" applyBorder="1" applyAlignment="1" applyProtection="1">
      <alignment horizontal="justify" vertical="center" wrapText="1"/>
      <protection hidden="1"/>
    </xf>
    <xf numFmtId="0" fontId="39" fillId="0" borderId="31" xfId="114" applyFont="1" applyBorder="1" applyAlignment="1" applyProtection="1">
      <alignment horizontal="justify" vertical="center" wrapText="1"/>
      <protection hidden="1"/>
    </xf>
    <xf numFmtId="0" fontId="38" fillId="0" borderId="17" xfId="114" applyFont="1" applyBorder="1" applyAlignment="1" applyProtection="1">
      <alignment horizontal="center" vertical="center" textRotation="90"/>
      <protection hidden="1"/>
    </xf>
    <xf numFmtId="0" fontId="38" fillId="0" borderId="19" xfId="114" applyFont="1" applyBorder="1" applyAlignment="1" applyProtection="1">
      <alignment horizontal="center" vertical="center" textRotation="90"/>
      <protection hidden="1"/>
    </xf>
    <xf numFmtId="0" fontId="38" fillId="0" borderId="18" xfId="114" applyFont="1" applyBorder="1" applyAlignment="1" applyProtection="1">
      <alignment horizontal="center" vertical="center" textRotation="90"/>
      <protection hidden="1"/>
    </xf>
    <xf numFmtId="0" fontId="40" fillId="0" borderId="11" xfId="114" applyFont="1" applyBorder="1" applyAlignment="1" applyProtection="1">
      <alignment horizontal="center" vertical="center"/>
      <protection hidden="1"/>
    </xf>
    <xf numFmtId="0" fontId="40" fillId="0" borderId="22" xfId="114" applyFont="1" applyBorder="1" applyAlignment="1" applyProtection="1">
      <alignment horizontal="center" vertical="center"/>
      <protection hidden="1"/>
    </xf>
    <xf numFmtId="0" fontId="40" fillId="0" borderId="20" xfId="114" applyFont="1" applyBorder="1" applyAlignment="1" applyProtection="1">
      <alignment horizontal="center" vertical="center"/>
      <protection hidden="1"/>
    </xf>
    <xf numFmtId="0" fontId="41" fillId="0" borderId="22" xfId="114" applyFont="1" applyBorder="1" applyAlignment="1" applyProtection="1">
      <alignment horizontal="justify" vertical="center"/>
      <protection hidden="1"/>
    </xf>
    <xf numFmtId="0" fontId="41" fillId="0" borderId="20" xfId="114" applyFont="1" applyBorder="1" applyAlignment="1" applyProtection="1">
      <alignment horizontal="justify" vertical="center"/>
      <protection hidden="1"/>
    </xf>
    <xf numFmtId="0" fontId="35" fillId="0" borderId="12" xfId="114" applyFont="1" applyBorder="1"/>
    <xf numFmtId="0" fontId="35" fillId="0" borderId="0" xfId="114" applyFont="1"/>
    <xf numFmtId="0" fontId="35" fillId="0" borderId="13" xfId="114" applyFont="1" applyBorder="1"/>
    <xf numFmtId="0" fontId="42" fillId="0" borderId="60" xfId="114" applyFont="1" applyBorder="1" applyAlignment="1" applyProtection="1">
      <alignment horizontal="right" vertical="center"/>
      <protection hidden="1"/>
    </xf>
    <xf numFmtId="0" fontId="42" fillId="0" borderId="16" xfId="114" applyFont="1" applyBorder="1" applyAlignment="1" applyProtection="1">
      <alignment horizontal="right" vertical="center"/>
      <protection hidden="1"/>
    </xf>
    <xf numFmtId="0" fontId="44" fillId="0" borderId="12" xfId="114" applyFont="1" applyBorder="1" applyAlignment="1" applyProtection="1">
      <alignment horizontal="right" vertical="center"/>
      <protection hidden="1"/>
    </xf>
    <xf numFmtId="0" fontId="44" fillId="0" borderId="0" xfId="114" applyFont="1" applyAlignment="1" applyProtection="1">
      <alignment horizontal="right" vertical="center"/>
      <protection hidden="1"/>
    </xf>
    <xf numFmtId="0" fontId="25" fillId="0" borderId="61" xfId="73" applyFont="1" applyBorder="1" applyAlignment="1" applyProtection="1">
      <alignment horizontal="center" vertical="top"/>
      <protection hidden="1"/>
    </xf>
    <xf numFmtId="0" fontId="19" fillId="0" borderId="22" xfId="73" applyFont="1" applyBorder="1" applyAlignment="1" applyProtection="1">
      <alignment horizontal="center" vertical="center"/>
      <protection hidden="1"/>
    </xf>
    <xf numFmtId="0" fontId="19" fillId="0" borderId="0" xfId="73" applyFont="1" applyAlignment="1" applyProtection="1">
      <alignment horizontal="left" vertical="top"/>
      <protection hidden="1"/>
    </xf>
    <xf numFmtId="0" fontId="25" fillId="0" borderId="0" xfId="73" applyFont="1" applyAlignment="1" applyProtection="1">
      <alignment horizontal="center" vertical="top"/>
      <protection hidden="1"/>
    </xf>
    <xf numFmtId="0" fontId="21" fillId="6" borderId="0" xfId="73" applyFont="1" applyFill="1" applyAlignment="1" applyProtection="1">
      <alignment horizontal="center" vertical="top" wrapText="1"/>
      <protection hidden="1"/>
    </xf>
    <xf numFmtId="0" fontId="49" fillId="3" borderId="30" xfId="109" applyFont="1" applyFill="1" applyBorder="1" applyAlignment="1" applyProtection="1">
      <alignment horizontal="left" vertical="center"/>
      <protection locked="0"/>
    </xf>
    <xf numFmtId="0" fontId="37" fillId="3" borderId="59" xfId="109" applyFont="1" applyFill="1" applyBorder="1" applyAlignment="1" applyProtection="1">
      <alignment horizontal="left" vertical="center"/>
      <protection locked="0"/>
    </xf>
    <xf numFmtId="0" fontId="37" fillId="3" borderId="31" xfId="109" applyFont="1" applyFill="1" applyBorder="1" applyAlignment="1" applyProtection="1">
      <alignment horizontal="left" vertical="center"/>
      <protection locked="0"/>
    </xf>
    <xf numFmtId="0" fontId="41" fillId="0" borderId="5" xfId="109" applyFont="1" applyBorder="1" applyAlignment="1" applyProtection="1">
      <alignment horizontal="justify" vertical="center" wrapText="1"/>
      <protection hidden="1"/>
    </xf>
    <xf numFmtId="0" fontId="36" fillId="0" borderId="0" xfId="109" applyFont="1" applyAlignment="1" applyProtection="1">
      <alignment horizontal="center" vertical="center"/>
      <protection hidden="1"/>
    </xf>
    <xf numFmtId="0" fontId="46" fillId="6" borderId="0" xfId="109" applyFont="1" applyFill="1" applyAlignment="1" applyProtection="1">
      <alignment horizontal="center" vertical="center"/>
      <protection hidden="1"/>
    </xf>
    <xf numFmtId="0" fontId="37" fillId="3" borderId="9" xfId="109" applyFont="1" applyFill="1" applyBorder="1" applyAlignment="1" applyProtection="1">
      <alignment horizontal="center" vertical="center"/>
      <protection locked="0"/>
    </xf>
    <xf numFmtId="0" fontId="37" fillId="3" borderId="24" xfId="109" applyFont="1" applyFill="1" applyBorder="1" applyAlignment="1" applyProtection="1">
      <alignment horizontal="center" vertical="center" wrapText="1"/>
      <protection locked="0"/>
    </xf>
    <xf numFmtId="0" fontId="37" fillId="3" borderId="3" xfId="109" applyFont="1" applyFill="1" applyBorder="1" applyAlignment="1" applyProtection="1">
      <alignment horizontal="center" vertical="center" wrapText="1"/>
      <protection locked="0"/>
    </xf>
    <xf numFmtId="0" fontId="37" fillId="3" borderId="25" xfId="109" applyFont="1" applyFill="1" applyBorder="1" applyAlignment="1" applyProtection="1">
      <alignment horizontal="center" vertical="center" wrapText="1"/>
      <protection locked="0"/>
    </xf>
    <xf numFmtId="0" fontId="37" fillId="0" borderId="9" xfId="109" applyFont="1" applyBorder="1" applyAlignment="1" applyProtection="1">
      <alignment horizontal="left" vertical="center" wrapText="1"/>
      <protection hidden="1"/>
    </xf>
    <xf numFmtId="0" fontId="49" fillId="3" borderId="24" xfId="109" applyFont="1" applyFill="1" applyBorder="1" applyAlignment="1" applyProtection="1">
      <alignment horizontal="left" vertical="center"/>
      <protection locked="0"/>
    </xf>
    <xf numFmtId="0" fontId="49" fillId="3" borderId="3" xfId="109" applyFont="1" applyFill="1" applyBorder="1" applyAlignment="1" applyProtection="1">
      <alignment horizontal="left" vertical="center"/>
      <protection locked="0"/>
    </xf>
    <xf numFmtId="0" fontId="49" fillId="3" borderId="25" xfId="109" applyFont="1" applyFill="1" applyBorder="1" applyAlignment="1" applyProtection="1">
      <alignment horizontal="left" vertical="center"/>
      <protection locked="0"/>
    </xf>
    <xf numFmtId="0" fontId="48" fillId="3" borderId="30" xfId="109" applyFont="1" applyFill="1" applyBorder="1" applyAlignment="1" applyProtection="1">
      <alignment horizontal="left" vertical="center"/>
      <protection locked="0"/>
    </xf>
    <xf numFmtId="0" fontId="48" fillId="3" borderId="59" xfId="109" applyFont="1" applyFill="1" applyBorder="1" applyAlignment="1" applyProtection="1">
      <alignment horizontal="left" vertical="center"/>
      <protection locked="0"/>
    </xf>
    <xf numFmtId="0" fontId="48" fillId="3" borderId="31" xfId="109" applyFont="1" applyFill="1" applyBorder="1" applyAlignment="1" applyProtection="1">
      <alignment horizontal="left" vertical="center"/>
      <protection locked="0"/>
    </xf>
    <xf numFmtId="0" fontId="49" fillId="3" borderId="59" xfId="109" applyFont="1" applyFill="1" applyBorder="1" applyAlignment="1" applyProtection="1">
      <alignment horizontal="left" vertical="center"/>
      <protection locked="0"/>
    </xf>
    <xf numFmtId="0" fontId="49" fillId="3" borderId="31" xfId="109" applyFont="1" applyFill="1" applyBorder="1" applyAlignment="1" applyProtection="1">
      <alignment horizontal="left" vertical="center"/>
      <protection locked="0"/>
    </xf>
    <xf numFmtId="0" fontId="53" fillId="0" borderId="9" xfId="0" applyFont="1" applyBorder="1" applyAlignment="1">
      <alignment horizontal="justify" vertical="center" wrapText="1"/>
    </xf>
    <xf numFmtId="0" fontId="46" fillId="6" borderId="0" xfId="0" applyFont="1" applyFill="1" applyAlignment="1">
      <alignment horizontal="center"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55" fillId="0" borderId="5" xfId="0" applyFont="1" applyBorder="1" applyAlignment="1">
      <alignment horizontal="right" vertical="center"/>
    </xf>
    <xf numFmtId="0" fontId="37" fillId="0" borderId="0" xfId="115" applyFont="1" applyAlignment="1">
      <alignment horizontal="left" vertical="center"/>
    </xf>
    <xf numFmtId="0" fontId="36" fillId="0" borderId="0" xfId="115" applyFont="1" applyAlignment="1">
      <alignment horizontal="left" vertical="center"/>
    </xf>
    <xf numFmtId="0" fontId="36" fillId="0" borderId="0" xfId="0" applyFont="1" applyAlignment="1">
      <alignment horizontal="left" vertical="center" wrapText="1"/>
    </xf>
    <xf numFmtId="0" fontId="49" fillId="0" borderId="0" xfId="0" applyFont="1" applyAlignment="1">
      <alignment horizontal="left" vertical="center"/>
    </xf>
    <xf numFmtId="0" fontId="54" fillId="12" borderId="9" xfId="0" applyFont="1" applyFill="1" applyBorder="1" applyAlignment="1">
      <alignment horizontal="left" vertical="center"/>
    </xf>
    <xf numFmtId="0" fontId="54" fillId="9" borderId="0" xfId="109" applyFont="1" applyFill="1" applyAlignment="1">
      <alignment horizontal="left" vertical="center" wrapText="1"/>
    </xf>
    <xf numFmtId="0" fontId="36" fillId="0" borderId="16" xfId="0" applyFont="1" applyBorder="1" applyAlignment="1">
      <alignment horizontal="left" vertical="top" wrapText="1"/>
    </xf>
    <xf numFmtId="0" fontId="54" fillId="0" borderId="0" xfId="0" applyFont="1" applyAlignment="1">
      <alignment horizontal="left" vertical="center"/>
    </xf>
    <xf numFmtId="1" fontId="54" fillId="9" borderId="0" xfId="109" applyNumberFormat="1" applyFont="1" applyFill="1" applyAlignment="1">
      <alignment horizontal="left" vertical="center" wrapText="1"/>
    </xf>
    <xf numFmtId="0" fontId="45" fillId="0" borderId="0" xfId="0" applyFont="1" applyAlignment="1">
      <alignment horizontal="center" vertical="center" wrapText="1"/>
    </xf>
    <xf numFmtId="0" fontId="46" fillId="6" borderId="0" xfId="0" applyFont="1" applyFill="1" applyAlignment="1">
      <alignment horizontal="center" vertical="center" wrapText="1"/>
    </xf>
    <xf numFmtId="0" fontId="54" fillId="10" borderId="9" xfId="0" applyFont="1" applyFill="1" applyBorder="1" applyAlignment="1">
      <alignment horizontal="left" vertical="center" wrapText="1"/>
    </xf>
    <xf numFmtId="0" fontId="37" fillId="0" borderId="0" xfId="0" applyFont="1" applyAlignment="1">
      <alignment horizontal="left" vertical="center" wrapText="1"/>
    </xf>
    <xf numFmtId="0" fontId="55" fillId="0" borderId="51" xfId="0" applyFont="1" applyBorder="1" applyAlignment="1">
      <alignment horizontal="right" vertical="center"/>
    </xf>
    <xf numFmtId="0" fontId="36" fillId="0" borderId="0" xfId="115" applyFont="1" applyAlignment="1" applyProtection="1">
      <alignment vertical="center" wrapText="1"/>
      <protection hidden="1"/>
    </xf>
    <xf numFmtId="0" fontId="49" fillId="0" borderId="0" xfId="0" applyFont="1" applyAlignment="1">
      <alignment horizontal="right" vertical="center"/>
    </xf>
    <xf numFmtId="165" fontId="36" fillId="0" borderId="0" xfId="0" applyNumberFormat="1" applyFont="1" applyAlignment="1">
      <alignment horizontal="left" vertical="center"/>
    </xf>
    <xf numFmtId="0" fontId="60" fillId="0" borderId="0" xfId="0" applyFont="1" applyAlignment="1">
      <alignment horizontal="left" vertical="center"/>
    </xf>
    <xf numFmtId="0" fontId="60" fillId="9" borderId="0" xfId="109" applyFont="1" applyFill="1" applyAlignment="1">
      <alignment horizontal="left" vertical="center" wrapText="1"/>
    </xf>
    <xf numFmtId="1" fontId="60" fillId="9" borderId="0" xfId="109" applyNumberFormat="1" applyFont="1" applyFill="1" applyAlignment="1">
      <alignment horizontal="left" vertical="center" wrapText="1"/>
    </xf>
    <xf numFmtId="0" fontId="60" fillId="9" borderId="0" xfId="109" applyFont="1" applyFill="1" applyAlignment="1">
      <alignment horizontal="left" vertical="center"/>
    </xf>
    <xf numFmtId="0" fontId="53" fillId="0" borderId="9" xfId="0" applyFont="1" applyBorder="1" applyAlignment="1">
      <alignment horizontal="center" vertical="center" wrapText="1"/>
    </xf>
    <xf numFmtId="165" fontId="36" fillId="0" borderId="0" xfId="115" applyNumberFormat="1" applyFont="1" applyAlignment="1" applyProtection="1">
      <alignment horizontal="left" vertical="center"/>
      <protection hidden="1"/>
    </xf>
    <xf numFmtId="0" fontId="49" fillId="0" borderId="0" xfId="0" applyFont="1" applyAlignment="1" applyProtection="1">
      <alignment horizontal="left" vertical="center"/>
      <protection locked="0"/>
    </xf>
    <xf numFmtId="0" fontId="49" fillId="0" borderId="24" xfId="109" applyFont="1" applyBorder="1" applyAlignment="1" applyProtection="1">
      <alignment horizontal="left" vertical="center" wrapText="1"/>
      <protection hidden="1"/>
    </xf>
    <xf numFmtId="0" fontId="49" fillId="0" borderId="25" xfId="109" applyFont="1" applyBorder="1" applyAlignment="1" applyProtection="1">
      <alignment horizontal="left" vertical="center" wrapText="1"/>
      <protection hidden="1"/>
    </xf>
    <xf numFmtId="1" fontId="49" fillId="0" borderId="24" xfId="109" applyNumberFormat="1" applyFont="1" applyBorder="1" applyAlignment="1" applyProtection="1">
      <alignment horizontal="left" vertical="center" wrapText="1"/>
      <protection hidden="1"/>
    </xf>
    <xf numFmtId="0" fontId="49" fillId="0" borderId="16" xfId="0" applyFont="1" applyBorder="1" applyAlignment="1">
      <alignment horizontal="left" vertical="top" wrapText="1"/>
    </xf>
    <xf numFmtId="0" fontId="49" fillId="0" borderId="0" xfId="0" applyFont="1" applyAlignment="1">
      <alignment horizontal="left" vertical="top" wrapText="1"/>
    </xf>
    <xf numFmtId="0" fontId="49" fillId="9" borderId="0" xfId="109" applyFont="1" applyFill="1" applyAlignment="1">
      <alignment horizontal="left" vertical="center"/>
    </xf>
    <xf numFmtId="0" fontId="54" fillId="0" borderId="24" xfId="0" applyFont="1" applyBorder="1" applyAlignment="1">
      <alignment horizontal="center" vertical="center"/>
    </xf>
    <xf numFmtId="0" fontId="54" fillId="0" borderId="3" xfId="0" applyFont="1" applyBorder="1" applyAlignment="1">
      <alignment horizontal="center" vertical="center"/>
    </xf>
    <xf numFmtId="0" fontId="54" fillId="0" borderId="25" xfId="0" applyFont="1" applyBorder="1" applyAlignment="1">
      <alignment horizontal="center" vertical="center"/>
    </xf>
    <xf numFmtId="0" fontId="53" fillId="0" borderId="9" xfId="0" applyFont="1" applyBorder="1" applyAlignment="1" applyProtection="1">
      <alignment horizontal="left" vertical="center" wrapText="1"/>
      <protection hidden="1"/>
    </xf>
    <xf numFmtId="0" fontId="46" fillId="6" borderId="0" xfId="0" applyFont="1" applyFill="1" applyAlignment="1" applyProtection="1">
      <alignment horizontal="center" vertical="center"/>
      <protection hidden="1"/>
    </xf>
    <xf numFmtId="0" fontId="46" fillId="0" borderId="0" xfId="114" applyFont="1" applyAlignment="1" applyProtection="1">
      <alignment horizontal="center" vertical="top"/>
      <protection hidden="1"/>
    </xf>
    <xf numFmtId="0" fontId="53" fillId="4" borderId="9" xfId="114" applyFont="1" applyFill="1" applyBorder="1" applyAlignment="1" applyProtection="1">
      <alignment horizontal="left" vertical="center" wrapText="1"/>
      <protection hidden="1"/>
    </xf>
    <xf numFmtId="164" fontId="53" fillId="4" borderId="9" xfId="8" applyFont="1" applyFill="1" applyBorder="1" applyAlignment="1" applyProtection="1">
      <alignment horizontal="right" vertical="center" wrapText="1"/>
      <protection hidden="1"/>
    </xf>
    <xf numFmtId="164" fontId="53" fillId="4" borderId="26" xfId="8" applyFont="1" applyFill="1" applyBorder="1" applyAlignment="1" applyProtection="1">
      <alignment horizontal="right" vertical="center" wrapText="1"/>
      <protection hidden="1"/>
    </xf>
    <xf numFmtId="0" fontId="67" fillId="0" borderId="9" xfId="114" applyFont="1" applyBorder="1" applyAlignment="1" applyProtection="1">
      <alignment horizontal="justify" vertical="center" wrapText="1"/>
      <protection hidden="1"/>
    </xf>
    <xf numFmtId="9" fontId="53" fillId="9" borderId="9" xfId="114" applyNumberFormat="1" applyFont="1" applyFill="1" applyBorder="1" applyAlignment="1">
      <alignment horizontal="center" vertical="center" wrapText="1"/>
    </xf>
    <xf numFmtId="9" fontId="53" fillId="9" borderId="26" xfId="114" applyNumberFormat="1" applyFont="1" applyFill="1" applyBorder="1" applyAlignment="1">
      <alignment horizontal="center" vertical="center" wrapText="1"/>
    </xf>
    <xf numFmtId="0" fontId="73" fillId="0" borderId="0" xfId="114" applyFont="1" applyAlignment="1" applyProtection="1">
      <alignment horizontal="center" vertical="top"/>
      <protection hidden="1"/>
    </xf>
    <xf numFmtId="0" fontId="53" fillId="0" borderId="9" xfId="114" applyFont="1" applyBorder="1" applyAlignment="1" applyProtection="1">
      <alignment horizontal="justify" vertical="center" wrapText="1"/>
      <protection hidden="1"/>
    </xf>
    <xf numFmtId="0" fontId="72" fillId="6" borderId="0" xfId="114" applyFont="1" applyFill="1" applyAlignment="1" applyProtection="1">
      <alignment horizontal="center" vertical="center"/>
      <protection hidden="1"/>
    </xf>
    <xf numFmtId="0" fontId="53" fillId="0" borderId="7" xfId="114" applyFont="1" applyBorder="1" applyAlignment="1" applyProtection="1">
      <alignment horizontal="left" vertical="center" wrapText="1"/>
      <protection hidden="1"/>
    </xf>
    <xf numFmtId="0" fontId="53" fillId="0" borderId="7" xfId="114" applyFont="1" applyBorder="1" applyAlignment="1" applyProtection="1">
      <alignment horizontal="center" vertical="center" wrapText="1"/>
      <protection hidden="1"/>
    </xf>
    <xf numFmtId="0" fontId="53" fillId="0" borderId="8" xfId="114" applyFont="1" applyBorder="1" applyAlignment="1" applyProtection="1">
      <alignment horizontal="center" vertical="center" wrapText="1"/>
      <protection hidden="1"/>
    </xf>
    <xf numFmtId="0" fontId="53" fillId="9" borderId="24" xfId="114" applyFont="1" applyFill="1" applyBorder="1" applyAlignment="1">
      <alignment horizontal="left" vertical="center" wrapText="1"/>
    </xf>
    <xf numFmtId="0" fontId="53" fillId="9" borderId="25" xfId="114" applyFont="1" applyFill="1" applyBorder="1" applyAlignment="1">
      <alignment horizontal="left" vertical="center" wrapText="1"/>
    </xf>
    <xf numFmtId="164" fontId="36" fillId="0" borderId="62" xfId="8" applyFont="1" applyBorder="1" applyAlignment="1" applyProtection="1">
      <alignment horizontal="right" vertical="center" wrapText="1"/>
      <protection hidden="1"/>
    </xf>
    <xf numFmtId="164" fontId="36" fillId="0" borderId="63" xfId="8" applyFont="1" applyBorder="1" applyAlignment="1" applyProtection="1">
      <alignment horizontal="right" vertical="center" wrapText="1"/>
      <protection hidden="1"/>
    </xf>
    <xf numFmtId="0" fontId="53" fillId="9" borderId="9" xfId="114" applyFont="1" applyFill="1" applyBorder="1" applyAlignment="1">
      <alignment horizontal="center" vertical="center" wrapText="1"/>
    </xf>
    <xf numFmtId="0" fontId="53" fillId="9" borderId="26" xfId="114" applyFont="1" applyFill="1" applyBorder="1" applyAlignment="1">
      <alignment horizontal="center" vertical="center" wrapText="1"/>
    </xf>
    <xf numFmtId="4" fontId="53" fillId="4" borderId="9" xfId="8" applyNumberFormat="1" applyFont="1" applyFill="1" applyBorder="1" applyAlignment="1" applyProtection="1">
      <alignment horizontal="right" vertical="center" wrapText="1"/>
      <protection hidden="1"/>
    </xf>
    <xf numFmtId="4" fontId="53" fillId="4" borderId="26" xfId="8" applyNumberFormat="1" applyFont="1" applyFill="1" applyBorder="1" applyAlignment="1" applyProtection="1">
      <alignment horizontal="right" vertical="center" wrapText="1"/>
      <protection hidden="1"/>
    </xf>
    <xf numFmtId="9" fontId="53" fillId="9" borderId="9" xfId="114" applyNumberFormat="1" applyFont="1" applyFill="1" applyBorder="1" applyAlignment="1" applyProtection="1">
      <alignment horizontal="center" vertical="center" wrapText="1"/>
      <protection hidden="1"/>
    </xf>
    <xf numFmtId="9" fontId="53" fillId="9" borderId="26" xfId="114" applyNumberFormat="1" applyFont="1" applyFill="1" applyBorder="1" applyAlignment="1" applyProtection="1">
      <alignment horizontal="center" vertical="center" wrapText="1"/>
      <protection hidden="1"/>
    </xf>
    <xf numFmtId="0" fontId="53" fillId="9" borderId="9" xfId="114" applyFont="1" applyFill="1" applyBorder="1" applyAlignment="1" applyProtection="1">
      <alignment horizontal="center" vertical="center" wrapText="1"/>
      <protection hidden="1"/>
    </xf>
    <xf numFmtId="0" fontId="53" fillId="9" borderId="26" xfId="114" applyFont="1" applyFill="1" applyBorder="1" applyAlignment="1" applyProtection="1">
      <alignment horizontal="center" vertical="center" wrapText="1"/>
      <protection hidden="1"/>
    </xf>
    <xf numFmtId="49" fontId="53" fillId="9" borderId="9" xfId="114" applyNumberFormat="1" applyFont="1" applyFill="1" applyBorder="1" applyAlignment="1">
      <alignment horizontal="left" vertical="center" wrapText="1"/>
    </xf>
    <xf numFmtId="0" fontId="53" fillId="0" borderId="67" xfId="114" applyFont="1" applyBorder="1" applyAlignment="1" applyProtection="1">
      <alignment horizontal="center" vertical="center" wrapText="1"/>
      <protection hidden="1"/>
    </xf>
    <xf numFmtId="0" fontId="53" fillId="0" borderId="10" xfId="114" applyFont="1" applyBorder="1" applyAlignment="1" applyProtection="1">
      <alignment horizontal="center" vertical="center" wrapText="1"/>
      <protection hidden="1"/>
    </xf>
    <xf numFmtId="0" fontId="53" fillId="4" borderId="65" xfId="114" applyFont="1" applyFill="1" applyBorder="1" applyAlignment="1" applyProtection="1">
      <alignment horizontal="left" vertical="center" wrapText="1"/>
      <protection hidden="1"/>
    </xf>
    <xf numFmtId="0" fontId="67" fillId="0" borderId="66" xfId="114" applyFont="1" applyBorder="1" applyAlignment="1" applyProtection="1">
      <alignment horizontal="justify" vertical="center" wrapText="1"/>
      <protection hidden="1"/>
    </xf>
    <xf numFmtId="0" fontId="67" fillId="0" borderId="21" xfId="114" applyFont="1" applyBorder="1" applyAlignment="1" applyProtection="1">
      <alignment horizontal="justify" vertical="center" wrapText="1"/>
      <protection hidden="1"/>
    </xf>
    <xf numFmtId="0" fontId="76" fillId="0" borderId="40" xfId="114" applyFont="1" applyBorder="1" applyAlignment="1" applyProtection="1">
      <alignment horizontal="center" vertical="center"/>
      <protection hidden="1"/>
    </xf>
    <xf numFmtId="0" fontId="76" fillId="0" borderId="64" xfId="114" applyFont="1" applyBorder="1" applyAlignment="1" applyProtection="1">
      <alignment horizontal="center" vertical="center"/>
      <protection hidden="1"/>
    </xf>
    <xf numFmtId="0" fontId="61" fillId="0" borderId="9" xfId="114" applyFont="1" applyBorder="1" applyAlignment="1" applyProtection="1">
      <alignment horizontal="left" vertical="center" wrapText="1"/>
      <protection hidden="1"/>
    </xf>
    <xf numFmtId="0" fontId="61" fillId="0" borderId="28" xfId="114" applyFont="1" applyBorder="1" applyAlignment="1" applyProtection="1">
      <alignment horizontal="left" vertical="center" wrapText="1"/>
      <protection hidden="1"/>
    </xf>
    <xf numFmtId="0" fontId="6" fillId="0" borderId="24" xfId="114" applyFont="1" applyBorder="1" applyAlignment="1" applyProtection="1">
      <alignment horizontal="center" vertical="center" wrapText="1"/>
      <protection hidden="1"/>
    </xf>
    <xf numFmtId="0" fontId="6" fillId="0" borderId="25" xfId="114" applyFont="1" applyBorder="1" applyAlignment="1" applyProtection="1">
      <alignment horizontal="center" vertical="center" wrapText="1"/>
      <protection hidden="1"/>
    </xf>
    <xf numFmtId="0" fontId="6" fillId="4" borderId="65" xfId="114" applyFont="1" applyFill="1" applyBorder="1" applyAlignment="1" applyProtection="1">
      <alignment horizontal="left" vertical="center" wrapText="1"/>
      <protection hidden="1"/>
    </xf>
    <xf numFmtId="0" fontId="3" fillId="0" borderId="66" xfId="114" applyFont="1" applyBorder="1" applyAlignment="1" applyProtection="1">
      <alignment horizontal="justify" vertical="center" wrapText="1"/>
      <protection hidden="1"/>
    </xf>
    <xf numFmtId="0" fontId="3" fillId="0" borderId="21" xfId="114" applyFont="1" applyBorder="1" applyAlignment="1" applyProtection="1">
      <alignment horizontal="justify" vertical="center" wrapText="1"/>
      <protection hidden="1"/>
    </xf>
    <xf numFmtId="0" fontId="3" fillId="0" borderId="9" xfId="114" applyFont="1" applyBorder="1" applyAlignment="1" applyProtection="1">
      <alignment horizontal="center" vertical="center"/>
      <protection hidden="1"/>
    </xf>
    <xf numFmtId="0" fontId="6" fillId="0" borderId="9" xfId="114" applyFont="1" applyBorder="1" applyAlignment="1" applyProtection="1">
      <alignment horizontal="left" vertical="center" wrapText="1"/>
      <protection hidden="1"/>
    </xf>
    <xf numFmtId="0" fontId="3" fillId="0" borderId="0" xfId="114" applyFont="1" applyAlignment="1" applyProtection="1">
      <alignment horizontal="left" vertical="top"/>
      <protection hidden="1"/>
    </xf>
    <xf numFmtId="0" fontId="6" fillId="0" borderId="0" xfId="114" applyFont="1" applyAlignment="1" applyProtection="1">
      <alignment horizontal="center" vertical="center" wrapText="1"/>
      <protection hidden="1"/>
    </xf>
    <xf numFmtId="0" fontId="7" fillId="6" borderId="0" xfId="114" applyFont="1" applyFill="1" applyAlignment="1" applyProtection="1">
      <alignment horizontal="center" vertical="center"/>
      <protection hidden="1"/>
    </xf>
    <xf numFmtId="0" fontId="6" fillId="0" borderId="0" xfId="111" applyNumberFormat="1" applyFont="1" applyFill="1" applyBorder="1" applyAlignment="1" applyProtection="1">
      <alignment horizontal="justify" vertical="center" wrapText="1"/>
      <protection hidden="1"/>
    </xf>
    <xf numFmtId="0" fontId="53" fillId="0" borderId="0" xfId="114" applyFont="1" applyAlignment="1" applyProtection="1">
      <alignment horizontal="left" vertical="center" wrapText="1"/>
      <protection hidden="1"/>
    </xf>
    <xf numFmtId="2" fontId="67" fillId="0" borderId="0" xfId="115" applyNumberFormat="1" applyFont="1" applyAlignment="1" applyProtection="1">
      <alignment horizontal="right" vertical="center"/>
      <protection locked="0"/>
    </xf>
    <xf numFmtId="166" fontId="72" fillId="0" borderId="0" xfId="0" applyNumberFormat="1" applyFont="1" applyAlignment="1" applyProtection="1">
      <alignment horizontal="center" vertical="center" wrapText="1"/>
      <protection locked="0"/>
    </xf>
    <xf numFmtId="0" fontId="67" fillId="0" borderId="0" xfId="114" applyFont="1" applyAlignment="1" applyProtection="1">
      <alignment horizontal="left" vertical="top"/>
      <protection locked="0"/>
    </xf>
    <xf numFmtId="0" fontId="53" fillId="0" borderId="0" xfId="111" applyNumberFormat="1" applyFont="1" applyFill="1" applyBorder="1" applyAlignment="1" applyProtection="1">
      <alignment horizontal="justify" vertical="center"/>
      <protection locked="0"/>
    </xf>
    <xf numFmtId="166" fontId="53" fillId="0" borderId="0" xfId="0" applyNumberFormat="1" applyFont="1" applyAlignment="1" applyProtection="1">
      <alignment horizontal="center" vertical="center" wrapText="1"/>
      <protection locked="0"/>
    </xf>
    <xf numFmtId="0" fontId="53" fillId="0" borderId="0" xfId="115" applyFont="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0" xfId="115" applyFont="1" applyAlignment="1">
      <alignment horizontal="left" vertical="center"/>
    </xf>
    <xf numFmtId="0" fontId="62" fillId="0" borderId="9" xfId="115" applyFont="1" applyBorder="1" applyAlignment="1" applyProtection="1">
      <alignment horizontal="center" vertical="center"/>
      <protection locked="0"/>
    </xf>
    <xf numFmtId="10" fontId="66" fillId="0" borderId="24" xfId="109" applyNumberFormat="1" applyFont="1" applyBorder="1" applyAlignment="1" applyProtection="1">
      <alignment horizontal="left" vertical="center" wrapText="1"/>
      <protection hidden="1"/>
    </xf>
    <xf numFmtId="0" fontId="66" fillId="0" borderId="25" xfId="109" applyFont="1" applyBorder="1" applyAlignment="1" applyProtection="1">
      <alignment horizontal="left" vertical="center" wrapText="1"/>
      <protection hidden="1"/>
    </xf>
    <xf numFmtId="0" fontId="78" fillId="0" borderId="0" xfId="115" applyFont="1" applyAlignment="1" applyProtection="1">
      <alignment horizontal="center" vertical="center" wrapText="1"/>
      <protection hidden="1"/>
    </xf>
    <xf numFmtId="0" fontId="53" fillId="0" borderId="0" xfId="0" applyFont="1" applyAlignment="1" applyProtection="1">
      <alignment horizontal="left" vertical="center" wrapText="1"/>
      <protection hidden="1"/>
    </xf>
    <xf numFmtId="0" fontId="66" fillId="0" borderId="0" xfId="0" applyFont="1" applyAlignment="1" applyProtection="1">
      <alignment horizontal="left" vertical="center"/>
      <protection locked="0"/>
    </xf>
    <xf numFmtId="0" fontId="67" fillId="0" borderId="0" xfId="115" applyFont="1" applyAlignment="1" applyProtection="1">
      <alignment horizontal="justify" vertical="top" wrapText="1"/>
      <protection hidden="1"/>
    </xf>
    <xf numFmtId="0" fontId="53" fillId="0" borderId="0" xfId="115" applyFont="1" applyAlignment="1" applyProtection="1">
      <alignment horizontal="center" vertical="center" wrapText="1"/>
      <protection locked="0"/>
    </xf>
    <xf numFmtId="0" fontId="53" fillId="0" borderId="9" xfId="115" applyFont="1" applyBorder="1" applyAlignment="1">
      <alignment horizontal="left" vertical="center" wrapText="1"/>
    </xf>
    <xf numFmtId="0" fontId="72" fillId="6" borderId="0" xfId="0" applyFont="1" applyFill="1" applyAlignment="1">
      <alignment horizontal="center" vertical="center"/>
    </xf>
    <xf numFmtId="49" fontId="66" fillId="9" borderId="9" xfId="109" applyNumberFormat="1" applyFont="1" applyFill="1" applyBorder="1" applyAlignment="1" applyProtection="1">
      <alignment horizontal="left" vertical="center"/>
      <protection locked="0"/>
    </xf>
    <xf numFmtId="49" fontId="66" fillId="0" borderId="24" xfId="109" applyNumberFormat="1" applyFont="1" applyBorder="1" applyAlignment="1" applyProtection="1">
      <alignment horizontal="left" vertical="center" wrapText="1"/>
      <protection hidden="1"/>
    </xf>
    <xf numFmtId="0" fontId="66" fillId="0" borderId="16" xfId="113" applyFont="1" applyBorder="1" applyAlignment="1" applyProtection="1">
      <alignment horizontal="justify" vertical="center"/>
      <protection hidden="1"/>
    </xf>
    <xf numFmtId="0" fontId="67" fillId="0" borderId="16" xfId="113" applyFont="1" applyBorder="1" applyAlignment="1" applyProtection="1">
      <alignment horizontal="justify" vertical="center"/>
      <protection hidden="1"/>
    </xf>
    <xf numFmtId="0" fontId="53" fillId="0" borderId="30" xfId="113" applyFont="1" applyBorder="1" applyAlignment="1" applyProtection="1">
      <alignment horizontal="justify" vertical="center"/>
      <protection hidden="1"/>
    </xf>
    <xf numFmtId="0" fontId="67" fillId="0" borderId="59" xfId="113" applyFont="1" applyBorder="1" applyAlignment="1" applyProtection="1">
      <alignment horizontal="justify" vertical="center"/>
      <protection hidden="1"/>
    </xf>
    <xf numFmtId="0" fontId="67" fillId="0" borderId="31" xfId="113" applyFont="1" applyBorder="1" applyAlignment="1" applyProtection="1">
      <alignment horizontal="justify" vertical="center"/>
      <protection hidden="1"/>
    </xf>
    <xf numFmtId="0" fontId="68" fillId="0" borderId="0" xfId="113" applyFont="1" applyAlignment="1" applyProtection="1">
      <alignment horizontal="left" vertical="center" wrapText="1"/>
      <protection hidden="1"/>
    </xf>
    <xf numFmtId="0" fontId="67" fillId="0" borderId="11" xfId="113" applyNumberFormat="1" applyFont="1" applyFill="1" applyBorder="1" applyAlignment="1" applyProtection="1">
      <alignment horizontal="left" vertical="top" wrapText="1"/>
      <protection hidden="1"/>
    </xf>
    <xf numFmtId="0" fontId="67" fillId="0" borderId="22" xfId="113" applyNumberFormat="1" applyFont="1" applyFill="1" applyBorder="1" applyAlignment="1" applyProtection="1">
      <alignment horizontal="left" vertical="top" wrapText="1"/>
      <protection hidden="1"/>
    </xf>
    <xf numFmtId="0" fontId="67" fillId="0" borderId="11" xfId="113" applyNumberFormat="1" applyFont="1" applyFill="1" applyBorder="1" applyAlignment="1" applyProtection="1">
      <alignment horizontal="left" vertical="center" wrapText="1"/>
      <protection hidden="1"/>
    </xf>
    <xf numFmtId="0" fontId="67" fillId="0" borderId="22" xfId="113" applyNumberFormat="1" applyFont="1" applyFill="1" applyBorder="1" applyAlignment="1" applyProtection="1">
      <alignment horizontal="left" vertical="center" wrapText="1"/>
      <protection hidden="1"/>
    </xf>
    <xf numFmtId="0" fontId="66" fillId="0" borderId="0" xfId="113" applyFont="1" applyBorder="1" applyAlignment="1" applyProtection="1">
      <alignment horizontal="justify" vertical="center"/>
      <protection hidden="1"/>
    </xf>
    <xf numFmtId="0" fontId="67" fillId="3" borderId="0" xfId="113" applyFont="1" applyFill="1" applyBorder="1" applyAlignment="1" applyProtection="1">
      <alignment horizontal="justify" vertical="top" wrapText="1"/>
      <protection locked="0" hidden="1"/>
    </xf>
    <xf numFmtId="0" fontId="67" fillId="0" borderId="0" xfId="113" applyFont="1" applyBorder="1" applyAlignment="1" applyProtection="1">
      <alignment horizontal="justify" vertical="center"/>
      <protection hidden="1"/>
    </xf>
    <xf numFmtId="0" fontId="67" fillId="0" borderId="11" xfId="113" applyNumberFormat="1" applyFont="1" applyFill="1" applyBorder="1" applyAlignment="1" applyProtection="1">
      <alignment horizontal="left" vertical="center"/>
      <protection hidden="1"/>
    </xf>
    <xf numFmtId="0" fontId="67" fillId="0" borderId="22" xfId="113" applyNumberFormat="1" applyFont="1" applyFill="1" applyBorder="1" applyAlignment="1" applyProtection="1">
      <alignment horizontal="left" vertical="center"/>
      <protection hidden="1"/>
    </xf>
    <xf numFmtId="0" fontId="67" fillId="0" borderId="66" xfId="113" applyNumberFormat="1" applyFont="1" applyFill="1" applyBorder="1" applyAlignment="1" applyProtection="1">
      <alignment horizontal="left" vertical="center"/>
      <protection hidden="1"/>
    </xf>
    <xf numFmtId="0" fontId="67" fillId="0" borderId="68" xfId="113" applyNumberFormat="1" applyFont="1" applyFill="1" applyBorder="1" applyAlignment="1" applyProtection="1">
      <alignment horizontal="left" vertical="center"/>
      <protection hidden="1"/>
    </xf>
    <xf numFmtId="0" fontId="53" fillId="0" borderId="30" xfId="113" applyFont="1" applyBorder="1" applyAlignment="1" applyProtection="1">
      <alignment horizontal="justify" vertical="top"/>
      <protection hidden="1"/>
    </xf>
    <xf numFmtId="0" fontId="67" fillId="0" borderId="59" xfId="113" applyFont="1" applyBorder="1" applyAlignment="1" applyProtection="1">
      <alignment horizontal="justify" vertical="top"/>
      <protection hidden="1"/>
    </xf>
    <xf numFmtId="0" fontId="67" fillId="0" borderId="31" xfId="113" applyFont="1" applyBorder="1" applyAlignment="1" applyProtection="1">
      <alignment horizontal="justify" vertical="top"/>
      <protection hidden="1"/>
    </xf>
    <xf numFmtId="0" fontId="53" fillId="7" borderId="0" xfId="113" applyNumberFormat="1" applyFont="1" applyFill="1" applyBorder="1" applyAlignment="1" applyProtection="1">
      <alignment horizontal="center" vertical="center" wrapText="1"/>
      <protection hidden="1"/>
    </xf>
    <xf numFmtId="0" fontId="61" fillId="0" borderId="0" xfId="73" applyFont="1" applyAlignment="1" applyProtection="1">
      <alignment horizontal="center" vertical="center"/>
      <protection hidden="1"/>
    </xf>
    <xf numFmtId="0" fontId="53" fillId="0" borderId="0" xfId="73" applyFont="1" applyAlignment="1" applyProtection="1">
      <alignment horizontal="justify" vertical="top" wrapText="1"/>
      <protection hidden="1"/>
    </xf>
    <xf numFmtId="0" fontId="67" fillId="0" borderId="0" xfId="113" applyFont="1" applyAlignment="1" applyProtection="1">
      <alignment horizontal="justify" vertical="center"/>
      <protection hidden="1"/>
    </xf>
    <xf numFmtId="0" fontId="53" fillId="0" borderId="24" xfId="113" applyFont="1" applyBorder="1" applyAlignment="1" applyProtection="1">
      <alignment horizontal="justify" vertical="top"/>
      <protection hidden="1"/>
    </xf>
    <xf numFmtId="0" fontId="67" fillId="0" borderId="3" xfId="113" applyFont="1" applyBorder="1" applyAlignment="1" applyProtection="1">
      <alignment horizontal="justify" vertical="top"/>
      <protection hidden="1"/>
    </xf>
    <xf numFmtId="0" fontId="67" fillId="0" borderId="25" xfId="113" applyFont="1" applyBorder="1" applyAlignment="1" applyProtection="1">
      <alignment horizontal="justify" vertical="top"/>
      <protection hidden="1"/>
    </xf>
    <xf numFmtId="0" fontId="53" fillId="0" borderId="24" xfId="113" applyFont="1" applyBorder="1" applyAlignment="1" applyProtection="1">
      <alignment horizontal="justify" vertical="top" wrapText="1"/>
      <protection hidden="1"/>
    </xf>
    <xf numFmtId="0" fontId="21" fillId="6" borderId="0" xfId="73" applyFont="1" applyFill="1" applyAlignment="1" applyProtection="1">
      <alignment horizontal="center" vertical="center" wrapText="1"/>
      <protection hidden="1"/>
    </xf>
    <xf numFmtId="0" fontId="21" fillId="6" borderId="13" xfId="73" applyFont="1" applyFill="1" applyBorder="1" applyAlignment="1" applyProtection="1">
      <alignment horizontal="center" vertical="center" wrapText="1"/>
      <protection hidden="1"/>
    </xf>
    <xf numFmtId="0" fontId="67" fillId="0" borderId="22" xfId="73" applyFont="1" applyBorder="1" applyAlignment="1">
      <alignment horizontal="left" vertical="center" indent="2"/>
    </xf>
    <xf numFmtId="0" fontId="62" fillId="0" borderId="0" xfId="106" quotePrefix="1" applyFont="1" applyAlignment="1">
      <alignment horizontal="center" vertical="center"/>
    </xf>
    <xf numFmtId="0" fontId="67" fillId="3" borderId="22" xfId="73" applyFont="1" applyFill="1" applyBorder="1" applyAlignment="1" applyProtection="1">
      <alignment horizontal="left" vertical="center"/>
      <protection locked="0"/>
    </xf>
    <xf numFmtId="0" fontId="67" fillId="0" borderId="69" xfId="73" applyFont="1" applyBorder="1" applyAlignment="1">
      <alignment horizontal="left" vertical="center" indent="2"/>
    </xf>
    <xf numFmtId="0" fontId="67" fillId="0" borderId="61" xfId="73" applyFont="1" applyBorder="1" applyAlignment="1">
      <alignment horizontal="left" vertical="center" indent="2"/>
    </xf>
    <xf numFmtId="0" fontId="67" fillId="0" borderId="69" xfId="73" applyFont="1" applyBorder="1" applyAlignment="1">
      <alignment horizontal="justify" vertical="center" wrapText="1"/>
    </xf>
    <xf numFmtId="0" fontId="67" fillId="0" borderId="0" xfId="73" applyFont="1" applyAlignment="1">
      <alignment horizontal="left" vertical="center" indent="2"/>
    </xf>
    <xf numFmtId="49" fontId="67" fillId="0" borderId="0" xfId="106" applyNumberFormat="1" applyFont="1" applyAlignment="1" applyProtection="1">
      <alignment horizontal="left" vertical="center"/>
      <protection hidden="1"/>
    </xf>
    <xf numFmtId="0" fontId="67" fillId="0" borderId="0" xfId="106" applyFont="1" applyAlignment="1" applyProtection="1">
      <alignment horizontal="left" vertical="center"/>
      <protection hidden="1"/>
    </xf>
    <xf numFmtId="0" fontId="67" fillId="0" borderId="0" xfId="106" applyFont="1" applyAlignment="1">
      <alignment horizontal="justify" vertical="top"/>
    </xf>
    <xf numFmtId="0" fontId="67" fillId="0" borderId="0" xfId="106" applyFont="1" applyAlignment="1">
      <alignment horizontal="left" vertical="top" wrapText="1"/>
    </xf>
    <xf numFmtId="0" fontId="67" fillId="0" borderId="0" xfId="73" applyFont="1" applyAlignment="1">
      <alignment horizontal="left" vertical="center" wrapText="1" indent="2"/>
    </xf>
    <xf numFmtId="10" fontId="67" fillId="0" borderId="0" xfId="106" applyNumberFormat="1" applyFont="1" applyAlignment="1" applyProtection="1">
      <alignment horizontal="left" vertical="center"/>
      <protection hidden="1"/>
    </xf>
    <xf numFmtId="0" fontId="67" fillId="0" borderId="0" xfId="106" applyFont="1" applyAlignment="1">
      <alignment horizontal="center" vertical="top"/>
    </xf>
    <xf numFmtId="0" fontId="53" fillId="0" borderId="0" xfId="106" applyFont="1" applyAlignment="1">
      <alignment horizontal="justify" vertical="center"/>
    </xf>
    <xf numFmtId="0" fontId="67" fillId="0" borderId="0" xfId="106" applyFont="1" applyAlignment="1">
      <alignment horizontal="justify" vertical="top" wrapText="1"/>
    </xf>
    <xf numFmtId="0" fontId="67" fillId="0" borderId="0" xfId="106" applyFont="1" applyAlignment="1">
      <alignment horizontal="justify" vertical="center"/>
    </xf>
    <xf numFmtId="0" fontId="87" fillId="0" borderId="0" xfId="106" applyFont="1" applyAlignment="1">
      <alignment horizontal="center" vertical="center"/>
    </xf>
    <xf numFmtId="0" fontId="67" fillId="3" borderId="0" xfId="106" applyFont="1" applyFill="1" applyAlignment="1" applyProtection="1">
      <alignment horizontal="left" vertical="center"/>
      <protection locked="0"/>
    </xf>
    <xf numFmtId="0" fontId="36" fillId="0" borderId="0" xfId="106" applyFont="1" applyAlignment="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28" fillId="0" borderId="0" xfId="118" applyNumberFormat="1" applyFont="1" applyFill="1" applyBorder="1" applyAlignment="1" applyProtection="1">
      <alignment horizontal="center" vertical="center"/>
    </xf>
    <xf numFmtId="0" fontId="29"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29" fillId="0" borderId="0" xfId="0" quotePrefix="1" applyFont="1" applyAlignment="1">
      <alignment horizontal="left" vertical="top" wrapText="1"/>
    </xf>
    <xf numFmtId="0" fontId="6" fillId="0" borderId="0" xfId="0" applyFont="1" applyAlignment="1" applyProtection="1">
      <alignment horizontal="left" vertical="center" wrapText="1"/>
      <protection hidden="1"/>
    </xf>
    <xf numFmtId="0" fontId="3" fillId="0" borderId="0" xfId="115" applyAlignment="1" applyProtection="1">
      <alignment horizontal="justify" vertical="top" wrapText="1"/>
      <protection hidden="1"/>
    </xf>
    <xf numFmtId="0" fontId="6" fillId="0" borderId="13" xfId="0" applyFont="1" applyBorder="1" applyAlignment="1" applyProtection="1">
      <alignment horizontal="left" vertical="center" wrapText="1"/>
      <protection hidden="1"/>
    </xf>
    <xf numFmtId="0" fontId="26" fillId="0" borderId="0" xfId="115" applyFont="1" applyAlignment="1" applyProtection="1">
      <alignment horizontal="center" vertical="center" wrapText="1"/>
      <protection hidden="1"/>
    </xf>
    <xf numFmtId="0" fontId="31" fillId="0" borderId="51" xfId="74" applyFont="1" applyBorder="1" applyAlignment="1" applyProtection="1">
      <alignment horizontal="left" vertical="top" wrapText="1"/>
      <protection hidden="1"/>
    </xf>
    <xf numFmtId="0" fontId="5" fillId="0" borderId="34" xfId="74" applyBorder="1" applyAlignment="1" applyProtection="1">
      <alignment horizontal="left" vertical="top" wrapText="1"/>
      <protection hidden="1"/>
    </xf>
    <xf numFmtId="0" fontId="5" fillId="0" borderId="2" xfId="74" applyBorder="1" applyAlignment="1" applyProtection="1">
      <alignment horizontal="left" vertical="top" wrapText="1"/>
      <protection hidden="1"/>
    </xf>
    <xf numFmtId="0" fontId="5" fillId="0" borderId="56" xfId="74" applyBorder="1" applyAlignment="1" applyProtection="1">
      <alignment horizontal="left" vertical="top" wrapText="1"/>
      <protection hidden="1"/>
    </xf>
    <xf numFmtId="2" fontId="18" fillId="3" borderId="34" xfId="110" applyNumberFormat="1" applyFont="1" applyFill="1" applyBorder="1" applyAlignment="1" applyProtection="1">
      <alignment horizontal="right" vertical="center"/>
      <protection hidden="1"/>
    </xf>
    <xf numFmtId="2" fontId="18" fillId="3" borderId="56" xfId="110" applyNumberFormat="1" applyFont="1" applyFill="1" applyBorder="1" applyAlignment="1" applyProtection="1">
      <alignment horizontal="right" vertical="center"/>
      <protection hidden="1"/>
    </xf>
    <xf numFmtId="0" fontId="5" fillId="0" borderId="70" xfId="110" applyBorder="1" applyAlignment="1" applyProtection="1">
      <alignment horizontal="left" vertical="center"/>
      <protection hidden="1"/>
    </xf>
    <xf numFmtId="0" fontId="5" fillId="0" borderId="53" xfId="110" applyBorder="1" applyAlignment="1" applyProtection="1">
      <alignment horizontal="left" vertical="center"/>
      <protection hidden="1"/>
    </xf>
    <xf numFmtId="0" fontId="5" fillId="0" borderId="49" xfId="110" applyBorder="1" applyAlignment="1" applyProtection="1">
      <alignment horizontal="left" vertical="top" wrapText="1"/>
      <protection hidden="1"/>
    </xf>
    <xf numFmtId="0" fontId="5" fillId="0" borderId="0" xfId="110" applyAlignment="1" applyProtection="1">
      <alignment horizontal="left" vertical="top" wrapText="1"/>
      <protection hidden="1"/>
    </xf>
    <xf numFmtId="0" fontId="5" fillId="0" borderId="48" xfId="110" applyBorder="1" applyAlignment="1" applyProtection="1">
      <alignment horizontal="left" vertical="top" wrapText="1"/>
      <protection hidden="1"/>
    </xf>
    <xf numFmtId="43" fontId="5" fillId="3" borderId="34" xfId="35" applyFont="1" applyFill="1" applyBorder="1" applyAlignment="1" applyProtection="1">
      <alignment horizontal="right" vertical="center"/>
      <protection hidden="1"/>
    </xf>
    <xf numFmtId="43" fontId="5"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700010" y="104775"/>
          <a:ext cx="453390" cy="79438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336971" y="47625"/>
          <a:ext cx="571500" cy="1390106"/>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221200" y="391886"/>
          <a:ext cx="0" cy="1260021"/>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6607" y="47625"/>
          <a:ext cx="1126672" cy="602796"/>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619134" y="19050"/>
          <a:ext cx="1132609" cy="709180"/>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33044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10" Type="http://schemas.openxmlformats.org/officeDocument/2006/relationships/printerSettings" Target="../printerSettings/printerSettings255.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workbookViewId="0">
      <selection activeCell="B10" sqref="B10"/>
    </sheetView>
  </sheetViews>
  <sheetFormatPr defaultColWidth="9.109375" defaultRowHeight="14.4"/>
  <cols>
    <col min="1" max="1" width="20.5546875" style="14" customWidth="1"/>
    <col min="2" max="2" width="82.109375" style="14" customWidth="1"/>
    <col min="3" max="8" width="9.109375" style="14"/>
    <col min="9" max="9" width="9.109375" style="14" hidden="1" customWidth="1"/>
    <col min="10" max="16384" width="9.109375" style="14"/>
  </cols>
  <sheetData>
    <row r="1" spans="1:9" ht="57.6">
      <c r="A1" s="12" t="s">
        <v>39</v>
      </c>
      <c r="B1" s="188" t="s">
        <v>700</v>
      </c>
      <c r="C1" s="13"/>
      <c r="D1" s="13"/>
      <c r="E1" s="13"/>
      <c r="F1" s="13"/>
      <c r="G1" s="13"/>
      <c r="H1" s="13"/>
    </row>
    <row r="2" spans="1:9">
      <c r="B2" s="15"/>
      <c r="I2" s="14" t="s">
        <v>260</v>
      </c>
    </row>
    <row r="3" spans="1:9">
      <c r="A3" s="14" t="s">
        <v>40</v>
      </c>
      <c r="B3" s="158" t="s">
        <v>701</v>
      </c>
      <c r="I3" s="14" t="s">
        <v>261</v>
      </c>
    </row>
    <row r="5" spans="1:9" ht="15.6">
      <c r="A5" s="14" t="s">
        <v>41</v>
      </c>
      <c r="B5" s="159" t="s">
        <v>702</v>
      </c>
      <c r="C5" s="13"/>
      <c r="D5" s="13"/>
      <c r="E5" s="13"/>
      <c r="F5" s="13"/>
      <c r="G5" s="13"/>
      <c r="H5" s="13"/>
    </row>
    <row r="7" spans="1:9">
      <c r="B7" s="14" t="s">
        <v>495</v>
      </c>
    </row>
  </sheetData>
  <sheetProtection algorithmName="SHA-512" hashValue="4z6zC+xb+2ot7XKlAzEFMNi6a3wmXBQ407jV23UAmaFYyLVFrxF7FwxYkgSWsM5FyL+UKpwAHD/P7I7cDYKGRw==" saltValue="s+fZDjidNR5PFvjGnQrQIA==" spinCount="100000" sheet="1" selectLockedCells="1" selectUnlockedCells="1"/>
  <customSheetViews>
    <customSheetView guid="{B85D7887-A299-45C0-BD97-6C28577A6A5C}" hiddenColumns="1" state="hidden">
      <selection activeCell="B13" sqref="B13"/>
      <pageMargins left="0.75" right="0.75" top="1" bottom="1" header="0.5" footer="0.5"/>
      <pageSetup orientation="portrait" r:id="rId1"/>
      <headerFooter alignWithMargins="0"/>
    </customSheetView>
    <customSheetView guid="{CA9345C4-09FE-4F27-BFD9-3D9BCD2DED09}" hiddenColumns="1" state="hidden">
      <selection activeCell="B6" sqref="B6"/>
      <pageMargins left="0.75" right="0.75" top="1" bottom="1" header="0.5" footer="0.5"/>
      <pageSetup orientation="portrait" r:id="rId2"/>
      <headerFooter alignWithMargins="0"/>
    </customSheetView>
    <customSheetView guid="{7AB1F867-F01E-4EB9-A93D-DDCFDB9AA444}" hiddenColumns="1" state="hidden">
      <selection activeCell="B1" sqref="B1"/>
      <pageMargins left="0.75" right="0.75" top="1" bottom="1" header="0.5" footer="0.5"/>
      <pageSetup orientation="portrait" r:id="rId3"/>
      <headerFooter alignWithMargins="0"/>
    </customSheetView>
    <customSheetView guid="{B96E710B-6DD7-4DE1-95AB-C9EE060CD030}" hiddenColumns="1" state="hidden">
      <selection activeCell="B9" sqref="B9:B10"/>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497EA202-A8B8-45C5-9E6C-C3CD104F3979}" hiddenColumns="1" state="hidden">
      <selection activeCell="B13" sqref="B13"/>
      <pageMargins left="0.75" right="0.75" top="1" bottom="1" header="0.5" footer="0.5"/>
      <pageSetup orientation="portrait" r:id="rId8"/>
      <headerFooter alignWithMargins="0"/>
    </customSheetView>
    <customSheetView guid="{63D51328-7CBC-4A1E-B96D-BAE91416501B}" hiddenColumns="1" state="hidden">
      <selection activeCell="B11" sqref="B11"/>
      <pageMargins left="0.75" right="0.75" top="1" bottom="1" header="0.5" footer="0.5"/>
      <pageSetup orientation="portrait" r:id="rId9"/>
      <headerFooter alignWithMargins="0"/>
    </customSheetView>
    <customSheetView guid="{D5521983-A70D-48A3-9506-C0263CBBC57D}" hiddenColumns="1" state="hidden">
      <selection activeCell="B1" sqref="B1"/>
      <pageMargins left="0.75" right="0.75" top="1" bottom="1" header="0.5" footer="0.5"/>
      <pageSetup orientation="portrait" r:id="rId10"/>
      <headerFooter alignWithMargins="0"/>
    </customSheetView>
    <customSheetView guid="{12A89170-4F84-482D-A3C5-7890082E7B73}" hiddenColumns="1" state="hidden">
      <selection activeCell="B7" sqref="B7"/>
      <pageMargins left="0.75" right="0.75" top="1" bottom="1" header="0.5" footer="0.5"/>
      <pageSetup orientation="portrait" r:id="rId11"/>
      <headerFooter alignWithMargins="0"/>
    </customSheetView>
    <customSheetView guid="{CCA37BAE-906F-43D5-9FD9-B13563E4B9D7}" hiddenColumns="1" state="hidden">
      <selection activeCell="B13" sqref="B13"/>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70" zoomScaleNormal="100" zoomScaleSheetLayoutView="70" workbookViewId="0">
      <selection activeCell="A3" sqref="A3:E3"/>
    </sheetView>
  </sheetViews>
  <sheetFormatPr defaultColWidth="11.44140625" defaultRowHeight="15.6"/>
  <cols>
    <col min="1" max="1" width="11.88671875" style="469" customWidth="1"/>
    <col min="2" max="2" width="46.6640625" style="469" customWidth="1"/>
    <col min="3" max="3" width="20" style="469" customWidth="1"/>
    <col min="4" max="4" width="23.44140625" style="469" customWidth="1"/>
    <col min="5" max="5" width="22.88671875" style="469" customWidth="1"/>
    <col min="6" max="6" width="11.44140625" style="458" customWidth="1"/>
    <col min="7" max="7" width="34.109375" style="458" customWidth="1"/>
    <col min="8" max="8" width="11.44140625" style="458" customWidth="1"/>
    <col min="9" max="9" width="14" style="459" customWidth="1"/>
    <col min="10" max="10" width="14.44140625" style="459" customWidth="1"/>
    <col min="11" max="11" width="17.109375" style="459" customWidth="1"/>
    <col min="12" max="13" width="11.44140625" style="459" customWidth="1"/>
    <col min="14" max="14" width="21.33203125" style="459" customWidth="1"/>
    <col min="15" max="15" width="18.33203125" style="458" customWidth="1"/>
    <col min="16" max="17" width="11.44140625" style="458" customWidth="1"/>
    <col min="18" max="18" width="11.44140625" style="460" customWidth="1"/>
    <col min="19" max="24" width="11.44140625" style="458" customWidth="1"/>
    <col min="25" max="16384" width="11.44140625" style="460"/>
  </cols>
  <sheetData>
    <row r="1" spans="1:15" ht="18" customHeight="1">
      <c r="A1" s="454" t="str">
        <f>Cover!B3</f>
        <v>Spec. No.:CC/NT/W-GIS/DOM/A04/24/01196</v>
      </c>
      <c r="B1" s="455"/>
      <c r="C1" s="456"/>
      <c r="D1" s="456"/>
      <c r="E1" s="457" t="s">
        <v>494</v>
      </c>
    </row>
    <row r="2" spans="1:15" ht="8.1" customHeight="1">
      <c r="A2" s="461"/>
      <c r="B2" s="462"/>
      <c r="C2" s="463"/>
      <c r="D2" s="463"/>
      <c r="E2" s="464"/>
      <c r="F2" s="465"/>
    </row>
    <row r="3" spans="1:15" ht="75.599999999999994" customHeight="1">
      <c r="A3" s="862"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62"/>
      <c r="C3" s="862"/>
      <c r="D3" s="862"/>
      <c r="E3" s="862"/>
    </row>
    <row r="4" spans="1:15" ht="21.9" customHeight="1">
      <c r="A4" s="863" t="s">
        <v>127</v>
      </c>
      <c r="B4" s="863"/>
      <c r="C4" s="863"/>
      <c r="D4" s="863"/>
      <c r="E4" s="863"/>
    </row>
    <row r="5" spans="1:15" ht="12" customHeight="1">
      <c r="A5" s="466"/>
      <c r="B5" s="467"/>
      <c r="C5" s="467"/>
      <c r="D5" s="467"/>
      <c r="E5" s="467"/>
    </row>
    <row r="6" spans="1:15" ht="20.25" customHeight="1">
      <c r="A6" s="816" t="s">
        <v>346</v>
      </c>
      <c r="B6" s="816"/>
      <c r="C6" s="242"/>
      <c r="D6" s="467"/>
      <c r="E6" s="467"/>
    </row>
    <row r="7" spans="1:15" ht="18" customHeight="1">
      <c r="A7" s="820">
        <f>'Sch-1'!A7</f>
        <v>0</v>
      </c>
      <c r="B7" s="820"/>
      <c r="C7" s="820"/>
      <c r="D7" s="497" t="s">
        <v>1</v>
      </c>
    </row>
    <row r="8" spans="1:15" ht="18" customHeight="1">
      <c r="A8" s="817" t="str">
        <f>"Bidder’s Name and Address  (" &amp; MID('Names of Bidder'!B9,9, 20) &amp; ") :"</f>
        <v>Bidder’s Name and Address  (Sole Bidder) :</v>
      </c>
      <c r="B8" s="817"/>
      <c r="C8" s="817"/>
      <c r="D8" s="498" t="str">
        <f>'Sch-1'!K8</f>
        <v>Contract Services</v>
      </c>
    </row>
    <row r="9" spans="1:15" ht="18" customHeight="1">
      <c r="A9" s="245" t="s">
        <v>12</v>
      </c>
      <c r="B9" s="245" t="str">
        <f>IF('Names of Bidder'!D9=0, "", 'Names of Bidder'!D9)</f>
        <v/>
      </c>
      <c r="C9" s="460"/>
      <c r="D9" s="498" t="str">
        <f>'Sch-1'!K9</f>
        <v>Power Grid Corporation of India Ltd.,</v>
      </c>
    </row>
    <row r="10" spans="1:15" ht="18" customHeight="1">
      <c r="A10" s="245" t="s">
        <v>11</v>
      </c>
      <c r="B10" s="251" t="str">
        <f>IF('Names of Bidder'!D10=0, "", 'Names of Bidder'!D10)</f>
        <v/>
      </c>
      <c r="C10" s="460"/>
      <c r="D10" s="498" t="str">
        <f>'Sch-1'!K10</f>
        <v>"Saudamini", Plot No.-2</v>
      </c>
    </row>
    <row r="11" spans="1:15" ht="18" customHeight="1">
      <c r="A11" s="254"/>
      <c r="B11" s="251" t="str">
        <f>IF('Names of Bidder'!D11=0, "", 'Names of Bidder'!D11)</f>
        <v/>
      </c>
      <c r="C11" s="460"/>
      <c r="D11" s="498" t="str">
        <f>'Sch-1'!K11</f>
        <v xml:space="preserve">Sector-29, </v>
      </c>
    </row>
    <row r="12" spans="1:15" ht="18" customHeight="1">
      <c r="A12" s="254"/>
      <c r="B12" s="251" t="str">
        <f>IF('Names of Bidder'!D12=0, "", 'Names of Bidder'!D12)</f>
        <v/>
      </c>
      <c r="C12" s="460"/>
      <c r="D12" s="498" t="str">
        <f>'Sch-1'!K12</f>
        <v>Gurgaon (Haryana) - 122001</v>
      </c>
    </row>
    <row r="13" spans="1:15" ht="8.1" customHeight="1" thickBot="1"/>
    <row r="14" spans="1:15" ht="21.9" customHeight="1">
      <c r="A14" s="471" t="s">
        <v>128</v>
      </c>
      <c r="B14" s="864" t="s">
        <v>129</v>
      </c>
      <c r="C14" s="864"/>
      <c r="D14" s="865" t="s">
        <v>130</v>
      </c>
      <c r="E14" s="866"/>
      <c r="I14" s="861"/>
      <c r="J14" s="861"/>
      <c r="K14" s="861"/>
      <c r="M14" s="854"/>
      <c r="N14" s="854"/>
      <c r="O14" s="854"/>
    </row>
    <row r="15" spans="1:15" ht="24.75" customHeight="1">
      <c r="A15" s="472" t="s">
        <v>133</v>
      </c>
      <c r="B15" s="855" t="s">
        <v>323</v>
      </c>
      <c r="C15" s="855"/>
      <c r="D15" s="873">
        <f>'Sch-1'!S327</f>
        <v>0</v>
      </c>
      <c r="E15" s="874"/>
      <c r="I15" s="473"/>
      <c r="K15" s="473"/>
      <c r="M15" s="473"/>
      <c r="O15" s="474"/>
    </row>
    <row r="16" spans="1:15" ht="81" customHeight="1">
      <c r="A16" s="475"/>
      <c r="B16" s="858" t="s">
        <v>324</v>
      </c>
      <c r="C16" s="858"/>
      <c r="D16" s="875"/>
      <c r="E16" s="876"/>
      <c r="G16" s="476"/>
    </row>
    <row r="17" spans="1:15" ht="24.75" customHeight="1">
      <c r="A17" s="472" t="s">
        <v>135</v>
      </c>
      <c r="B17" s="855" t="s">
        <v>325</v>
      </c>
      <c r="C17" s="855"/>
      <c r="D17" s="856">
        <f>'Sch-3'!U157</f>
        <v>0</v>
      </c>
      <c r="E17" s="857"/>
      <c r="I17" s="473"/>
      <c r="K17" s="477"/>
      <c r="M17" s="473"/>
      <c r="O17" s="478"/>
    </row>
    <row r="18" spans="1:15" ht="81.75" customHeight="1">
      <c r="A18" s="475"/>
      <c r="B18" s="858" t="s">
        <v>326</v>
      </c>
      <c r="C18" s="858"/>
      <c r="D18" s="877"/>
      <c r="E18" s="878"/>
      <c r="G18" s="479"/>
      <c r="I18" s="480"/>
      <c r="M18" s="480"/>
    </row>
    <row r="19" spans="1:15" ht="33" customHeight="1" thickBot="1">
      <c r="A19" s="481"/>
      <c r="B19" s="482" t="s">
        <v>329</v>
      </c>
      <c r="C19" s="483"/>
      <c r="D19" s="869">
        <f>D15+D17</f>
        <v>0</v>
      </c>
      <c r="E19" s="870"/>
    </row>
    <row r="20" spans="1:15" ht="30" customHeight="1">
      <c r="A20" s="484"/>
      <c r="B20" s="484"/>
      <c r="C20" s="485"/>
      <c r="D20" s="484"/>
      <c r="E20" s="484"/>
    </row>
    <row r="21" spans="1:15" ht="30" customHeight="1">
      <c r="A21" s="486" t="s">
        <v>141</v>
      </c>
      <c r="B21" s="487" t="str">
        <f>'Sch-5'!B21</f>
        <v xml:space="preserve">  </v>
      </c>
      <c r="C21" s="485" t="s">
        <v>142</v>
      </c>
      <c r="D21" s="879" t="str">
        <f>'Sch-5'!D21</f>
        <v/>
      </c>
      <c r="E21" s="879"/>
      <c r="F21" s="488"/>
    </row>
    <row r="22" spans="1:15" ht="30" customHeight="1">
      <c r="A22" s="486" t="s">
        <v>143</v>
      </c>
      <c r="B22" s="500" t="str">
        <f>'Sch-5'!B22</f>
        <v/>
      </c>
      <c r="C22" s="485" t="s">
        <v>144</v>
      </c>
      <c r="D22" s="879" t="str">
        <f>'Sch-5'!D22</f>
        <v/>
      </c>
      <c r="E22" s="879"/>
      <c r="F22" s="488"/>
    </row>
    <row r="23" spans="1:15" ht="30" customHeight="1">
      <c r="A23" s="490"/>
      <c r="B23" s="491"/>
      <c r="C23" s="485"/>
      <c r="D23" s="458"/>
      <c r="E23" s="458"/>
      <c r="F23" s="488"/>
    </row>
    <row r="24" spans="1:15" ht="33" customHeight="1">
      <c r="A24" s="490"/>
      <c r="B24" s="491"/>
      <c r="C24" s="465"/>
      <c r="D24" s="492"/>
      <c r="E24" s="493"/>
      <c r="F24" s="488"/>
    </row>
    <row r="25" spans="1:15" ht="21.9" customHeight="1">
      <c r="A25" s="494"/>
      <c r="B25" s="494"/>
      <c r="C25" s="494"/>
      <c r="D25" s="494"/>
      <c r="E25" s="495"/>
    </row>
    <row r="26" spans="1:15" ht="21.9" customHeight="1">
      <c r="A26" s="494"/>
      <c r="B26" s="494"/>
      <c r="C26" s="494"/>
      <c r="D26" s="494"/>
      <c r="E26" s="495"/>
    </row>
    <row r="27" spans="1:15" ht="21.9" customHeight="1">
      <c r="A27" s="494"/>
      <c r="B27" s="494"/>
      <c r="C27" s="494"/>
      <c r="D27" s="494"/>
      <c r="E27" s="495"/>
    </row>
    <row r="28" spans="1:15" ht="21.9" customHeight="1">
      <c r="A28" s="494"/>
      <c r="B28" s="494"/>
      <c r="C28" s="494"/>
      <c r="D28" s="494"/>
      <c r="E28" s="495"/>
    </row>
    <row r="29" spans="1:15" ht="21.9" customHeight="1">
      <c r="A29" s="494"/>
      <c r="B29" s="494"/>
      <c r="C29" s="494"/>
      <c r="D29" s="494"/>
      <c r="E29" s="495"/>
    </row>
    <row r="30" spans="1:15" ht="21.9" customHeight="1">
      <c r="A30" s="494"/>
      <c r="B30" s="494"/>
      <c r="C30" s="494"/>
      <c r="D30" s="494"/>
      <c r="E30" s="495"/>
    </row>
    <row r="31" spans="1:15" ht="24.9" customHeight="1">
      <c r="A31" s="493"/>
      <c r="B31" s="493"/>
      <c r="C31" s="493"/>
      <c r="D31" s="493"/>
      <c r="E31" s="493"/>
    </row>
    <row r="32" spans="1:15" ht="24.9" customHeight="1">
      <c r="A32" s="493"/>
      <c r="B32" s="493"/>
      <c r="C32" s="493"/>
      <c r="D32" s="493"/>
      <c r="E32" s="493"/>
    </row>
    <row r="33" spans="1:5" ht="24.9" customHeight="1">
      <c r="A33" s="493"/>
      <c r="B33" s="493"/>
      <c r="C33" s="493"/>
      <c r="D33" s="493"/>
      <c r="E33" s="493"/>
    </row>
    <row r="34" spans="1:5" ht="24.9" customHeight="1">
      <c r="A34" s="493"/>
      <c r="B34" s="493"/>
      <c r="C34" s="493"/>
      <c r="D34" s="493"/>
      <c r="E34" s="493"/>
    </row>
    <row r="35" spans="1:5" ht="24.9" customHeight="1">
      <c r="A35" s="493"/>
      <c r="B35" s="493"/>
      <c r="C35" s="493"/>
      <c r="D35" s="493"/>
      <c r="E35" s="493"/>
    </row>
    <row r="36" spans="1:5" ht="24.9" customHeight="1">
      <c r="A36" s="493"/>
      <c r="B36" s="493"/>
      <c r="C36" s="493"/>
      <c r="D36" s="493"/>
      <c r="E36" s="493"/>
    </row>
    <row r="37" spans="1:5" ht="24.9" customHeight="1">
      <c r="A37" s="493"/>
      <c r="B37" s="493"/>
      <c r="C37" s="493"/>
      <c r="D37" s="493"/>
      <c r="E37" s="493"/>
    </row>
    <row r="38" spans="1:5" ht="24.9" customHeight="1">
      <c r="A38" s="493"/>
      <c r="B38" s="493"/>
      <c r="C38" s="493"/>
      <c r="D38" s="493"/>
      <c r="E38" s="493"/>
    </row>
    <row r="39" spans="1:5" ht="24.9" customHeight="1">
      <c r="A39" s="493"/>
      <c r="B39" s="493"/>
      <c r="C39" s="493"/>
      <c r="D39" s="493"/>
      <c r="E39" s="493"/>
    </row>
    <row r="40" spans="1:5" ht="24.9" customHeight="1">
      <c r="A40" s="493"/>
      <c r="B40" s="493"/>
      <c r="C40" s="493"/>
      <c r="D40" s="493"/>
      <c r="E40" s="493"/>
    </row>
    <row r="41" spans="1:5" ht="24.9" customHeight="1">
      <c r="A41" s="493"/>
      <c r="B41" s="493"/>
      <c r="C41" s="493"/>
      <c r="D41" s="493"/>
      <c r="E41" s="493"/>
    </row>
    <row r="42" spans="1:5" ht="24.9" customHeight="1">
      <c r="A42" s="493"/>
      <c r="B42" s="493"/>
      <c r="C42" s="493"/>
      <c r="D42" s="493"/>
      <c r="E42" s="493"/>
    </row>
    <row r="43" spans="1:5" ht="24.9" customHeight="1">
      <c r="A43" s="493"/>
      <c r="B43" s="493"/>
      <c r="C43" s="493"/>
      <c r="D43" s="493"/>
      <c r="E43" s="493"/>
    </row>
    <row r="44" spans="1:5" ht="24.9" customHeight="1">
      <c r="A44" s="493"/>
      <c r="B44" s="493"/>
      <c r="C44" s="493"/>
      <c r="D44" s="493"/>
      <c r="E44" s="493"/>
    </row>
    <row r="45" spans="1:5" ht="24.9" customHeight="1">
      <c r="A45" s="493"/>
      <c r="B45" s="493"/>
      <c r="C45" s="493"/>
      <c r="D45" s="493"/>
      <c r="E45" s="493"/>
    </row>
    <row r="46" spans="1:5" ht="24.9" customHeight="1">
      <c r="A46" s="493"/>
      <c r="B46" s="493"/>
      <c r="C46" s="493"/>
      <c r="D46" s="493"/>
      <c r="E46" s="493"/>
    </row>
    <row r="47" spans="1:5" ht="24.9" customHeight="1">
      <c r="A47" s="493"/>
      <c r="B47" s="493"/>
      <c r="C47" s="493"/>
      <c r="D47" s="493"/>
      <c r="E47" s="493"/>
    </row>
    <row r="48" spans="1:5" ht="24.9" customHeight="1">
      <c r="A48" s="493"/>
      <c r="B48" s="493"/>
      <c r="C48" s="493"/>
      <c r="D48" s="493"/>
      <c r="E48" s="493"/>
    </row>
    <row r="49" spans="1:5" ht="24.9" customHeight="1">
      <c r="A49" s="493"/>
      <c r="B49" s="493"/>
      <c r="C49" s="493"/>
      <c r="D49" s="493"/>
      <c r="E49" s="493"/>
    </row>
    <row r="50" spans="1:5" ht="24.9" customHeight="1">
      <c r="A50" s="493"/>
      <c r="B50" s="493"/>
      <c r="C50" s="493"/>
      <c r="D50" s="493"/>
      <c r="E50" s="493"/>
    </row>
    <row r="51" spans="1:5" ht="24.9" customHeight="1">
      <c r="A51" s="493"/>
      <c r="B51" s="493"/>
      <c r="C51" s="493"/>
      <c r="D51" s="493"/>
      <c r="E51" s="493"/>
    </row>
    <row r="52" spans="1:5" ht="24.9" customHeight="1">
      <c r="A52" s="493"/>
      <c r="B52" s="493"/>
      <c r="C52" s="493"/>
      <c r="D52" s="493"/>
      <c r="E52" s="493"/>
    </row>
    <row r="53" spans="1:5" ht="24.9" customHeight="1">
      <c r="A53" s="493"/>
      <c r="B53" s="493"/>
      <c r="C53" s="493"/>
      <c r="D53" s="493"/>
      <c r="E53" s="493"/>
    </row>
    <row r="54" spans="1:5">
      <c r="A54" s="493"/>
      <c r="B54" s="493"/>
      <c r="C54" s="493"/>
      <c r="D54" s="493"/>
      <c r="E54" s="493"/>
    </row>
    <row r="55" spans="1:5">
      <c r="A55" s="493"/>
      <c r="B55" s="493"/>
      <c r="C55" s="493"/>
      <c r="D55" s="493"/>
      <c r="E55" s="493"/>
    </row>
    <row r="56" spans="1:5">
      <c r="A56" s="493"/>
      <c r="B56" s="493"/>
      <c r="C56" s="493"/>
      <c r="D56" s="493"/>
      <c r="E56" s="493"/>
    </row>
    <row r="57" spans="1:5">
      <c r="A57" s="493"/>
      <c r="B57" s="493"/>
      <c r="C57" s="493"/>
      <c r="D57" s="493"/>
      <c r="E57" s="493"/>
    </row>
    <row r="58" spans="1:5">
      <c r="A58" s="493"/>
      <c r="B58" s="493"/>
      <c r="C58" s="493"/>
      <c r="D58" s="493"/>
      <c r="E58" s="493"/>
    </row>
    <row r="59" spans="1:5">
      <c r="A59" s="493"/>
      <c r="B59" s="493"/>
      <c r="C59" s="493"/>
      <c r="D59" s="493"/>
      <c r="E59" s="493"/>
    </row>
    <row r="60" spans="1:5">
      <c r="A60" s="493"/>
      <c r="B60" s="493"/>
      <c r="C60" s="493"/>
      <c r="D60" s="493"/>
      <c r="E60" s="493"/>
    </row>
    <row r="61" spans="1:5">
      <c r="A61" s="493"/>
      <c r="B61" s="493"/>
      <c r="C61" s="493"/>
      <c r="D61" s="493"/>
      <c r="E61" s="493"/>
    </row>
    <row r="62" spans="1:5">
      <c r="A62" s="493"/>
      <c r="B62" s="493"/>
      <c r="C62" s="493"/>
      <c r="D62" s="493"/>
      <c r="E62" s="493"/>
    </row>
    <row r="63" spans="1:5">
      <c r="A63" s="493"/>
      <c r="B63" s="493"/>
      <c r="C63" s="493"/>
      <c r="D63" s="493"/>
      <c r="E63" s="493"/>
    </row>
    <row r="64" spans="1:5">
      <c r="A64" s="493"/>
      <c r="B64" s="493"/>
      <c r="C64" s="493"/>
      <c r="D64" s="493"/>
      <c r="E64" s="493"/>
    </row>
    <row r="65" spans="1:5">
      <c r="A65" s="493"/>
      <c r="B65" s="493"/>
      <c r="C65" s="493"/>
      <c r="D65" s="493"/>
      <c r="E65" s="493"/>
    </row>
    <row r="66" spans="1:5">
      <c r="A66" s="493"/>
      <c r="B66" s="493"/>
      <c r="C66" s="493"/>
      <c r="D66" s="493"/>
      <c r="E66" s="493"/>
    </row>
    <row r="67" spans="1:5">
      <c r="A67" s="493"/>
      <c r="B67" s="493"/>
      <c r="C67" s="493"/>
      <c r="D67" s="493"/>
      <c r="E67" s="493"/>
    </row>
    <row r="68" spans="1:5">
      <c r="A68" s="493"/>
      <c r="B68" s="493"/>
      <c r="C68" s="493"/>
      <c r="D68" s="493"/>
      <c r="E68" s="493"/>
    </row>
    <row r="69" spans="1:5">
      <c r="A69" s="493"/>
      <c r="B69" s="493"/>
      <c r="C69" s="493"/>
      <c r="D69" s="493"/>
      <c r="E69" s="493"/>
    </row>
    <row r="70" spans="1:5">
      <c r="A70" s="493"/>
      <c r="B70" s="493"/>
      <c r="C70" s="493"/>
      <c r="D70" s="493"/>
      <c r="E70" s="493"/>
    </row>
    <row r="71" spans="1:5">
      <c r="A71" s="493"/>
      <c r="B71" s="493"/>
      <c r="C71" s="493"/>
      <c r="D71" s="493"/>
      <c r="E71" s="493"/>
    </row>
  </sheetData>
  <sheetProtection algorithmName="SHA-512" hashValue="tRtg5DQbtvkFFII12eSimYMtnEKZyBBkqh+hmb7KqaVdN5Nl3nqSSMa4h9a70p0jRR/ONrp5gge16RDknEm+tQ==" saltValue="eEvCYNpW1bDDWeTXw4V4sA==" spinCount="100000" sheet="1" formatColumns="0" formatRows="0" selectLockedCells="1"/>
  <dataConsolidate/>
  <customSheetViews>
    <customSheetView guid="{B85D7887-A299-45C0-BD97-6C28577A6A5C}" showPageBreaks="1" printArea="1" view="pageBreakPreview" topLeftCell="A7">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view="pageBreakPreview" topLeftCell="A7">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view="pageBreakPreview" topLeftCell="A7">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497EA202-A8B8-45C5-9E6C-C3CD104F3979}" showPageBreaks="1" printArea="1" view="pageBreakPreview" topLeftCell="A13">
      <selection activeCell="G16" sqref="G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G16" sqref="G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D5521983-A70D-48A3-9506-C0263CBBC57D}" showPageBreaks="1" printArea="1" view="pageBreakPreview" topLeftCell="A7">
      <selection activeCell="B16" sqref="B16:C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12A89170-4F84-482D-A3C5-7890082E7B73}" showPageBreaks="1" printArea="1" view="pageBreakPreview" topLeftCell="A7">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CCA37BAE-906F-43D5-9FD9-B13563E4B9D7}" showPageBreaks="1" printArea="1" view="pageBreakPreview" topLeftCell="A7">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55" zoomScaleNormal="100" zoomScaleSheetLayoutView="55" workbookViewId="0">
      <selection activeCell="A7" sqref="A7:C7"/>
    </sheetView>
  </sheetViews>
  <sheetFormatPr defaultColWidth="11.44140625" defaultRowHeight="15.6"/>
  <cols>
    <col min="1" max="1" width="12.109375" style="469" customWidth="1"/>
    <col min="2" max="2" width="31.44140625" style="469" customWidth="1"/>
    <col min="3" max="3" width="24" style="469" customWidth="1"/>
    <col min="4" max="4" width="39.33203125" style="469" customWidth="1"/>
    <col min="5" max="16384" width="11.44140625" style="460"/>
  </cols>
  <sheetData>
    <row r="1" spans="1:6" ht="18" customHeight="1">
      <c r="A1" s="501" t="str">
        <f>Cover!B3</f>
        <v>Spec. No.:CC/NT/W-GIS/DOM/A04/24/01196</v>
      </c>
      <c r="B1" s="502"/>
      <c r="C1" s="503"/>
      <c r="D1" s="504" t="s">
        <v>145</v>
      </c>
    </row>
    <row r="2" spans="1:6" ht="18" customHeight="1">
      <c r="A2" s="505"/>
      <c r="B2" s="506"/>
      <c r="C2" s="507"/>
      <c r="D2" s="507"/>
    </row>
    <row r="3" spans="1:6" ht="90" customHeight="1">
      <c r="A3" s="862"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62"/>
      <c r="C3" s="862"/>
      <c r="D3" s="862"/>
      <c r="E3" s="508"/>
      <c r="F3" s="508"/>
    </row>
    <row r="4" spans="1:6" ht="21.9" customHeight="1">
      <c r="A4" s="863" t="s">
        <v>146</v>
      </c>
      <c r="B4" s="863"/>
      <c r="C4" s="863"/>
      <c r="D4" s="863"/>
    </row>
    <row r="5" spans="1:6" ht="18" customHeight="1">
      <c r="A5" s="509"/>
    </row>
    <row r="6" spans="1:6" ht="18" customHeight="1">
      <c r="A6" s="816" t="s">
        <v>346</v>
      </c>
      <c r="B6" s="816"/>
      <c r="C6" s="242"/>
    </row>
    <row r="7" spans="1:6" ht="18" customHeight="1">
      <c r="A7" s="820">
        <f>'Sch-1'!A7</f>
        <v>0</v>
      </c>
      <c r="B7" s="820"/>
      <c r="C7" s="820"/>
      <c r="D7" s="497" t="s">
        <v>1</v>
      </c>
    </row>
    <row r="8" spans="1:6" ht="21.75" customHeight="1">
      <c r="A8" s="817" t="str">
        <f>"Bidder’s Name and Address  (" &amp; MID('Names of Bidder'!B9,9, 20) &amp; ") :"</f>
        <v>Bidder’s Name and Address  (Sole Bidder) :</v>
      </c>
      <c r="B8" s="817"/>
      <c r="C8" s="817"/>
      <c r="D8" s="498" t="str">
        <f>'Sch-1'!K8</f>
        <v>Contract Services</v>
      </c>
    </row>
    <row r="9" spans="1:6" ht="18" customHeight="1">
      <c r="A9" s="245" t="s">
        <v>12</v>
      </c>
      <c r="B9" s="245" t="str">
        <f>IF('Names of Bidder'!D9=0, "", 'Names of Bidder'!D9)</f>
        <v/>
      </c>
      <c r="C9" s="460"/>
      <c r="D9" s="498" t="str">
        <f>'Sch-1'!K9</f>
        <v>Power Grid Corporation of India Ltd.,</v>
      </c>
    </row>
    <row r="10" spans="1:6" ht="18" customHeight="1">
      <c r="A10" s="245" t="s">
        <v>11</v>
      </c>
      <c r="B10" s="251" t="str">
        <f>IF('Names of Bidder'!D10=0, "", 'Names of Bidder'!D10)</f>
        <v/>
      </c>
      <c r="C10" s="460"/>
      <c r="D10" s="498" t="str">
        <f>'Sch-1'!K10</f>
        <v>"Saudamini", Plot No.-2</v>
      </c>
    </row>
    <row r="11" spans="1:6" ht="18" customHeight="1">
      <c r="A11" s="254"/>
      <c r="B11" s="251" t="str">
        <f>IF('Names of Bidder'!D11=0, "", 'Names of Bidder'!D11)</f>
        <v/>
      </c>
      <c r="C11" s="460"/>
      <c r="D11" s="498" t="str">
        <f>'Sch-1'!K11</f>
        <v xml:space="preserve">Sector-29, </v>
      </c>
    </row>
    <row r="12" spans="1:6" ht="18" customHeight="1">
      <c r="A12" s="254"/>
      <c r="B12" s="251" t="str">
        <f>IF('Names of Bidder'!D12=0, "", 'Names of Bidder'!D12)</f>
        <v/>
      </c>
      <c r="C12" s="460"/>
      <c r="D12" s="498" t="str">
        <f>'Sch-1'!K12</f>
        <v>Gurgaon (Haryana) - 122001</v>
      </c>
    </row>
    <row r="13" spans="1:6" ht="18" customHeight="1" thickBot="1">
      <c r="A13" s="510"/>
      <c r="B13" s="510"/>
      <c r="C13" s="510"/>
      <c r="D13" s="497"/>
    </row>
    <row r="14" spans="1:6" ht="21.9" customHeight="1">
      <c r="A14" s="511" t="s">
        <v>128</v>
      </c>
      <c r="B14" s="880" t="s">
        <v>14</v>
      </c>
      <c r="C14" s="881"/>
      <c r="D14" s="512" t="s">
        <v>130</v>
      </c>
    </row>
    <row r="15" spans="1:6" ht="21.9" customHeight="1">
      <c r="A15" s="513" t="s">
        <v>133</v>
      </c>
      <c r="B15" s="882" t="s">
        <v>147</v>
      </c>
      <c r="C15" s="882"/>
      <c r="D15" s="514">
        <f>'Sch-1'!N327</f>
        <v>0</v>
      </c>
    </row>
    <row r="16" spans="1:6" ht="35.1" customHeight="1">
      <c r="A16" s="515"/>
      <c r="B16" s="883" t="s">
        <v>148</v>
      </c>
      <c r="C16" s="884"/>
      <c r="D16" s="516"/>
    </row>
    <row r="17" spans="1:6" ht="21.9" customHeight="1">
      <c r="A17" s="513" t="s">
        <v>135</v>
      </c>
      <c r="B17" s="882" t="s">
        <v>149</v>
      </c>
      <c r="C17" s="882"/>
      <c r="D17" s="514">
        <f>'Sch-2'!J316</f>
        <v>0</v>
      </c>
    </row>
    <row r="18" spans="1:6" ht="35.1" customHeight="1">
      <c r="A18" s="515"/>
      <c r="B18" s="883" t="s">
        <v>310</v>
      </c>
      <c r="C18" s="884"/>
      <c r="D18" s="516"/>
    </row>
    <row r="19" spans="1:6" ht="21.9" customHeight="1">
      <c r="A19" s="513" t="s">
        <v>137</v>
      </c>
      <c r="B19" s="882" t="s">
        <v>151</v>
      </c>
      <c r="C19" s="882"/>
      <c r="D19" s="514">
        <f>'Sch-3'!P157</f>
        <v>0</v>
      </c>
    </row>
    <row r="20" spans="1:6" ht="30" customHeight="1">
      <c r="A20" s="515"/>
      <c r="B20" s="883" t="s">
        <v>152</v>
      </c>
      <c r="C20" s="884"/>
      <c r="D20" s="516"/>
    </row>
    <row r="21" spans="1:6" ht="21.9" customHeight="1">
      <c r="A21" s="513" t="s">
        <v>138</v>
      </c>
      <c r="B21" s="882" t="s">
        <v>153</v>
      </c>
      <c r="C21" s="882"/>
      <c r="D21" s="517" t="s">
        <v>335</v>
      </c>
    </row>
    <row r="22" spans="1:6" ht="30" customHeight="1">
      <c r="A22" s="515"/>
      <c r="B22" s="883" t="s">
        <v>154</v>
      </c>
      <c r="C22" s="884"/>
      <c r="D22" s="516"/>
    </row>
    <row r="23" spans="1:6" ht="30" customHeight="1">
      <c r="A23" s="513">
        <v>5</v>
      </c>
      <c r="B23" s="882" t="s">
        <v>155</v>
      </c>
      <c r="C23" s="882"/>
      <c r="D23" s="514">
        <f>'Sch-5'!D19:E19</f>
        <v>0</v>
      </c>
    </row>
    <row r="24" spans="1:6" ht="23.25" customHeight="1">
      <c r="A24" s="515"/>
      <c r="B24" s="883" t="s">
        <v>156</v>
      </c>
      <c r="C24" s="884"/>
      <c r="D24" s="518"/>
    </row>
    <row r="25" spans="1:6" ht="21.9" customHeight="1">
      <c r="A25" s="513" t="s">
        <v>140</v>
      </c>
      <c r="B25" s="882" t="s">
        <v>157</v>
      </c>
      <c r="C25" s="882"/>
      <c r="D25" s="517" t="s">
        <v>335</v>
      </c>
    </row>
    <row r="26" spans="1:6" ht="35.1" customHeight="1">
      <c r="A26" s="515"/>
      <c r="B26" s="883" t="s">
        <v>821</v>
      </c>
      <c r="C26" s="884"/>
      <c r="D26" s="516"/>
    </row>
    <row r="27" spans="1:6" ht="18.75" customHeight="1">
      <c r="A27" s="885"/>
      <c r="B27" s="887" t="s">
        <v>343</v>
      </c>
      <c r="C27" s="887"/>
      <c r="D27" s="519"/>
    </row>
    <row r="28" spans="1:6" ht="18.75" customHeight="1" thickBot="1">
      <c r="A28" s="886"/>
      <c r="B28" s="888"/>
      <c r="C28" s="888"/>
      <c r="D28" s="520">
        <f>D15+D17+D19+D23</f>
        <v>0</v>
      </c>
    </row>
    <row r="29" spans="1:6" ht="18.75" customHeight="1">
      <c r="A29" s="521"/>
      <c r="B29" s="522"/>
      <c r="C29" s="522"/>
      <c r="D29" s="523"/>
    </row>
    <row r="30" spans="1:6" ht="27.9" customHeight="1">
      <c r="A30" s="521"/>
      <c r="B30" s="524"/>
      <c r="C30" s="524"/>
      <c r="D30" s="523"/>
    </row>
    <row r="31" spans="1:6" ht="27.9" customHeight="1">
      <c r="A31" s="525" t="s">
        <v>160</v>
      </c>
      <c r="B31" s="487" t="str">
        <f>'Sch-5 after discount'!B21</f>
        <v xml:space="preserve">  </v>
      </c>
      <c r="C31" s="524" t="s">
        <v>142</v>
      </c>
      <c r="D31" s="499" t="str">
        <f>'Sch-5 after discount'!D21</f>
        <v/>
      </c>
      <c r="F31" s="526"/>
    </row>
    <row r="32" spans="1:6" ht="27.9" customHeight="1">
      <c r="A32" s="525" t="s">
        <v>161</v>
      </c>
      <c r="B32" s="500" t="str">
        <f>'Sch-5 after discount'!B22</f>
        <v/>
      </c>
      <c r="C32" s="524" t="s">
        <v>144</v>
      </c>
      <c r="D32" s="499" t="str">
        <f>'Sch-5 after discount'!D22</f>
        <v/>
      </c>
      <c r="F32" s="505"/>
    </row>
    <row r="33" spans="1:6" ht="27.9" customHeight="1">
      <c r="A33" s="527"/>
      <c r="B33" s="506"/>
      <c r="C33" s="524"/>
      <c r="F33" s="505"/>
    </row>
    <row r="34" spans="1:6" ht="30" customHeight="1">
      <c r="A34" s="527"/>
      <c r="B34" s="506"/>
      <c r="C34" s="524"/>
      <c r="D34" s="527"/>
      <c r="F34" s="526"/>
    </row>
    <row r="35" spans="1:6" ht="30" customHeight="1">
      <c r="A35" s="528"/>
      <c r="B35" s="528"/>
      <c r="C35" s="470"/>
      <c r="E35" s="529"/>
    </row>
  </sheetData>
  <sheetProtection algorithmName="SHA-512" hashValue="rVYuKdmk5zvOlgcyPhQokMtB43WdP3P3Ty9AB9bTQW/qLRkMxDKvfZQQ+LY6XdNr8mx1O98c0niIcpKvFFZpfw==" saltValue="Db/4VK8ZMX6CoxRwlNqsdw==" spinCount="100000" sheet="1" formatColumns="0" formatRows="0" selectLockedCells="1"/>
  <customSheetViews>
    <customSheetView guid="{B85D7887-A299-45C0-BD97-6C28577A6A5C}" showPageBreaks="1" printArea="1" view="pageBreakPreview" topLeftCell="A13">
      <selection activeCell="D25" sqref="D2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view="pageBreakPreview" topLeftCell="A13">
      <selection activeCell="D25" sqref="D25"/>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view="pageBreakPreview" topLeftCell="A3">
      <selection activeCell="D19" sqref="D19"/>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10">
      <selection activeCell="D19" sqref="D1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view="pageBreakPreview" topLeftCell="A13">
      <selection activeCell="D25" sqref="D25"/>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view="pageBreakPreview" topLeftCell="A13">
      <selection activeCell="D25" sqref="D25"/>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9" customWidth="1"/>
    <col min="2" max="2" width="31.44140625" style="9" customWidth="1"/>
    <col min="3" max="3" width="24" style="9" customWidth="1"/>
    <col min="4" max="4" width="39.33203125" style="9" customWidth="1"/>
    <col min="5" max="16384" width="11.44140625" style="40"/>
  </cols>
  <sheetData>
    <row r="1" spans="1:6" ht="18" customHeight="1">
      <c r="A1" s="41" t="str">
        <f>Cover!B3</f>
        <v>Spec. No.:CC/NT/W-GIS/DOM/A04/24/01196</v>
      </c>
      <c r="B1" s="42"/>
      <c r="C1" s="43"/>
      <c r="D1" s="44" t="s">
        <v>162</v>
      </c>
    </row>
    <row r="2" spans="1:6" ht="18" customHeight="1">
      <c r="A2" s="45"/>
      <c r="B2" s="46"/>
      <c r="C2" s="47"/>
      <c r="D2" s="47"/>
    </row>
    <row r="3" spans="1:6" ht="73.5" customHeight="1">
      <c r="A3" s="897"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97"/>
      <c r="C3" s="897"/>
      <c r="D3" s="897"/>
      <c r="E3" s="48"/>
      <c r="F3" s="48"/>
    </row>
    <row r="4" spans="1:6" ht="21.9" customHeight="1">
      <c r="A4" s="898" t="s">
        <v>146</v>
      </c>
      <c r="B4" s="898"/>
      <c r="C4" s="898"/>
      <c r="D4" s="898"/>
    </row>
    <row r="5" spans="1:6" ht="18" customHeight="1">
      <c r="A5" s="49"/>
    </row>
    <row r="6" spans="1:6" ht="18" customHeight="1">
      <c r="A6" s="7" t="e">
        <f>'Sch-1'!#REF!</f>
        <v>#REF!</v>
      </c>
      <c r="D6" s="36" t="s">
        <v>1</v>
      </c>
    </row>
    <row r="7" spans="1:6" ht="36" customHeight="1">
      <c r="A7" s="899" t="str">
        <f>'Sch-1'!A8</f>
        <v>Bidder’s Name and Address  (Sole Bidder) :</v>
      </c>
      <c r="B7" s="899"/>
      <c r="C7" s="899"/>
      <c r="D7" s="37" t="str">
        <f>'Sch-1'!K8</f>
        <v>Contract Services</v>
      </c>
    </row>
    <row r="8" spans="1:6" ht="18" customHeight="1">
      <c r="A8" s="10" t="s">
        <v>29</v>
      </c>
      <c r="B8" s="896" t="str">
        <f>IF('Sch-1'!C9=0, "", 'Sch-1'!C9)</f>
        <v/>
      </c>
      <c r="C8" s="896"/>
      <c r="D8" s="37" t="str">
        <f>'Sch-1'!K9</f>
        <v>Power Grid Corporation of India Ltd.,</v>
      </c>
    </row>
    <row r="9" spans="1:6" ht="18" customHeight="1">
      <c r="A9" s="10" t="s">
        <v>30</v>
      </c>
      <c r="B9" s="896" t="str">
        <f>IF('Sch-1'!C10=0, "", 'Sch-1'!C10)</f>
        <v/>
      </c>
      <c r="C9" s="896"/>
      <c r="D9" s="37" t="str">
        <f>'Sch-1'!K10</f>
        <v>"Saudamini", Plot No.-2</v>
      </c>
    </row>
    <row r="10" spans="1:6" ht="18" customHeight="1">
      <c r="A10" s="11"/>
      <c r="B10" s="896" t="str">
        <f>IF('Sch-1'!C11=0, "", 'Sch-1'!C11)</f>
        <v/>
      </c>
      <c r="C10" s="896"/>
      <c r="D10" s="37" t="str">
        <f>'Sch-1'!K11</f>
        <v xml:space="preserve">Sector-29, </v>
      </c>
    </row>
    <row r="11" spans="1:6" ht="18" customHeight="1">
      <c r="A11" s="11"/>
      <c r="B11" s="896" t="str">
        <f>IF('Sch-1'!C12=0, "", 'Sch-1'!C12)</f>
        <v/>
      </c>
      <c r="C11" s="896"/>
      <c r="D11" s="37" t="str">
        <f>'Sch-1'!K12</f>
        <v>Gurgaon (Haryana) - 122001</v>
      </c>
    </row>
    <row r="12" spans="1:6" ht="18" customHeight="1">
      <c r="A12" s="50"/>
      <c r="B12" s="50"/>
      <c r="C12" s="50"/>
      <c r="D12" s="36"/>
    </row>
    <row r="13" spans="1:6" ht="21.9" customHeight="1">
      <c r="A13" s="51" t="s">
        <v>128</v>
      </c>
      <c r="B13" s="889" t="s">
        <v>14</v>
      </c>
      <c r="C13" s="890"/>
      <c r="D13" s="52" t="s">
        <v>130</v>
      </c>
    </row>
    <row r="14" spans="1:6" ht="21.9" customHeight="1">
      <c r="A14" s="38" t="s">
        <v>133</v>
      </c>
      <c r="B14" s="891" t="s">
        <v>147</v>
      </c>
      <c r="C14" s="891"/>
      <c r="D14" s="53"/>
    </row>
    <row r="15" spans="1:6" ht="35.1" customHeight="1">
      <c r="A15" s="54"/>
      <c r="B15" s="892" t="s">
        <v>148</v>
      </c>
      <c r="C15" s="893"/>
      <c r="D15" s="55"/>
    </row>
    <row r="16" spans="1:6" ht="21.9" customHeight="1">
      <c r="A16" s="38" t="s">
        <v>135</v>
      </c>
      <c r="B16" s="891" t="s">
        <v>149</v>
      </c>
      <c r="C16" s="891"/>
      <c r="D16" s="53"/>
    </row>
    <row r="17" spans="1:6" ht="35.1" customHeight="1">
      <c r="A17" s="54"/>
      <c r="B17" s="892" t="s">
        <v>150</v>
      </c>
      <c r="C17" s="893"/>
      <c r="D17" s="55"/>
    </row>
    <row r="18" spans="1:6" ht="21.9" customHeight="1">
      <c r="A18" s="38" t="s">
        <v>137</v>
      </c>
      <c r="B18" s="891" t="s">
        <v>151</v>
      </c>
      <c r="C18" s="891"/>
      <c r="D18" s="53"/>
    </row>
    <row r="19" spans="1:6" ht="30" customHeight="1">
      <c r="A19" s="54"/>
      <c r="B19" s="892" t="s">
        <v>152</v>
      </c>
      <c r="C19" s="893"/>
      <c r="D19" s="55"/>
    </row>
    <row r="20" spans="1:6" ht="21.9" customHeight="1">
      <c r="A20" s="38" t="s">
        <v>138</v>
      </c>
      <c r="B20" s="891" t="s">
        <v>153</v>
      </c>
      <c r="C20" s="891"/>
      <c r="D20" s="56"/>
    </row>
    <row r="21" spans="1:6" ht="30" customHeight="1">
      <c r="A21" s="54"/>
      <c r="B21" s="892" t="s">
        <v>154</v>
      </c>
      <c r="C21" s="893"/>
      <c r="D21" s="55"/>
    </row>
    <row r="22" spans="1:6" ht="30" customHeight="1">
      <c r="A22" s="38">
        <v>5</v>
      </c>
      <c r="B22" s="891" t="s">
        <v>155</v>
      </c>
      <c r="C22" s="891"/>
      <c r="D22" s="53"/>
    </row>
    <row r="23" spans="1:6" ht="33" customHeight="1">
      <c r="A23" s="54"/>
      <c r="B23" s="892" t="s">
        <v>156</v>
      </c>
      <c r="C23" s="893"/>
      <c r="D23" s="69"/>
    </row>
    <row r="24" spans="1:6" ht="21.9" customHeight="1">
      <c r="A24" s="38" t="s">
        <v>140</v>
      </c>
      <c r="B24" s="891" t="s">
        <v>157</v>
      </c>
      <c r="C24" s="891"/>
      <c r="D24" s="56"/>
    </row>
    <row r="25" spans="1:6" ht="35.1" customHeight="1">
      <c r="A25" s="54"/>
      <c r="B25" s="892" t="s">
        <v>158</v>
      </c>
      <c r="C25" s="893"/>
      <c r="D25" s="55"/>
    </row>
    <row r="26" spans="1:6" ht="24" customHeight="1">
      <c r="A26" s="894"/>
      <c r="B26" s="895" t="s">
        <v>159</v>
      </c>
      <c r="C26" s="895"/>
      <c r="D26" s="57"/>
    </row>
    <row r="27" spans="1:6" ht="25.5" customHeight="1">
      <c r="A27" s="894"/>
      <c r="B27" s="895"/>
      <c r="C27" s="895"/>
      <c r="D27" s="58"/>
    </row>
    <row r="28" spans="1:6" ht="18.75" customHeight="1">
      <c r="A28" s="59"/>
      <c r="B28" s="60"/>
      <c r="C28" s="60"/>
      <c r="D28" s="61"/>
    </row>
    <row r="29" spans="1:6" ht="27.9" customHeight="1">
      <c r="A29" s="59"/>
      <c r="B29" s="60"/>
      <c r="C29" s="62"/>
      <c r="D29" s="61"/>
    </row>
    <row r="30" spans="1:6" ht="27.9" customHeight="1">
      <c r="A30" s="63" t="s">
        <v>160</v>
      </c>
      <c r="B30" s="39"/>
      <c r="C30" s="62" t="s">
        <v>142</v>
      </c>
      <c r="D30" s="39"/>
      <c r="F30" s="64"/>
    </row>
    <row r="31" spans="1:6" ht="27.9" customHeight="1">
      <c r="A31" s="63" t="s">
        <v>161</v>
      </c>
      <c r="B31" s="39"/>
      <c r="C31" s="62" t="s">
        <v>144</v>
      </c>
      <c r="D31" s="39"/>
      <c r="F31" s="45"/>
    </row>
    <row r="32" spans="1:6" ht="27.9" customHeight="1">
      <c r="A32" s="65"/>
      <c r="B32" s="46"/>
      <c r="C32" s="62"/>
      <c r="F32" s="45"/>
    </row>
    <row r="33" spans="1:6" ht="30" customHeight="1">
      <c r="A33" s="65"/>
      <c r="B33" s="46"/>
      <c r="C33" s="62"/>
      <c r="D33" s="65"/>
      <c r="F33" s="64"/>
    </row>
    <row r="34" spans="1:6" ht="30" customHeight="1">
      <c r="A34" s="66"/>
      <c r="B34" s="66"/>
      <c r="C34" s="67"/>
      <c r="E34" s="68"/>
    </row>
  </sheetData>
  <sheetProtection selectLockedCells="1"/>
  <customSheetViews>
    <customSheetView guid="{B85D7887-A299-45C0-BD97-6C28577A6A5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A3" sqref="A3:D3"/>
    </sheetView>
  </sheetViews>
  <sheetFormatPr defaultColWidth="11.44140625" defaultRowHeight="15.6"/>
  <cols>
    <col min="1" max="1" width="12.109375" style="469" customWidth="1"/>
    <col min="2" max="2" width="31.44140625" style="469" customWidth="1"/>
    <col min="3" max="3" width="24" style="469" customWidth="1"/>
    <col min="4" max="4" width="39.33203125" style="469" customWidth="1"/>
    <col min="5" max="5" width="18.44140625" style="460" hidden="1" customWidth="1"/>
    <col min="6" max="6" width="18.6640625" style="460" hidden="1" customWidth="1"/>
    <col min="7" max="16384" width="11.44140625" style="460"/>
  </cols>
  <sheetData>
    <row r="1" spans="1:6" ht="18" customHeight="1">
      <c r="A1" s="501" t="str">
        <f>Cover!B3</f>
        <v>Spec. No.:CC/NT/W-GIS/DOM/A04/24/01196</v>
      </c>
      <c r="B1" s="502"/>
      <c r="C1" s="503"/>
      <c r="D1" s="504" t="s">
        <v>493</v>
      </c>
    </row>
    <row r="2" spans="1:6" ht="18" customHeight="1">
      <c r="A2" s="505"/>
      <c r="B2" s="506"/>
      <c r="C2" s="507"/>
      <c r="D2" s="507"/>
    </row>
    <row r="3" spans="1:6" ht="89.4" customHeight="1">
      <c r="A3" s="900"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900"/>
      <c r="C3" s="900"/>
      <c r="D3" s="900"/>
      <c r="E3" s="508"/>
      <c r="F3" s="508"/>
    </row>
    <row r="4" spans="1:6" ht="21.9" customHeight="1">
      <c r="A4" s="863" t="s">
        <v>146</v>
      </c>
      <c r="B4" s="863"/>
      <c r="C4" s="863"/>
      <c r="D4" s="863"/>
    </row>
    <row r="5" spans="1:6" ht="18" customHeight="1">
      <c r="A5" s="509"/>
    </row>
    <row r="6" spans="1:6" ht="18" customHeight="1">
      <c r="A6" s="816" t="s">
        <v>346</v>
      </c>
      <c r="B6" s="816"/>
      <c r="C6" s="242"/>
    </row>
    <row r="7" spans="1:6" ht="18" customHeight="1">
      <c r="A7" s="820">
        <f>'Sch-1'!A7</f>
        <v>0</v>
      </c>
      <c r="B7" s="820"/>
      <c r="C7" s="820"/>
      <c r="D7" s="497" t="s">
        <v>1</v>
      </c>
    </row>
    <row r="8" spans="1:6" ht="22.5" customHeight="1">
      <c r="A8" s="817" t="str">
        <f>"Bidder’s Name and Address  (" &amp; MID('Names of Bidder'!B9,9, 20) &amp; ") :"</f>
        <v>Bidder’s Name and Address  (Sole Bidder) :</v>
      </c>
      <c r="B8" s="817"/>
      <c r="C8" s="817"/>
      <c r="D8" s="498" t="str">
        <f>'Sch-1'!K8</f>
        <v>Contract Services</v>
      </c>
    </row>
    <row r="9" spans="1:6" ht="18" customHeight="1">
      <c r="A9" s="245" t="s">
        <v>12</v>
      </c>
      <c r="B9" s="245" t="str">
        <f>IF('Names of Bidder'!D9=0, "", 'Names of Bidder'!D9)</f>
        <v/>
      </c>
      <c r="C9" s="460"/>
      <c r="D9" s="498" t="str">
        <f>'Sch-1'!K9</f>
        <v>Power Grid Corporation of India Ltd.,</v>
      </c>
    </row>
    <row r="10" spans="1:6" ht="18" customHeight="1">
      <c r="A10" s="245" t="s">
        <v>11</v>
      </c>
      <c r="B10" s="251" t="str">
        <f>IF('Names of Bidder'!D10=0, "", 'Names of Bidder'!D10)</f>
        <v/>
      </c>
      <c r="C10" s="460"/>
      <c r="D10" s="498" t="str">
        <f>'Sch-1'!K10</f>
        <v>"Saudamini", Plot No.-2</v>
      </c>
    </row>
    <row r="11" spans="1:6" ht="18" customHeight="1">
      <c r="A11" s="254"/>
      <c r="B11" s="251" t="str">
        <f>IF('Names of Bidder'!D11=0, "", 'Names of Bidder'!D11)</f>
        <v/>
      </c>
      <c r="C11" s="460"/>
      <c r="D11" s="498" t="str">
        <f>'Sch-1'!K11</f>
        <v xml:space="preserve">Sector-29, </v>
      </c>
    </row>
    <row r="12" spans="1:6" ht="18" customHeight="1">
      <c r="A12" s="254"/>
      <c r="B12" s="251" t="str">
        <f>IF('Names of Bidder'!D12=0, "", 'Names of Bidder'!D12)</f>
        <v/>
      </c>
      <c r="C12" s="460"/>
      <c r="D12" s="498" t="str">
        <f>'Sch-1'!K12</f>
        <v>Gurgaon (Haryana) - 122001</v>
      </c>
    </row>
    <row r="13" spans="1:6" ht="18" customHeight="1" thickBot="1">
      <c r="A13" s="510"/>
      <c r="B13" s="510"/>
      <c r="C13" s="510"/>
      <c r="D13" s="497"/>
    </row>
    <row r="14" spans="1:6" ht="21.9" customHeight="1">
      <c r="A14" s="511" t="s">
        <v>128</v>
      </c>
      <c r="B14" s="880" t="s">
        <v>14</v>
      </c>
      <c r="C14" s="881"/>
      <c r="D14" s="512" t="s">
        <v>130</v>
      </c>
      <c r="E14" s="530" t="s">
        <v>356</v>
      </c>
      <c r="F14" s="531" t="s">
        <v>355</v>
      </c>
    </row>
    <row r="15" spans="1:6" ht="21.9" customHeight="1">
      <c r="A15" s="513" t="s">
        <v>133</v>
      </c>
      <c r="B15" s="882" t="s">
        <v>147</v>
      </c>
      <c r="C15" s="882"/>
      <c r="D15" s="514">
        <f>E15*F15</f>
        <v>0</v>
      </c>
      <c r="E15" s="532">
        <f>'Sch-6'!D15</f>
        <v>0</v>
      </c>
      <c r="F15" s="533">
        <f>IF(Discount!H36&lt;0,0,Discount!H36)</f>
        <v>0</v>
      </c>
    </row>
    <row r="16" spans="1:6" ht="35.1" customHeight="1">
      <c r="A16" s="515"/>
      <c r="B16" s="883" t="s">
        <v>148</v>
      </c>
      <c r="C16" s="884"/>
      <c r="D16" s="516"/>
      <c r="E16" s="534"/>
      <c r="F16" s="533"/>
    </row>
    <row r="17" spans="1:6" ht="21.9" customHeight="1">
      <c r="A17" s="513" t="s">
        <v>135</v>
      </c>
      <c r="B17" s="882" t="s">
        <v>149</v>
      </c>
      <c r="C17" s="882"/>
      <c r="D17" s="514">
        <f>E17*F17</f>
        <v>0</v>
      </c>
      <c r="E17" s="532">
        <f>'Sch-6'!D17</f>
        <v>0</v>
      </c>
      <c r="F17" s="533">
        <f>IF(Discount!I36&lt;0,0,Discount!I36)</f>
        <v>0</v>
      </c>
    </row>
    <row r="18" spans="1:6" ht="35.1" customHeight="1">
      <c r="A18" s="515"/>
      <c r="B18" s="883" t="s">
        <v>310</v>
      </c>
      <c r="C18" s="884"/>
      <c r="D18" s="516"/>
      <c r="E18" s="534"/>
      <c r="F18" s="533"/>
    </row>
    <row r="19" spans="1:6" ht="21.9" customHeight="1">
      <c r="A19" s="513" t="s">
        <v>137</v>
      </c>
      <c r="B19" s="882" t="s">
        <v>151</v>
      </c>
      <c r="C19" s="882"/>
      <c r="D19" s="514">
        <f>E19*F19</f>
        <v>0</v>
      </c>
      <c r="E19" s="532">
        <f>'Sch-6'!D19</f>
        <v>0</v>
      </c>
      <c r="F19" s="533">
        <f>IF(Discount!J36&lt;0,0,Discount!J36)</f>
        <v>0</v>
      </c>
    </row>
    <row r="20" spans="1:6" ht="30" customHeight="1">
      <c r="A20" s="515"/>
      <c r="B20" s="883" t="s">
        <v>152</v>
      </c>
      <c r="C20" s="884"/>
      <c r="D20" s="516"/>
      <c r="E20" s="534"/>
      <c r="F20" s="535"/>
    </row>
    <row r="21" spans="1:6" ht="21.9" customHeight="1">
      <c r="A21" s="513" t="s">
        <v>138</v>
      </c>
      <c r="B21" s="882" t="s">
        <v>153</v>
      </c>
      <c r="C21" s="882"/>
      <c r="D21" s="517" t="s">
        <v>335</v>
      </c>
      <c r="E21" s="534"/>
      <c r="F21" s="535"/>
    </row>
    <row r="22" spans="1:6" ht="30" customHeight="1">
      <c r="A22" s="515"/>
      <c r="B22" s="883" t="s">
        <v>154</v>
      </c>
      <c r="C22" s="884"/>
      <c r="D22" s="516"/>
      <c r="E22" s="534"/>
      <c r="F22" s="535"/>
    </row>
    <row r="23" spans="1:6" ht="30" customHeight="1">
      <c r="A23" s="513">
        <v>5</v>
      </c>
      <c r="B23" s="882" t="s">
        <v>155</v>
      </c>
      <c r="C23" s="882"/>
      <c r="D23" s="514">
        <f>IF('Sch-5 after discount'!D19&lt;0,0,'Sch-5 after discount'!D19)</f>
        <v>0</v>
      </c>
      <c r="E23" s="534"/>
      <c r="F23" s="535"/>
    </row>
    <row r="24" spans="1:6" ht="25.5" customHeight="1">
      <c r="A24" s="515"/>
      <c r="B24" s="883" t="s">
        <v>156</v>
      </c>
      <c r="C24" s="884"/>
      <c r="D24" s="518"/>
      <c r="E24" s="534"/>
      <c r="F24" s="535"/>
    </row>
    <row r="25" spans="1:6" ht="21.9" customHeight="1">
      <c r="A25" s="513" t="s">
        <v>140</v>
      </c>
      <c r="B25" s="882" t="s">
        <v>157</v>
      </c>
      <c r="C25" s="882"/>
      <c r="D25" s="517" t="s">
        <v>335</v>
      </c>
      <c r="E25" s="534"/>
      <c r="F25" s="535"/>
    </row>
    <row r="26" spans="1:6" ht="35.1" customHeight="1">
      <c r="A26" s="515"/>
      <c r="B26" s="883" t="s">
        <v>821</v>
      </c>
      <c r="C26" s="884"/>
      <c r="D26" s="516"/>
      <c r="E26" s="534"/>
      <c r="F26" s="535"/>
    </row>
    <row r="27" spans="1:6" ht="18.75" customHeight="1">
      <c r="A27" s="885"/>
      <c r="B27" s="887" t="s">
        <v>343</v>
      </c>
      <c r="C27" s="887"/>
      <c r="D27" s="536"/>
      <c r="E27" s="534"/>
      <c r="F27" s="535"/>
    </row>
    <row r="28" spans="1:6" ht="18.75" customHeight="1" thickBot="1">
      <c r="A28" s="886"/>
      <c r="B28" s="888"/>
      <c r="C28" s="888"/>
      <c r="D28" s="520">
        <f>SUM(D15:D26)</f>
        <v>0</v>
      </c>
      <c r="E28" s="537"/>
      <c r="F28" s="538"/>
    </row>
    <row r="29" spans="1:6" ht="18.75" customHeight="1">
      <c r="A29" s="521"/>
      <c r="B29" s="522"/>
      <c r="C29" s="522"/>
      <c r="D29" s="523"/>
    </row>
    <row r="30" spans="1:6" ht="27.9" customHeight="1">
      <c r="A30" s="521"/>
      <c r="B30" s="524"/>
      <c r="C30" s="524"/>
      <c r="D30" s="523"/>
    </row>
    <row r="31" spans="1:6" ht="27.9" customHeight="1">
      <c r="A31" s="525" t="s">
        <v>160</v>
      </c>
      <c r="B31" s="487" t="str">
        <f>'Sch-6'!B31</f>
        <v xml:space="preserve">  </v>
      </c>
      <c r="C31" s="524" t="s">
        <v>142</v>
      </c>
      <c r="D31" s="539" t="str">
        <f>'Sch-6'!D31</f>
        <v/>
      </c>
      <c r="F31" s="526"/>
    </row>
    <row r="32" spans="1:6" ht="27.9" customHeight="1">
      <c r="A32" s="525" t="s">
        <v>161</v>
      </c>
      <c r="B32" s="500" t="str">
        <f>'Sch-6'!B32</f>
        <v/>
      </c>
      <c r="C32" s="524" t="s">
        <v>144</v>
      </c>
      <c r="D32" s="539" t="str">
        <f>'Sch-6'!D32</f>
        <v/>
      </c>
      <c r="F32" s="505"/>
    </row>
    <row r="33" spans="1:6" ht="27.9" customHeight="1">
      <c r="A33" s="527"/>
      <c r="B33" s="506"/>
      <c r="C33" s="524"/>
      <c r="F33" s="505"/>
    </row>
    <row r="34" spans="1:6" ht="30" customHeight="1">
      <c r="A34" s="527"/>
      <c r="B34" s="506"/>
      <c r="C34" s="524"/>
      <c r="D34" s="527"/>
      <c r="F34" s="526"/>
    </row>
    <row r="35" spans="1:6" ht="30" customHeight="1">
      <c r="A35" s="528"/>
      <c r="B35" s="528"/>
      <c r="C35" s="470"/>
      <c r="E35" s="529"/>
    </row>
  </sheetData>
  <sheetProtection algorithmName="SHA-512" hashValue="MKJv9qms4PdFPjuKUK8lcs5+QCm8o/eykdXuRW0wOEAQ+F/ch+WFBFM2hWGPoJH9Obxjjh221Sce9eVfPqj8pQ==" saltValue="0pBXbWhxXaewnVoGIKnVHQ==" spinCount="100000" sheet="1" formatColumns="0" formatRows="0" selectLockedCells="1"/>
  <customSheetViews>
    <customSheetView guid="{B85D7887-A299-45C0-BD97-6C28577A6A5C}" showPageBreaks="1" printArea="1" hiddenColumns="1" view="pageBreakPreview" topLeftCell="A7">
      <selection activeCell="M27" sqref="M27"/>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497EA202-A8B8-45C5-9E6C-C3CD104F3979}"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5521983-A70D-48A3-9506-C0263CBBC57D}"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2A89170-4F84-482D-A3C5-7890082E7B73}" showPageBreaks="1" printArea="1" hiddenColumns="1" view="pageBreakPreview" topLeftCell="A16">
      <selection activeCell="I29" sqref="I2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CCA37BAE-906F-43D5-9FD9-B13563E4B9D7}" showPageBreaks="1" printArea="1" hiddenColumns="1" view="pageBreakPreview" topLeftCell="A7">
      <selection activeCell="M27" sqref="M27"/>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6640625" defaultRowHeight="14.4"/>
  <cols>
    <col min="1" max="1" width="6.5546875" style="570" customWidth="1"/>
    <col min="2" max="2" width="11.44140625" style="570" customWidth="1"/>
    <col min="3" max="3" width="15" style="570" customWidth="1"/>
    <col min="4" max="4" width="10.33203125" style="570" customWidth="1"/>
    <col min="5" max="8" width="15.109375" style="570" customWidth="1"/>
    <col min="9" max="9" width="22.88671875" style="604" customWidth="1"/>
    <col min="10" max="10" width="8.6640625" style="605" customWidth="1"/>
    <col min="11" max="11" width="10.33203125" style="605" customWidth="1"/>
    <col min="12" max="12" width="13.5546875" style="605" customWidth="1"/>
    <col min="13" max="13" width="14.33203125" style="605" customWidth="1"/>
    <col min="14" max="26" width="9.109375" style="544" customWidth="1"/>
    <col min="27" max="27" width="0" style="544" hidden="1" customWidth="1"/>
    <col min="28" max="28" width="15.88671875" style="544" hidden="1" customWidth="1"/>
    <col min="29" max="29" width="15.5546875" style="544" hidden="1" customWidth="1"/>
    <col min="30" max="30" width="24.44140625" style="544" hidden="1" customWidth="1"/>
    <col min="31" max="31" width="13.6640625" style="544" hidden="1" customWidth="1"/>
    <col min="32" max="33" width="0" style="544" hidden="1" customWidth="1"/>
    <col min="34" max="100" width="9.109375" style="544" customWidth="1"/>
    <col min="101" max="253" width="9.109375" style="565" customWidth="1"/>
    <col min="254" max="254" width="13" style="565" customWidth="1"/>
    <col min="255" max="255" width="35.88671875" style="565" customWidth="1"/>
    <col min="256" max="16384" width="8.6640625" style="565"/>
  </cols>
  <sheetData>
    <row r="1" spans="1:100" s="544" customFormat="1" ht="18" customHeight="1">
      <c r="A1" s="540" t="str">
        <f>Cover!B3</f>
        <v>Spec. No.:CC/NT/W-GIS/DOM/A04/24/01196</v>
      </c>
      <c r="B1" s="540"/>
      <c r="C1" s="540"/>
      <c r="D1" s="540"/>
      <c r="E1" s="540"/>
      <c r="F1" s="540"/>
      <c r="G1" s="540"/>
      <c r="H1" s="540"/>
      <c r="I1" s="541"/>
      <c r="J1" s="542"/>
      <c r="K1" s="542"/>
      <c r="L1" s="542"/>
      <c r="M1" s="543" t="s">
        <v>28</v>
      </c>
    </row>
    <row r="2" spans="1:100" s="544" customFormat="1" ht="12.75" customHeight="1">
      <c r="A2" s="545"/>
      <c r="B2" s="545"/>
      <c r="C2" s="545"/>
      <c r="D2" s="545"/>
      <c r="E2" s="545"/>
      <c r="F2" s="545"/>
      <c r="G2" s="545"/>
      <c r="H2" s="545"/>
      <c r="I2" s="546"/>
      <c r="J2" s="410"/>
      <c r="K2" s="410"/>
      <c r="L2" s="410"/>
      <c r="M2" s="410"/>
    </row>
    <row r="3" spans="1:100" s="544" customFormat="1" ht="101.25" customHeight="1">
      <c r="A3" s="917"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917"/>
      <c r="C3" s="917"/>
      <c r="D3" s="917"/>
      <c r="E3" s="917"/>
      <c r="F3" s="917"/>
      <c r="G3" s="917"/>
      <c r="H3" s="917"/>
      <c r="I3" s="917"/>
      <c r="J3" s="917"/>
      <c r="K3" s="917"/>
      <c r="L3" s="917"/>
      <c r="M3" s="917"/>
      <c r="AA3" s="544" t="s">
        <v>16</v>
      </c>
      <c r="AC3" s="544">
        <f>IF(ISERROR(#REF!/('[6]Sch-6'!D14+'[6]Sch-6'!D16+'[6]Sch-6'!D18)),0,#REF!/( '[6]Sch-6'!D14+'[6]Sch-6'!D16+'[6]Sch-6'!D18))</f>
        <v>0</v>
      </c>
    </row>
    <row r="4" spans="1:100" s="544" customFormat="1" ht="21.9" customHeight="1">
      <c r="A4" s="918" t="s">
        <v>17</v>
      </c>
      <c r="B4" s="918"/>
      <c r="C4" s="918"/>
      <c r="D4" s="918"/>
      <c r="E4" s="918"/>
      <c r="F4" s="918"/>
      <c r="G4" s="918"/>
      <c r="H4" s="918"/>
      <c r="I4" s="918"/>
      <c r="J4" s="918"/>
      <c r="K4" s="918"/>
      <c r="L4" s="918"/>
      <c r="M4" s="918"/>
      <c r="AA4" s="544" t="s">
        <v>18</v>
      </c>
      <c r="AC4" s="544" t="e">
        <f>#REF!</f>
        <v>#REF!</v>
      </c>
    </row>
    <row r="5" spans="1:100" s="544" customFormat="1" ht="27.9" customHeight="1">
      <c r="A5" s="547"/>
      <c r="B5" s="547"/>
      <c r="C5" s="547"/>
      <c r="D5" s="547"/>
      <c r="E5" s="548"/>
      <c r="F5" s="548"/>
      <c r="G5" s="548"/>
      <c r="H5" s="548"/>
      <c r="I5" s="549"/>
      <c r="K5" s="550"/>
      <c r="L5" s="551"/>
      <c r="M5" s="548"/>
    </row>
    <row r="6" spans="1:100" s="544" customFormat="1" ht="27.9" customHeight="1">
      <c r="A6" s="552"/>
      <c r="B6" s="816" t="s">
        <v>346</v>
      </c>
      <c r="C6" s="816"/>
      <c r="D6" s="242"/>
      <c r="E6" s="548"/>
      <c r="F6" s="548"/>
      <c r="G6" s="548"/>
      <c r="H6" s="548"/>
      <c r="I6" s="549"/>
      <c r="K6" s="550"/>
      <c r="L6" s="551"/>
      <c r="M6" s="548"/>
    </row>
    <row r="7" spans="1:100" s="544" customFormat="1" ht="27.9" customHeight="1">
      <c r="A7" s="315"/>
      <c r="B7" s="820">
        <f>'Sch-1'!A7</f>
        <v>0</v>
      </c>
      <c r="C7" s="820"/>
      <c r="D7" s="820"/>
      <c r="E7" s="820"/>
      <c r="F7" s="820"/>
      <c r="G7" s="820"/>
      <c r="H7" s="820"/>
      <c r="I7" s="549"/>
      <c r="K7" s="550"/>
      <c r="L7" s="551"/>
      <c r="M7" s="548"/>
    </row>
    <row r="8" spans="1:100" s="555" customFormat="1" ht="16.5" customHeight="1">
      <c r="A8" s="468"/>
      <c r="B8" s="817" t="str">
        <f>'Sch-1'!A8</f>
        <v>Bidder’s Name and Address  (Sole Bidder) :</v>
      </c>
      <c r="C8" s="817"/>
      <c r="D8" s="817"/>
      <c r="E8" s="817"/>
      <c r="F8" s="817"/>
      <c r="G8" s="817"/>
      <c r="H8" s="817"/>
      <c r="I8" s="553"/>
      <c r="J8" s="553"/>
      <c r="K8" s="497" t="s">
        <v>1</v>
      </c>
      <c r="L8" s="554"/>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4"/>
      <c r="AO8" s="544"/>
      <c r="AP8" s="544"/>
      <c r="AQ8" s="544"/>
      <c r="AR8" s="544"/>
      <c r="AS8" s="544"/>
      <c r="AT8" s="544"/>
      <c r="AU8" s="544"/>
      <c r="AV8" s="544"/>
      <c r="AW8" s="544"/>
      <c r="AX8" s="544"/>
      <c r="AY8" s="544"/>
      <c r="AZ8" s="544"/>
      <c r="BA8" s="544"/>
      <c r="BB8" s="544"/>
      <c r="BC8" s="544"/>
      <c r="BD8" s="544"/>
      <c r="BE8" s="544"/>
      <c r="BF8" s="544"/>
      <c r="BG8" s="544"/>
      <c r="BH8" s="544"/>
      <c r="BI8" s="544"/>
      <c r="BJ8" s="544"/>
      <c r="BK8" s="544"/>
      <c r="BL8" s="544"/>
      <c r="BM8" s="544"/>
      <c r="BN8" s="544"/>
      <c r="BO8" s="544"/>
      <c r="BP8" s="544"/>
      <c r="BQ8" s="544"/>
      <c r="BR8" s="544"/>
      <c r="BS8" s="544"/>
      <c r="BT8" s="544"/>
      <c r="BU8" s="544"/>
      <c r="BV8" s="544"/>
      <c r="BW8" s="544"/>
      <c r="BX8" s="544"/>
      <c r="BY8" s="544"/>
      <c r="BZ8" s="544"/>
      <c r="CA8" s="544"/>
      <c r="CB8" s="544"/>
      <c r="CC8" s="544"/>
      <c r="CD8" s="544"/>
      <c r="CE8" s="544"/>
      <c r="CF8" s="544"/>
      <c r="CG8" s="544"/>
      <c r="CH8" s="544"/>
      <c r="CI8" s="544"/>
      <c r="CJ8" s="544"/>
      <c r="CK8" s="544"/>
      <c r="CL8" s="544"/>
      <c r="CM8" s="544"/>
      <c r="CN8" s="544"/>
      <c r="CO8" s="544"/>
      <c r="CP8" s="544"/>
      <c r="CQ8" s="544"/>
      <c r="CR8" s="544"/>
      <c r="CS8" s="544"/>
      <c r="CT8" s="544"/>
      <c r="CU8" s="544"/>
      <c r="CV8" s="544"/>
    </row>
    <row r="9" spans="1:100" s="555" customFormat="1" ht="15.6">
      <c r="A9" s="245"/>
      <c r="B9" s="245" t="s">
        <v>12</v>
      </c>
      <c r="C9" s="820" t="str">
        <f>'Sch-1'!C9</f>
        <v/>
      </c>
      <c r="D9" s="820"/>
      <c r="E9" s="820"/>
      <c r="F9" s="820"/>
      <c r="G9" s="251"/>
      <c r="H9" s="251"/>
      <c r="I9" s="251"/>
      <c r="J9" s="251"/>
      <c r="K9" s="498" t="s">
        <v>2</v>
      </c>
      <c r="L9" s="554"/>
      <c r="N9" s="544"/>
      <c r="O9" s="544"/>
      <c r="P9" s="544"/>
      <c r="Q9" s="544"/>
      <c r="R9" s="544"/>
      <c r="S9" s="544"/>
      <c r="T9" s="544"/>
      <c r="U9" s="544"/>
      <c r="V9" s="544"/>
      <c r="W9" s="544"/>
      <c r="X9" s="544"/>
      <c r="Y9" s="544"/>
      <c r="Z9" s="544"/>
      <c r="AA9" s="544"/>
      <c r="AB9" s="544"/>
      <c r="AC9" s="544"/>
      <c r="AD9" s="544"/>
      <c r="AE9" s="544"/>
      <c r="AF9" s="544"/>
      <c r="AG9" s="544"/>
      <c r="AH9" s="544"/>
      <c r="AI9" s="544"/>
      <c r="AJ9" s="544"/>
      <c r="AK9" s="544"/>
      <c r="AL9" s="544"/>
      <c r="AM9" s="544"/>
      <c r="AN9" s="544"/>
      <c r="AO9" s="544"/>
      <c r="AP9" s="544"/>
      <c r="AQ9" s="544"/>
      <c r="AR9" s="544"/>
      <c r="AS9" s="544"/>
      <c r="AT9" s="544"/>
      <c r="AU9" s="544"/>
      <c r="AV9" s="544"/>
      <c r="AW9" s="544"/>
      <c r="AX9" s="544"/>
      <c r="AY9" s="544"/>
      <c r="AZ9" s="544"/>
      <c r="BA9" s="544"/>
      <c r="BB9" s="544"/>
      <c r="BC9" s="544"/>
      <c r="BD9" s="544"/>
      <c r="BE9" s="544"/>
      <c r="BF9" s="544"/>
      <c r="BG9" s="544"/>
      <c r="BH9" s="544"/>
      <c r="BI9" s="544"/>
      <c r="BJ9" s="544"/>
      <c r="BK9" s="544"/>
      <c r="BL9" s="544"/>
      <c r="BM9" s="544"/>
      <c r="BN9" s="544"/>
      <c r="BO9" s="544"/>
      <c r="BP9" s="544"/>
      <c r="BQ9" s="544"/>
      <c r="BR9" s="544"/>
      <c r="BS9" s="544"/>
      <c r="BT9" s="544"/>
      <c r="BU9" s="544"/>
      <c r="BV9" s="544"/>
      <c r="BW9" s="544"/>
      <c r="BX9" s="544"/>
      <c r="BY9" s="544"/>
      <c r="BZ9" s="544"/>
      <c r="CA9" s="544"/>
      <c r="CB9" s="544"/>
      <c r="CC9" s="544"/>
      <c r="CD9" s="544"/>
      <c r="CE9" s="544"/>
      <c r="CF9" s="544"/>
      <c r="CG9" s="544"/>
      <c r="CH9" s="544"/>
      <c r="CI9" s="544"/>
      <c r="CJ9" s="544"/>
      <c r="CK9" s="544"/>
      <c r="CL9" s="544"/>
      <c r="CM9" s="544"/>
      <c r="CN9" s="544"/>
      <c r="CO9" s="544"/>
      <c r="CP9" s="544"/>
      <c r="CQ9" s="544"/>
      <c r="CR9" s="544"/>
      <c r="CS9" s="544"/>
      <c r="CT9" s="544"/>
      <c r="CU9" s="544"/>
      <c r="CV9" s="544"/>
    </row>
    <row r="10" spans="1:100" s="555" customFormat="1" ht="15.6">
      <c r="A10" s="245"/>
      <c r="B10" s="245" t="s">
        <v>11</v>
      </c>
      <c r="C10" s="819" t="str">
        <f>'Sch-1'!C10</f>
        <v/>
      </c>
      <c r="D10" s="819"/>
      <c r="E10" s="819"/>
      <c r="F10" s="819"/>
      <c r="G10" s="251"/>
      <c r="H10" s="251"/>
      <c r="I10" s="251"/>
      <c r="J10" s="251"/>
      <c r="K10" s="498" t="s">
        <v>3</v>
      </c>
      <c r="L10" s="55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4"/>
      <c r="AY10" s="544"/>
      <c r="AZ10" s="544"/>
      <c r="BA10" s="544"/>
      <c r="BB10" s="544"/>
      <c r="BC10" s="544"/>
      <c r="BD10" s="544"/>
      <c r="BE10" s="544"/>
      <c r="BF10" s="544"/>
      <c r="BG10" s="544"/>
      <c r="BH10" s="544"/>
      <c r="BI10" s="544"/>
      <c r="BJ10" s="544"/>
      <c r="BK10" s="544"/>
      <c r="BL10" s="544"/>
      <c r="BM10" s="544"/>
      <c r="BN10" s="544"/>
      <c r="BO10" s="544"/>
      <c r="BP10" s="544"/>
      <c r="BQ10" s="544"/>
      <c r="BR10" s="544"/>
      <c r="BS10" s="544"/>
      <c r="BT10" s="544"/>
      <c r="BU10" s="544"/>
      <c r="BV10" s="544"/>
      <c r="BW10" s="544"/>
      <c r="BX10" s="544"/>
      <c r="BY10" s="544"/>
      <c r="BZ10" s="544"/>
      <c r="CA10" s="544"/>
      <c r="CB10" s="544"/>
      <c r="CC10" s="544"/>
      <c r="CD10" s="544"/>
      <c r="CE10" s="544"/>
      <c r="CF10" s="544"/>
      <c r="CG10" s="544"/>
      <c r="CH10" s="544"/>
      <c r="CI10" s="544"/>
      <c r="CJ10" s="544"/>
      <c r="CK10" s="544"/>
      <c r="CL10" s="544"/>
      <c r="CM10" s="544"/>
      <c r="CN10" s="544"/>
      <c r="CO10" s="544"/>
      <c r="CP10" s="544"/>
      <c r="CQ10" s="544"/>
      <c r="CR10" s="544"/>
      <c r="CS10" s="544"/>
      <c r="CT10" s="544"/>
      <c r="CU10" s="544"/>
      <c r="CV10" s="544"/>
    </row>
    <row r="11" spans="1:100" s="555" customFormat="1" ht="15.6">
      <c r="A11" s="254"/>
      <c r="B11" s="254"/>
      <c r="C11" s="819" t="str">
        <f>'Sch-1'!C11</f>
        <v/>
      </c>
      <c r="D11" s="819"/>
      <c r="E11" s="819"/>
      <c r="F11" s="819"/>
      <c r="G11" s="251"/>
      <c r="H11" s="251"/>
      <c r="I11" s="251"/>
      <c r="J11" s="251"/>
      <c r="K11" s="498" t="s">
        <v>4</v>
      </c>
      <c r="L11" s="55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4"/>
      <c r="AY11" s="544"/>
      <c r="AZ11" s="544"/>
      <c r="BA11" s="544"/>
      <c r="BB11" s="544"/>
      <c r="BC11" s="544"/>
      <c r="BD11" s="544"/>
      <c r="BE11" s="544"/>
      <c r="BF11" s="544"/>
      <c r="BG11" s="544"/>
      <c r="BH11" s="544"/>
      <c r="BI11" s="544"/>
      <c r="BJ11" s="544"/>
      <c r="BK11" s="544"/>
      <c r="BL11" s="544"/>
      <c r="BM11" s="544"/>
      <c r="BN11" s="544"/>
      <c r="BO11" s="544"/>
      <c r="BP11" s="544"/>
      <c r="BQ11" s="544"/>
      <c r="BR11" s="544"/>
      <c r="BS11" s="544"/>
      <c r="BT11" s="544"/>
      <c r="BU11" s="544"/>
      <c r="BV11" s="544"/>
      <c r="BW11" s="544"/>
      <c r="BX11" s="544"/>
      <c r="BY11" s="544"/>
      <c r="BZ11" s="544"/>
      <c r="CA11" s="544"/>
      <c r="CB11" s="544"/>
      <c r="CC11" s="544"/>
      <c r="CD11" s="544"/>
      <c r="CE11" s="544"/>
      <c r="CF11" s="544"/>
      <c r="CG11" s="544"/>
      <c r="CH11" s="544"/>
      <c r="CI11" s="544"/>
      <c r="CJ11" s="544"/>
      <c r="CK11" s="544"/>
      <c r="CL11" s="544"/>
      <c r="CM11" s="544"/>
      <c r="CN11" s="544"/>
      <c r="CO11" s="544"/>
      <c r="CP11" s="544"/>
      <c r="CQ11" s="544"/>
      <c r="CR11" s="544"/>
      <c r="CS11" s="544"/>
      <c r="CT11" s="544"/>
      <c r="CU11" s="544"/>
      <c r="CV11" s="544"/>
    </row>
    <row r="12" spans="1:100" s="555" customFormat="1" ht="15.6">
      <c r="A12" s="254"/>
      <c r="B12" s="254"/>
      <c r="C12" s="819" t="str">
        <f>'Sch-1'!C12</f>
        <v/>
      </c>
      <c r="D12" s="819"/>
      <c r="E12" s="819"/>
      <c r="F12" s="819"/>
      <c r="G12" s="251"/>
      <c r="H12" s="251"/>
      <c r="I12" s="251"/>
      <c r="J12" s="251"/>
      <c r="K12" s="498" t="s">
        <v>5</v>
      </c>
      <c r="L12" s="55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4"/>
      <c r="AK12" s="544"/>
      <c r="AL12" s="544"/>
      <c r="AM12" s="544"/>
      <c r="AN12" s="544"/>
      <c r="AO12" s="544"/>
      <c r="AP12" s="544"/>
      <c r="AQ12" s="544"/>
      <c r="AR12" s="544"/>
      <c r="AS12" s="544"/>
      <c r="AT12" s="544"/>
      <c r="AU12" s="544"/>
      <c r="AV12" s="544"/>
      <c r="AW12" s="544"/>
      <c r="AX12" s="544"/>
      <c r="AY12" s="544"/>
      <c r="AZ12" s="544"/>
      <c r="BA12" s="544"/>
      <c r="BB12" s="544"/>
      <c r="BC12" s="544"/>
      <c r="BD12" s="544"/>
      <c r="BE12" s="544"/>
      <c r="BF12" s="544"/>
      <c r="BG12" s="544"/>
      <c r="BH12" s="544"/>
      <c r="BI12" s="544"/>
      <c r="BJ12" s="544"/>
      <c r="BK12" s="544"/>
      <c r="BL12" s="544"/>
      <c r="BM12" s="544"/>
      <c r="BN12" s="544"/>
      <c r="BO12" s="544"/>
      <c r="BP12" s="544"/>
      <c r="BQ12" s="544"/>
      <c r="BR12" s="544"/>
      <c r="BS12" s="544"/>
      <c r="BT12" s="544"/>
      <c r="BU12" s="544"/>
      <c r="BV12" s="544"/>
      <c r="BW12" s="544"/>
      <c r="BX12" s="544"/>
      <c r="BY12" s="544"/>
      <c r="BZ12" s="544"/>
      <c r="CA12" s="544"/>
      <c r="CB12" s="544"/>
      <c r="CC12" s="544"/>
      <c r="CD12" s="544"/>
      <c r="CE12" s="544"/>
      <c r="CF12" s="544"/>
      <c r="CG12" s="544"/>
      <c r="CH12" s="544"/>
      <c r="CI12" s="544"/>
      <c r="CJ12" s="544"/>
      <c r="CK12" s="544"/>
      <c r="CL12" s="544"/>
      <c r="CM12" s="544"/>
      <c r="CN12" s="544"/>
      <c r="CO12" s="544"/>
      <c r="CP12" s="544"/>
      <c r="CQ12" s="544"/>
      <c r="CR12" s="544"/>
      <c r="CS12" s="544"/>
      <c r="CT12" s="544"/>
      <c r="CU12" s="544"/>
      <c r="CV12" s="544"/>
    </row>
    <row r="13" spans="1:100" s="544" customFormat="1" ht="21" customHeight="1">
      <c r="A13" s="547"/>
      <c r="B13" s="547"/>
      <c r="C13" s="547"/>
      <c r="D13" s="547"/>
      <c r="E13" s="547"/>
      <c r="F13" s="547"/>
      <c r="G13" s="547"/>
      <c r="H13" s="547"/>
      <c r="I13" s="556"/>
      <c r="J13" s="548"/>
      <c r="K13" s="498" t="s">
        <v>6</v>
      </c>
      <c r="L13" s="557"/>
      <c r="M13" s="557"/>
    </row>
    <row r="14" spans="1:100" s="544" customFormat="1" ht="27.9" customHeight="1">
      <c r="A14" s="908" t="s">
        <v>31</v>
      </c>
      <c r="B14" s="908"/>
      <c r="C14" s="908"/>
      <c r="D14" s="908"/>
      <c r="E14" s="908"/>
      <c r="F14" s="908"/>
      <c r="G14" s="908"/>
      <c r="H14" s="908"/>
      <c r="I14" s="908"/>
      <c r="J14" s="908"/>
      <c r="K14" s="908"/>
      <c r="L14" s="908"/>
      <c r="M14" s="908"/>
    </row>
    <row r="15" spans="1:100" s="544" customFormat="1" ht="115.5" customHeight="1">
      <c r="A15" s="558" t="s">
        <v>32</v>
      </c>
      <c r="B15" s="257" t="s">
        <v>262</v>
      </c>
      <c r="C15" s="257" t="s">
        <v>263</v>
      </c>
      <c r="D15" s="558" t="s">
        <v>38</v>
      </c>
      <c r="E15" s="559" t="s">
        <v>327</v>
      </c>
      <c r="F15" s="560" t="s">
        <v>328</v>
      </c>
      <c r="G15" s="560" t="s">
        <v>308</v>
      </c>
      <c r="H15" s="560" t="s">
        <v>316</v>
      </c>
      <c r="I15" s="414" t="s">
        <v>33</v>
      </c>
      <c r="J15" s="414" t="s">
        <v>9</v>
      </c>
      <c r="K15" s="414" t="s">
        <v>15</v>
      </c>
      <c r="L15" s="414" t="s">
        <v>34</v>
      </c>
      <c r="M15" s="561" t="s">
        <v>35</v>
      </c>
      <c r="AB15" s="544" t="s">
        <v>36</v>
      </c>
      <c r="AD15" s="544" t="s">
        <v>20</v>
      </c>
      <c r="AE15" s="544" t="s">
        <v>37</v>
      </c>
    </row>
    <row r="16" spans="1:100">
      <c r="A16" s="562"/>
      <c r="B16" s="562"/>
      <c r="C16" s="562"/>
      <c r="D16" s="562"/>
      <c r="E16" s="562"/>
      <c r="F16" s="562"/>
      <c r="G16" s="562"/>
      <c r="H16" s="562"/>
      <c r="I16" s="563"/>
      <c r="J16" s="564"/>
      <c r="K16" s="564"/>
      <c r="L16" s="564"/>
      <c r="M16" s="564"/>
    </row>
    <row r="17" spans="1:100" s="567" customFormat="1" ht="23.25" customHeight="1">
      <c r="A17" s="566"/>
      <c r="B17" s="566"/>
      <c r="C17" s="566"/>
      <c r="D17" s="566"/>
      <c r="F17" s="566"/>
      <c r="G17" s="568" t="s">
        <v>334</v>
      </c>
      <c r="H17" s="566"/>
      <c r="I17" s="566"/>
      <c r="J17" s="566"/>
      <c r="K17" s="566"/>
      <c r="L17" s="566"/>
      <c r="M17" s="566"/>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4"/>
      <c r="AM17" s="544"/>
      <c r="AN17" s="544"/>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544"/>
      <c r="BK17" s="544"/>
      <c r="BL17" s="544"/>
      <c r="BM17" s="544"/>
      <c r="BN17" s="544"/>
      <c r="BO17" s="544"/>
      <c r="BP17" s="544"/>
      <c r="BQ17" s="544"/>
      <c r="BR17" s="544"/>
      <c r="BS17" s="544"/>
      <c r="BT17" s="544"/>
      <c r="BU17" s="544"/>
      <c r="BV17" s="544"/>
      <c r="BW17" s="544"/>
      <c r="BX17" s="544"/>
      <c r="BY17" s="544"/>
      <c r="BZ17" s="544"/>
      <c r="CA17" s="544"/>
      <c r="CB17" s="544"/>
      <c r="CC17" s="544"/>
      <c r="CD17" s="544"/>
      <c r="CE17" s="544"/>
      <c r="CF17" s="544"/>
      <c r="CG17" s="544"/>
      <c r="CH17" s="544"/>
      <c r="CI17" s="544"/>
      <c r="CJ17" s="544"/>
      <c r="CK17" s="544"/>
      <c r="CL17" s="544"/>
      <c r="CM17" s="544"/>
      <c r="CN17" s="544"/>
      <c r="CO17" s="544"/>
      <c r="CP17" s="544"/>
      <c r="CQ17" s="544"/>
      <c r="CR17" s="544"/>
      <c r="CS17" s="544"/>
      <c r="CT17" s="544"/>
      <c r="CU17" s="544"/>
      <c r="CV17" s="544"/>
    </row>
    <row r="18" spans="1:100" ht="22.5" customHeight="1">
      <c r="A18" s="909"/>
      <c r="B18" s="909"/>
      <c r="C18" s="909"/>
      <c r="D18" s="909"/>
      <c r="E18" s="909"/>
      <c r="F18" s="909"/>
      <c r="G18" s="909"/>
      <c r="H18" s="909"/>
      <c r="I18" s="909"/>
      <c r="J18" s="569"/>
      <c r="K18" s="569"/>
      <c r="L18" s="569"/>
      <c r="M18" s="569"/>
    </row>
    <row r="19" spans="1:100" ht="26.25" customHeight="1">
      <c r="B19" s="571"/>
      <c r="C19" s="426"/>
      <c r="D19" s="426"/>
      <c r="E19" s="426"/>
      <c r="F19" s="426"/>
      <c r="G19" s="426"/>
      <c r="H19" s="426"/>
      <c r="I19" s="426"/>
      <c r="J19" s="426"/>
      <c r="K19" s="426"/>
      <c r="L19" s="572"/>
      <c r="M19" s="573"/>
    </row>
    <row r="20" spans="1:100">
      <c r="B20" s="426"/>
      <c r="C20" s="426"/>
      <c r="D20" s="426"/>
      <c r="E20" s="426"/>
      <c r="F20" s="426"/>
      <c r="G20" s="426"/>
      <c r="H20" s="426"/>
      <c r="I20" s="426"/>
      <c r="J20" s="426"/>
      <c r="K20" s="426"/>
      <c r="L20" s="574"/>
      <c r="M20" s="573"/>
    </row>
    <row r="21" spans="1:100" s="575" customFormat="1">
      <c r="B21" s="575" t="s">
        <v>313</v>
      </c>
      <c r="C21" s="910" t="str">
        <f>'Sch-6 (After Discount)'!B31</f>
        <v xml:space="preserve">  </v>
      </c>
      <c r="D21" s="911"/>
      <c r="H21" s="914" t="s">
        <v>315</v>
      </c>
      <c r="I21" s="914"/>
      <c r="J21" s="919" t="str">
        <f>'Sch-6 (After Discount)'!D31</f>
        <v/>
      </c>
      <c r="K21" s="919"/>
      <c r="L21" s="919"/>
      <c r="M21" s="919"/>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44"/>
      <c r="AM21" s="544"/>
      <c r="AN21" s="544"/>
      <c r="AO21" s="544"/>
      <c r="AP21" s="544"/>
      <c r="AQ21" s="544"/>
      <c r="AR21" s="544"/>
      <c r="AS21" s="544"/>
      <c r="AT21" s="544"/>
      <c r="AU21" s="544"/>
      <c r="AV21" s="544"/>
      <c r="AW21" s="544"/>
      <c r="AX21" s="544"/>
      <c r="AY21" s="544"/>
      <c r="AZ21" s="544"/>
      <c r="BA21" s="544"/>
      <c r="BB21" s="544"/>
      <c r="BC21" s="544"/>
      <c r="BD21" s="544"/>
      <c r="BE21" s="544"/>
      <c r="BF21" s="544"/>
      <c r="BG21" s="544"/>
      <c r="BH21" s="544"/>
      <c r="BI21" s="544"/>
      <c r="BJ21" s="544"/>
      <c r="BK21" s="544"/>
      <c r="BL21" s="544"/>
      <c r="BM21" s="544"/>
      <c r="BN21" s="544"/>
      <c r="BO21" s="544"/>
      <c r="BP21" s="544"/>
      <c r="BQ21" s="544"/>
      <c r="BR21" s="544"/>
      <c r="BS21" s="544"/>
      <c r="BT21" s="544"/>
      <c r="BU21" s="544"/>
      <c r="BV21" s="544"/>
      <c r="BW21" s="544"/>
      <c r="BX21" s="544"/>
      <c r="BY21" s="544"/>
      <c r="BZ21" s="544"/>
      <c r="CA21" s="544"/>
      <c r="CB21" s="544"/>
      <c r="CC21" s="544"/>
      <c r="CD21" s="544"/>
      <c r="CE21" s="544"/>
      <c r="CF21" s="544"/>
      <c r="CG21" s="544"/>
      <c r="CH21" s="544"/>
      <c r="CI21" s="544"/>
      <c r="CJ21" s="544"/>
      <c r="CK21" s="544"/>
      <c r="CL21" s="544"/>
      <c r="CM21" s="544"/>
      <c r="CN21" s="544"/>
      <c r="CO21" s="544"/>
      <c r="CP21" s="544"/>
      <c r="CQ21" s="544"/>
      <c r="CR21" s="544"/>
      <c r="CS21" s="544"/>
      <c r="CT21" s="544"/>
      <c r="CU21" s="544"/>
      <c r="CV21" s="544"/>
    </row>
    <row r="22" spans="1:100" s="575" customFormat="1" ht="16.5" customHeight="1">
      <c r="B22" s="575" t="s">
        <v>314</v>
      </c>
      <c r="C22" s="920" t="str">
        <f>'Sch-6'!B32</f>
        <v/>
      </c>
      <c r="D22" s="911"/>
      <c r="H22" s="914" t="s">
        <v>123</v>
      </c>
      <c r="I22" s="914"/>
      <c r="J22" s="919" t="str">
        <f>'Sch-6 (After Discount)'!D32</f>
        <v/>
      </c>
      <c r="K22" s="919"/>
      <c r="L22" s="919"/>
      <c r="M22" s="919"/>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c r="AT22" s="544"/>
      <c r="AU22" s="544"/>
      <c r="AV22" s="544"/>
      <c r="AW22" s="544"/>
      <c r="AX22" s="544"/>
      <c r="AY22" s="544"/>
      <c r="AZ22" s="544"/>
      <c r="BA22" s="544"/>
      <c r="BB22" s="544"/>
      <c r="BC22" s="544"/>
      <c r="BD22" s="544"/>
      <c r="BE22" s="544"/>
      <c r="BF22" s="544"/>
      <c r="BG22" s="544"/>
      <c r="BH22" s="544"/>
      <c r="BI22" s="544"/>
      <c r="BJ22" s="544"/>
      <c r="BK22" s="544"/>
      <c r="BL22" s="544"/>
      <c r="BM22" s="544"/>
      <c r="BN22" s="544"/>
      <c r="BO22" s="544"/>
      <c r="BP22" s="544"/>
      <c r="BQ22" s="544"/>
      <c r="BR22" s="544"/>
      <c r="BS22" s="544"/>
      <c r="BT22" s="544"/>
      <c r="BU22" s="544"/>
      <c r="BV22" s="544"/>
      <c r="BW22" s="544"/>
      <c r="BX22" s="544"/>
      <c r="BY22" s="544"/>
      <c r="BZ22" s="544"/>
      <c r="CA22" s="544"/>
      <c r="CB22" s="544"/>
      <c r="CC22" s="544"/>
      <c r="CD22" s="544"/>
      <c r="CE22" s="544"/>
      <c r="CF22" s="544"/>
      <c r="CG22" s="544"/>
      <c r="CH22" s="544"/>
      <c r="CI22" s="544"/>
      <c r="CJ22" s="544"/>
      <c r="CK22" s="544"/>
      <c r="CL22" s="544"/>
      <c r="CM22" s="544"/>
      <c r="CN22" s="544"/>
      <c r="CO22" s="544"/>
      <c r="CP22" s="544"/>
      <c r="CQ22" s="544"/>
      <c r="CR22" s="544"/>
      <c r="CS22" s="544"/>
      <c r="CT22" s="544"/>
      <c r="CU22" s="544"/>
      <c r="CV22" s="544"/>
    </row>
    <row r="23" spans="1:100">
      <c r="B23" s="912"/>
      <c r="C23" s="912"/>
      <c r="D23" s="912"/>
      <c r="E23" s="912"/>
      <c r="F23" s="912"/>
      <c r="G23" s="912"/>
      <c r="H23" s="912"/>
      <c r="I23" s="912"/>
      <c r="J23" s="912"/>
      <c r="K23" s="912"/>
      <c r="L23" s="912"/>
      <c r="M23" s="573"/>
    </row>
    <row r="24" spans="1:100">
      <c r="B24" s="576"/>
      <c r="C24" s="576"/>
      <c r="D24" s="913"/>
      <c r="E24" s="913"/>
      <c r="F24" s="913"/>
      <c r="G24" s="913"/>
      <c r="H24" s="913"/>
      <c r="I24" s="913"/>
      <c r="J24" s="913"/>
      <c r="K24" s="913"/>
      <c r="L24" s="913"/>
      <c r="M24" s="573"/>
    </row>
    <row r="25" spans="1:100">
      <c r="B25" s="577"/>
      <c r="C25" s="578"/>
      <c r="D25" s="913"/>
      <c r="E25" s="913"/>
      <c r="F25" s="913"/>
      <c r="G25" s="913"/>
      <c r="H25" s="913"/>
      <c r="I25" s="913"/>
      <c r="J25" s="913"/>
      <c r="K25" s="913"/>
      <c r="L25" s="913"/>
      <c r="M25" s="573"/>
    </row>
    <row r="26" spans="1:100">
      <c r="B26" s="577"/>
      <c r="C26" s="579"/>
      <c r="D26" s="913"/>
      <c r="E26" s="913"/>
      <c r="F26" s="913"/>
      <c r="G26" s="913"/>
      <c r="H26" s="913"/>
      <c r="I26" s="913"/>
      <c r="J26" s="913"/>
      <c r="K26" s="913"/>
      <c r="L26" s="913"/>
      <c r="M26" s="573"/>
    </row>
    <row r="27" spans="1:100">
      <c r="B27" s="580"/>
      <c r="C27" s="581"/>
      <c r="D27" s="913"/>
      <c r="E27" s="913"/>
      <c r="F27" s="913"/>
      <c r="G27" s="913"/>
      <c r="H27" s="913"/>
      <c r="I27" s="913"/>
      <c r="J27" s="913"/>
      <c r="K27" s="913"/>
      <c r="L27" s="913"/>
      <c r="M27" s="573"/>
    </row>
    <row r="28" spans="1:100">
      <c r="B28" s="580"/>
      <c r="C28" s="581"/>
      <c r="D28" s="426"/>
      <c r="E28" s="426"/>
      <c r="F28" s="426"/>
      <c r="G28" s="426"/>
      <c r="H28" s="426"/>
      <c r="I28" s="426"/>
      <c r="J28" s="426"/>
      <c r="K28" s="426"/>
      <c r="L28" s="426"/>
      <c r="M28" s="573"/>
    </row>
    <row r="29" spans="1:100">
      <c r="B29" s="582"/>
      <c r="C29" s="915"/>
      <c r="D29" s="915"/>
      <c r="E29" s="915"/>
      <c r="F29" s="915"/>
      <c r="G29" s="915"/>
      <c r="H29" s="915"/>
      <c r="I29" s="915"/>
      <c r="J29" s="915"/>
      <c r="K29" s="915"/>
      <c r="L29" s="583"/>
      <c r="M29" s="573"/>
    </row>
    <row r="59" spans="1:100" s="587" customFormat="1">
      <c r="A59" s="584"/>
      <c r="B59" s="584"/>
      <c r="C59" s="584"/>
      <c r="D59" s="584"/>
      <c r="E59" s="584"/>
      <c r="F59" s="584"/>
      <c r="G59" s="584"/>
      <c r="H59" s="584"/>
      <c r="I59" s="585"/>
      <c r="J59" s="586"/>
      <c r="K59" s="586"/>
      <c r="L59" s="586"/>
      <c r="M59" s="586"/>
      <c r="N59" s="544"/>
      <c r="O59" s="544"/>
      <c r="P59" s="544"/>
      <c r="Q59" s="544"/>
      <c r="R59" s="544"/>
      <c r="S59" s="544"/>
      <c r="T59" s="544"/>
      <c r="U59" s="544"/>
      <c r="V59" s="544"/>
      <c r="W59" s="544"/>
      <c r="X59" s="544"/>
      <c r="Y59" s="544"/>
      <c r="Z59" s="544"/>
      <c r="AA59" s="544"/>
      <c r="AB59" s="544"/>
      <c r="AC59" s="544"/>
      <c r="AD59" s="544"/>
      <c r="AE59" s="544"/>
      <c r="AF59" s="544"/>
      <c r="AG59" s="544"/>
      <c r="AH59" s="544"/>
      <c r="AI59" s="544"/>
      <c r="AJ59" s="544"/>
      <c r="AK59" s="544"/>
      <c r="AL59" s="544"/>
      <c r="AM59" s="544"/>
      <c r="AN59" s="544"/>
      <c r="AO59" s="544"/>
      <c r="AP59" s="544"/>
      <c r="AQ59" s="544"/>
      <c r="AR59" s="544"/>
      <c r="AS59" s="544"/>
      <c r="AT59" s="544"/>
      <c r="AU59" s="544"/>
      <c r="AV59" s="544"/>
      <c r="AW59" s="544"/>
      <c r="AX59" s="544"/>
      <c r="AY59" s="544"/>
      <c r="AZ59" s="544"/>
      <c r="BA59" s="544"/>
      <c r="BB59" s="544"/>
      <c r="BC59" s="544"/>
      <c r="BD59" s="544"/>
      <c r="BE59" s="544"/>
      <c r="BF59" s="544"/>
      <c r="BG59" s="544"/>
      <c r="BH59" s="544"/>
      <c r="BI59" s="544"/>
      <c r="BJ59" s="544"/>
      <c r="BK59" s="544"/>
      <c r="BL59" s="544"/>
      <c r="BM59" s="544"/>
      <c r="BN59" s="544"/>
      <c r="BO59" s="544"/>
      <c r="BP59" s="544"/>
      <c r="BQ59" s="544"/>
      <c r="BR59" s="544"/>
      <c r="BS59" s="544"/>
      <c r="BT59" s="544"/>
      <c r="BU59" s="544"/>
      <c r="BV59" s="544"/>
      <c r="BW59" s="544"/>
      <c r="BX59" s="544"/>
      <c r="BY59" s="544"/>
      <c r="BZ59" s="544"/>
      <c r="CA59" s="544"/>
      <c r="CB59" s="544"/>
      <c r="CC59" s="544"/>
      <c r="CD59" s="544"/>
      <c r="CE59" s="544"/>
      <c r="CF59" s="544"/>
      <c r="CG59" s="544"/>
      <c r="CH59" s="544"/>
      <c r="CI59" s="544"/>
      <c r="CJ59" s="544"/>
      <c r="CK59" s="544"/>
      <c r="CL59" s="544"/>
      <c r="CM59" s="544"/>
      <c r="CN59" s="544"/>
      <c r="CO59" s="544"/>
      <c r="CP59" s="544"/>
      <c r="CQ59" s="544"/>
      <c r="CR59" s="544"/>
      <c r="CS59" s="544"/>
      <c r="CT59" s="544"/>
      <c r="CU59" s="544"/>
      <c r="CV59" s="544"/>
    </row>
    <row r="60" spans="1:100" s="587" customFormat="1">
      <c r="A60" s="584"/>
      <c r="B60" s="584"/>
      <c r="C60" s="584"/>
      <c r="D60" s="584"/>
      <c r="E60" s="584"/>
      <c r="F60" s="584"/>
      <c r="G60" s="584"/>
      <c r="H60" s="584"/>
      <c r="I60" s="585"/>
      <c r="J60" s="586"/>
      <c r="K60" s="586"/>
      <c r="L60" s="586"/>
      <c r="M60" s="586"/>
      <c r="N60" s="544"/>
      <c r="O60" s="544"/>
      <c r="P60" s="544"/>
      <c r="Q60" s="544"/>
      <c r="R60" s="544"/>
      <c r="S60" s="544"/>
      <c r="T60" s="544"/>
      <c r="U60" s="544"/>
      <c r="V60" s="544"/>
      <c r="W60" s="544"/>
      <c r="X60" s="544"/>
      <c r="Y60" s="544"/>
      <c r="Z60" s="544"/>
      <c r="AA60" s="544"/>
      <c r="AB60" s="544"/>
      <c r="AC60" s="544"/>
      <c r="AD60" s="544"/>
      <c r="AE60" s="544"/>
      <c r="AF60" s="544"/>
      <c r="AG60" s="544"/>
      <c r="AH60" s="544"/>
      <c r="AI60" s="544"/>
      <c r="AJ60" s="544"/>
      <c r="AK60" s="544"/>
      <c r="AL60" s="544"/>
      <c r="AM60" s="544"/>
      <c r="AN60" s="544"/>
      <c r="AO60" s="544"/>
      <c r="AP60" s="544"/>
      <c r="AQ60" s="544"/>
      <c r="AR60" s="544"/>
      <c r="AS60" s="544"/>
      <c r="AT60" s="544"/>
      <c r="AU60" s="544"/>
      <c r="AV60" s="544"/>
      <c r="AW60" s="544"/>
      <c r="AX60" s="544"/>
      <c r="AY60" s="544"/>
      <c r="AZ60" s="544"/>
      <c r="BA60" s="544"/>
      <c r="BB60" s="544"/>
      <c r="BC60" s="544"/>
      <c r="BD60" s="544"/>
      <c r="BE60" s="544"/>
      <c r="BF60" s="544"/>
      <c r="BG60" s="544"/>
      <c r="BH60" s="544"/>
      <c r="BI60" s="544"/>
      <c r="BJ60" s="544"/>
      <c r="BK60" s="544"/>
      <c r="BL60" s="544"/>
      <c r="BM60" s="544"/>
      <c r="BN60" s="544"/>
      <c r="BO60" s="544"/>
      <c r="BP60" s="544"/>
      <c r="BQ60" s="544"/>
      <c r="BR60" s="544"/>
      <c r="BS60" s="544"/>
      <c r="BT60" s="544"/>
      <c r="BU60" s="544"/>
      <c r="BV60" s="544"/>
      <c r="BW60" s="544"/>
      <c r="BX60" s="544"/>
      <c r="BY60" s="544"/>
      <c r="BZ60" s="544"/>
      <c r="CA60" s="544"/>
      <c r="CB60" s="544"/>
      <c r="CC60" s="544"/>
      <c r="CD60" s="544"/>
      <c r="CE60" s="544"/>
      <c r="CF60" s="544"/>
      <c r="CG60" s="544"/>
      <c r="CH60" s="544"/>
      <c r="CI60" s="544"/>
      <c r="CJ60" s="544"/>
      <c r="CK60" s="544"/>
      <c r="CL60" s="544"/>
      <c r="CM60" s="544"/>
      <c r="CN60" s="544"/>
      <c r="CO60" s="544"/>
      <c r="CP60" s="544"/>
      <c r="CQ60" s="544"/>
      <c r="CR60" s="544"/>
      <c r="CS60" s="544"/>
      <c r="CT60" s="544"/>
      <c r="CU60" s="544"/>
      <c r="CV60" s="544"/>
    </row>
    <row r="61" spans="1:100" s="587" customFormat="1">
      <c r="A61" s="584"/>
      <c r="B61" s="584"/>
      <c r="C61" s="584"/>
      <c r="D61" s="584"/>
      <c r="E61" s="584"/>
      <c r="F61" s="584"/>
      <c r="G61" s="584"/>
      <c r="H61" s="584"/>
      <c r="I61" s="585"/>
      <c r="J61" s="586"/>
      <c r="K61" s="586"/>
      <c r="L61" s="586"/>
      <c r="M61" s="586"/>
      <c r="N61" s="544"/>
      <c r="O61" s="544"/>
      <c r="P61" s="544"/>
      <c r="Q61" s="544"/>
      <c r="R61" s="544"/>
      <c r="S61" s="544"/>
      <c r="T61" s="544"/>
      <c r="U61" s="544"/>
      <c r="V61" s="544"/>
      <c r="W61" s="544"/>
      <c r="X61" s="544"/>
      <c r="Y61" s="544"/>
      <c r="Z61" s="544"/>
      <c r="AA61" s="544"/>
      <c r="AB61" s="544"/>
      <c r="AC61" s="544"/>
      <c r="AD61" s="544"/>
      <c r="AE61" s="544"/>
      <c r="AF61" s="544"/>
      <c r="AG61" s="544"/>
      <c r="AH61" s="544"/>
      <c r="AI61" s="544"/>
      <c r="AJ61" s="544"/>
      <c r="AK61" s="544"/>
      <c r="AL61" s="544"/>
      <c r="AM61" s="544"/>
      <c r="AN61" s="544"/>
      <c r="AO61" s="544"/>
      <c r="AP61" s="544"/>
      <c r="AQ61" s="544"/>
      <c r="AR61" s="544"/>
      <c r="AS61" s="544"/>
      <c r="AT61" s="544"/>
      <c r="AU61" s="544"/>
      <c r="AV61" s="544"/>
      <c r="AW61" s="544"/>
      <c r="AX61" s="544"/>
      <c r="AY61" s="544"/>
      <c r="AZ61" s="544"/>
      <c r="BA61" s="544"/>
      <c r="BB61" s="544"/>
      <c r="BC61" s="544"/>
      <c r="BD61" s="544"/>
      <c r="BE61" s="544"/>
      <c r="BF61" s="544"/>
      <c r="BG61" s="544"/>
      <c r="BH61" s="544"/>
      <c r="BI61" s="544"/>
      <c r="BJ61" s="544"/>
      <c r="BK61" s="544"/>
      <c r="BL61" s="544"/>
      <c r="BM61" s="544"/>
      <c r="BN61" s="544"/>
      <c r="BO61" s="544"/>
      <c r="BP61" s="544"/>
      <c r="BQ61" s="544"/>
      <c r="BR61" s="544"/>
      <c r="BS61" s="544"/>
      <c r="BT61" s="544"/>
      <c r="BU61" s="544"/>
      <c r="BV61" s="544"/>
      <c r="BW61" s="544"/>
      <c r="BX61" s="544"/>
      <c r="BY61" s="544"/>
      <c r="BZ61" s="544"/>
      <c r="CA61" s="544"/>
      <c r="CB61" s="544"/>
      <c r="CC61" s="544"/>
      <c r="CD61" s="544"/>
      <c r="CE61" s="544"/>
      <c r="CF61" s="544"/>
      <c r="CG61" s="544"/>
      <c r="CH61" s="544"/>
      <c r="CI61" s="544"/>
      <c r="CJ61" s="544"/>
      <c r="CK61" s="544"/>
      <c r="CL61" s="544"/>
      <c r="CM61" s="544"/>
      <c r="CN61" s="544"/>
      <c r="CO61" s="544"/>
      <c r="CP61" s="544"/>
      <c r="CQ61" s="544"/>
      <c r="CR61" s="544"/>
      <c r="CS61" s="544"/>
      <c r="CT61" s="544"/>
      <c r="CU61" s="544"/>
      <c r="CV61" s="544"/>
    </row>
    <row r="62" spans="1:100" ht="16.5" hidden="1" customHeight="1">
      <c r="A62" s="588" t="str">
        <f>A1</f>
        <v>Spec. No.:CC/NT/W-GIS/DOM/A04/24/01196</v>
      </c>
      <c r="B62" s="588"/>
      <c r="C62" s="588"/>
      <c r="D62" s="588"/>
      <c r="E62" s="588"/>
      <c r="F62" s="588"/>
      <c r="G62" s="588"/>
      <c r="H62" s="588"/>
      <c r="I62" s="589"/>
      <c r="J62" s="590"/>
      <c r="K62" s="590"/>
      <c r="L62" s="590"/>
      <c r="M62" s="590"/>
    </row>
    <row r="63" spans="1:100" ht="16.5" hidden="1" customHeight="1">
      <c r="A63" s="591"/>
      <c r="B63" s="591"/>
      <c r="C63" s="591"/>
      <c r="D63" s="591"/>
      <c r="E63" s="591"/>
      <c r="F63" s="591"/>
      <c r="G63" s="591"/>
      <c r="H63" s="591"/>
      <c r="I63" s="592"/>
      <c r="J63" s="593"/>
      <c r="K63" s="593"/>
      <c r="L63" s="593"/>
      <c r="M63" s="593"/>
    </row>
    <row r="64" spans="1:100" ht="35.25" hidden="1" customHeight="1">
      <c r="A64" s="916" t="str">
        <f>A3</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64" s="916"/>
      <c r="C64" s="916"/>
      <c r="D64" s="916"/>
      <c r="E64" s="916"/>
      <c r="F64" s="916"/>
      <c r="G64" s="916"/>
      <c r="H64" s="916"/>
      <c r="I64" s="916">
        <f>I3</f>
        <v>0</v>
      </c>
      <c r="J64" s="916">
        <f>J3</f>
        <v>0</v>
      </c>
      <c r="K64" s="916"/>
      <c r="L64" s="916"/>
      <c r="M64" s="916"/>
    </row>
    <row r="65" spans="1:13" ht="16.5" hidden="1" customHeight="1">
      <c r="A65" s="907" t="str">
        <f>A4</f>
        <v>(SCHEDULE OF RATES AND PRICES )</v>
      </c>
      <c r="B65" s="907"/>
      <c r="C65" s="907"/>
      <c r="D65" s="907"/>
      <c r="E65" s="907"/>
      <c r="F65" s="907"/>
      <c r="G65" s="907"/>
      <c r="H65" s="907"/>
      <c r="I65" s="907">
        <f>I4</f>
        <v>0</v>
      </c>
      <c r="J65" s="907">
        <f>J4</f>
        <v>0</v>
      </c>
      <c r="K65" s="907"/>
      <c r="L65" s="907"/>
      <c r="M65" s="907"/>
    </row>
    <row r="66" spans="1:13" ht="16.5" hidden="1" customHeight="1">
      <c r="A66" s="595"/>
      <c r="B66" s="595"/>
      <c r="C66" s="595"/>
      <c r="D66" s="595"/>
      <c r="E66" s="595"/>
      <c r="F66" s="595"/>
      <c r="G66" s="595"/>
      <c r="H66" s="595"/>
      <c r="I66" s="594"/>
      <c r="J66" s="596"/>
      <c r="K66" s="596"/>
      <c r="L66" s="596"/>
      <c r="M66" s="596"/>
    </row>
    <row r="67" spans="1:13" ht="16.5" hidden="1" customHeight="1">
      <c r="A67" s="597" t="e">
        <f>#REF!</f>
        <v>#REF!</v>
      </c>
      <c r="B67" s="597"/>
      <c r="C67" s="597"/>
      <c r="D67" s="597"/>
      <c r="E67" s="597"/>
      <c r="F67" s="597"/>
      <c r="G67" s="597"/>
      <c r="H67" s="597"/>
      <c r="I67" s="598"/>
      <c r="J67" s="599"/>
      <c r="K67" s="599"/>
      <c r="L67" s="599"/>
      <c r="M67" s="599"/>
    </row>
    <row r="68" spans="1:13" ht="16.5" hidden="1" customHeight="1">
      <c r="A68" s="904" t="e">
        <f>#REF!</f>
        <v>#REF!</v>
      </c>
      <c r="B68" s="904"/>
      <c r="C68" s="904"/>
      <c r="D68" s="904"/>
      <c r="E68" s="904"/>
      <c r="F68" s="904"/>
      <c r="G68" s="904"/>
      <c r="H68" s="904"/>
      <c r="I68" s="904" t="e">
        <f>#REF!</f>
        <v>#REF!</v>
      </c>
      <c r="J68" s="904" t="e">
        <f>#REF!</f>
        <v>#REF!</v>
      </c>
      <c r="K68" s="600"/>
      <c r="L68" s="600"/>
      <c r="M68" s="600"/>
    </row>
    <row r="69" spans="1:13" ht="16.5" hidden="1" customHeight="1">
      <c r="A69" s="601" t="e">
        <f>#REF!</f>
        <v>#REF!</v>
      </c>
      <c r="B69" s="601"/>
      <c r="C69" s="601"/>
      <c r="D69" s="601"/>
      <c r="E69" s="601"/>
      <c r="F69" s="601"/>
      <c r="G69" s="601"/>
      <c r="H69" s="601"/>
      <c r="I69" s="903" t="e">
        <f>#REF!</f>
        <v>#REF!</v>
      </c>
      <c r="J69" s="903" t="e">
        <f>#REF!</f>
        <v>#REF!</v>
      </c>
      <c r="K69" s="602"/>
      <c r="L69" s="602"/>
      <c r="M69" s="602"/>
    </row>
    <row r="70" spans="1:13" ht="16.5" hidden="1" customHeight="1">
      <c r="A70" s="601" t="e">
        <f>#REF!</f>
        <v>#REF!</v>
      </c>
      <c r="B70" s="601"/>
      <c r="C70" s="601"/>
      <c r="D70" s="601"/>
      <c r="E70" s="601"/>
      <c r="F70" s="601"/>
      <c r="G70" s="601"/>
      <c r="H70" s="601"/>
      <c r="I70" s="903" t="e">
        <f>#REF!</f>
        <v>#REF!</v>
      </c>
      <c r="J70" s="903" t="e">
        <f>#REF!</f>
        <v>#REF!</v>
      </c>
      <c r="K70" s="602"/>
      <c r="L70" s="602"/>
      <c r="M70" s="602"/>
    </row>
    <row r="71" spans="1:13" ht="16.5" hidden="1" customHeight="1">
      <c r="A71" s="603"/>
      <c r="B71" s="603"/>
      <c r="C71" s="603"/>
      <c r="D71" s="603"/>
      <c r="E71" s="603"/>
      <c r="F71" s="603"/>
      <c r="G71" s="603"/>
      <c r="H71" s="603"/>
      <c r="I71" s="903" t="e">
        <f>#REF!</f>
        <v>#REF!</v>
      </c>
      <c r="J71" s="903" t="e">
        <f>#REF!</f>
        <v>#REF!</v>
      </c>
      <c r="K71" s="602"/>
      <c r="L71" s="602"/>
      <c r="M71" s="602"/>
    </row>
    <row r="72" spans="1:13" ht="16.5" hidden="1" customHeight="1">
      <c r="A72" s="603"/>
      <c r="B72" s="603"/>
      <c r="C72" s="603"/>
      <c r="D72" s="603"/>
      <c r="E72" s="603"/>
      <c r="F72" s="603"/>
      <c r="G72" s="603"/>
      <c r="H72" s="603"/>
      <c r="I72" s="903">
        <f>C5</f>
        <v>0</v>
      </c>
      <c r="J72" s="903">
        <f>D5</f>
        <v>0</v>
      </c>
      <c r="K72" s="602"/>
      <c r="L72" s="602"/>
      <c r="M72" s="602"/>
    </row>
    <row r="73" spans="1:13" ht="16.5" hidden="1" customHeight="1"/>
    <row r="74" spans="1:13" ht="33.75" hidden="1" customHeight="1">
      <c r="A74" s="606" t="str">
        <f>A15</f>
        <v>SL. NO.</v>
      </c>
      <c r="B74" s="606"/>
      <c r="C74" s="606"/>
      <c r="D74" s="606"/>
      <c r="E74" s="606"/>
      <c r="F74" s="606"/>
      <c r="G74" s="606"/>
      <c r="H74" s="606"/>
      <c r="I74" s="607" t="str">
        <f>I15</f>
        <v>Description of Test</v>
      </c>
      <c r="J74" s="905" t="e">
        <f>#REF!</f>
        <v>#REF!</v>
      </c>
      <c r="K74" s="905"/>
      <c r="L74" s="905"/>
      <c r="M74" s="905"/>
    </row>
    <row r="75" spans="1:13" ht="16.5" hidden="1" customHeight="1">
      <c r="A75" s="596" t="e">
        <f>#REF!</f>
        <v>#REF!</v>
      </c>
      <c r="B75" s="596"/>
      <c r="C75" s="596"/>
      <c r="D75" s="596"/>
      <c r="E75" s="596"/>
      <c r="F75" s="596"/>
      <c r="G75" s="596"/>
      <c r="H75" s="596"/>
      <c r="I75" s="594" t="e">
        <f>#REF!</f>
        <v>#REF!</v>
      </c>
      <c r="J75" s="906" t="e">
        <f>#REF!</f>
        <v>#REF!</v>
      </c>
      <c r="K75" s="906"/>
      <c r="L75" s="906"/>
      <c r="M75" s="906"/>
    </row>
    <row r="76" spans="1:13" ht="16.5" hidden="1" customHeight="1">
      <c r="A76" s="608" t="e">
        <f>#REF!</f>
        <v>#REF!</v>
      </c>
      <c r="B76" s="608"/>
      <c r="C76" s="608"/>
      <c r="D76" s="608"/>
      <c r="E76" s="608"/>
      <c r="F76" s="608"/>
      <c r="G76" s="608"/>
      <c r="H76" s="608"/>
      <c r="I76" s="609" t="e">
        <f>#REF!</f>
        <v>#REF!</v>
      </c>
      <c r="J76" s="906"/>
      <c r="K76" s="906"/>
      <c r="L76" s="906"/>
      <c r="M76" s="906"/>
    </row>
    <row r="77" spans="1:13" ht="16.5" hidden="1" customHeight="1">
      <c r="A77" s="610" t="e">
        <f>#REF!</f>
        <v>#REF!</v>
      </c>
      <c r="B77" s="610"/>
      <c r="C77" s="610"/>
      <c r="D77" s="610"/>
      <c r="E77" s="610"/>
      <c r="F77" s="610"/>
      <c r="G77" s="610"/>
      <c r="H77" s="610"/>
      <c r="I77" s="611" t="e">
        <f>#REF!</f>
        <v>#REF!</v>
      </c>
      <c r="J77" s="901" t="e">
        <f>#REF!</f>
        <v>#REF!</v>
      </c>
      <c r="K77" s="901"/>
      <c r="L77" s="901"/>
      <c r="M77" s="901"/>
    </row>
    <row r="78" spans="1:13" ht="16.5" hidden="1" customHeight="1">
      <c r="A78" s="610" t="e">
        <f>#REF!</f>
        <v>#REF!</v>
      </c>
      <c r="B78" s="610"/>
      <c r="C78" s="610"/>
      <c r="D78" s="610"/>
      <c r="E78" s="610"/>
      <c r="F78" s="610"/>
      <c r="G78" s="610"/>
      <c r="H78" s="610"/>
      <c r="I78" s="611" t="e">
        <f>#REF!</f>
        <v>#REF!</v>
      </c>
      <c r="J78" s="901" t="e">
        <f>#REF!</f>
        <v>#REF!</v>
      </c>
      <c r="K78" s="901"/>
      <c r="L78" s="901"/>
      <c r="M78" s="901"/>
    </row>
    <row r="79" spans="1:13" ht="20.100000000000001" hidden="1" customHeight="1">
      <c r="A79" s="612"/>
      <c r="B79" s="612"/>
      <c r="C79" s="612"/>
      <c r="D79" s="612"/>
      <c r="E79" s="612"/>
      <c r="F79" s="612"/>
      <c r="G79" s="612"/>
      <c r="H79" s="612"/>
      <c r="I79" s="609" t="e">
        <f>#REF!</f>
        <v>#REF!</v>
      </c>
      <c r="J79" s="901" t="e">
        <f>#REF!</f>
        <v>#REF!</v>
      </c>
      <c r="K79" s="901"/>
      <c r="L79" s="901"/>
      <c r="M79" s="901"/>
    </row>
    <row r="80" spans="1:13" ht="16.5" hidden="1" customHeight="1">
      <c r="A80" s="608" t="e">
        <f>#REF!</f>
        <v>#REF!</v>
      </c>
      <c r="B80" s="608"/>
      <c r="C80" s="608"/>
      <c r="D80" s="608"/>
      <c r="E80" s="608"/>
      <c r="F80" s="608"/>
      <c r="G80" s="608"/>
      <c r="H80" s="608"/>
      <c r="I80" s="609" t="e">
        <f>#REF!</f>
        <v>#REF!</v>
      </c>
      <c r="J80" s="901"/>
      <c r="K80" s="901"/>
      <c r="L80" s="901"/>
      <c r="M80" s="901"/>
    </row>
    <row r="81" spans="1:100" ht="16.5" hidden="1" customHeight="1">
      <c r="A81" s="613" t="e">
        <f>#REF!</f>
        <v>#REF!</v>
      </c>
      <c r="B81" s="613"/>
      <c r="C81" s="613"/>
      <c r="D81" s="613"/>
      <c r="E81" s="613"/>
      <c r="F81" s="613"/>
      <c r="G81" s="613"/>
      <c r="H81" s="613"/>
      <c r="I81" s="609" t="e">
        <f>#REF!</f>
        <v>#REF!</v>
      </c>
      <c r="J81" s="901"/>
      <c r="K81" s="901"/>
      <c r="L81" s="901"/>
      <c r="M81" s="901"/>
    </row>
    <row r="82" spans="1:100" ht="16.5" hidden="1" customHeight="1">
      <c r="A82" s="614" t="e">
        <f>#REF!</f>
        <v>#REF!</v>
      </c>
      <c r="B82" s="614"/>
      <c r="C82" s="614"/>
      <c r="D82" s="614"/>
      <c r="E82" s="614"/>
      <c r="F82" s="614"/>
      <c r="G82" s="614"/>
      <c r="H82" s="614"/>
      <c r="I82" s="609" t="e">
        <f>#REF!</f>
        <v>#REF!</v>
      </c>
      <c r="J82" s="901"/>
      <c r="K82" s="901"/>
      <c r="L82" s="901"/>
      <c r="M82" s="901"/>
    </row>
    <row r="83" spans="1:100" ht="16.5" hidden="1" customHeight="1">
      <c r="A83" s="610" t="e">
        <f>#REF!</f>
        <v>#REF!</v>
      </c>
      <c r="B83" s="610"/>
      <c r="C83" s="610"/>
      <c r="D83" s="610"/>
      <c r="E83" s="610"/>
      <c r="F83" s="610"/>
      <c r="G83" s="610"/>
      <c r="H83" s="610"/>
      <c r="I83" s="611" t="e">
        <f>#REF!</f>
        <v>#REF!</v>
      </c>
      <c r="J83" s="901" t="e">
        <f>#REF!</f>
        <v>#REF!</v>
      </c>
      <c r="K83" s="901"/>
      <c r="L83" s="901"/>
      <c r="M83" s="901"/>
    </row>
    <row r="84" spans="1:100" ht="16.5" hidden="1" customHeight="1">
      <c r="A84" s="610" t="e">
        <f>#REF!</f>
        <v>#REF!</v>
      </c>
      <c r="B84" s="610"/>
      <c r="C84" s="610"/>
      <c r="D84" s="610"/>
      <c r="E84" s="610"/>
      <c r="F84" s="610"/>
      <c r="G84" s="610"/>
      <c r="H84" s="610"/>
      <c r="I84" s="611" t="e">
        <f>#REF!</f>
        <v>#REF!</v>
      </c>
      <c r="J84" s="901" t="e">
        <f>#REF!</f>
        <v>#REF!</v>
      </c>
      <c r="K84" s="901"/>
      <c r="L84" s="901"/>
      <c r="M84" s="901"/>
    </row>
    <row r="85" spans="1:100" ht="16.5" hidden="1" customHeight="1">
      <c r="A85" s="610" t="e">
        <f>#REF!</f>
        <v>#REF!</v>
      </c>
      <c r="B85" s="610"/>
      <c r="C85" s="610"/>
      <c r="D85" s="610"/>
      <c r="E85" s="610"/>
      <c r="F85" s="610"/>
      <c r="G85" s="610"/>
      <c r="H85" s="610"/>
      <c r="I85" s="611" t="e">
        <f>#REF!</f>
        <v>#REF!</v>
      </c>
      <c r="J85" s="901" t="e">
        <f>#REF!</f>
        <v>#REF!</v>
      </c>
      <c r="K85" s="901"/>
      <c r="L85" s="901"/>
      <c r="M85" s="901"/>
    </row>
    <row r="86" spans="1:100" ht="16.5" hidden="1" customHeight="1">
      <c r="A86" s="610" t="e">
        <f>#REF!</f>
        <v>#REF!</v>
      </c>
      <c r="B86" s="610"/>
      <c r="C86" s="610"/>
      <c r="D86" s="610"/>
      <c r="E86" s="610"/>
      <c r="F86" s="610"/>
      <c r="G86" s="610"/>
      <c r="H86" s="610"/>
      <c r="I86" s="611" t="e">
        <f>#REF!</f>
        <v>#REF!</v>
      </c>
      <c r="J86" s="901" t="e">
        <f>#REF!</f>
        <v>#REF!</v>
      </c>
      <c r="K86" s="901"/>
      <c r="L86" s="901"/>
      <c r="M86" s="901"/>
    </row>
    <row r="87" spans="1:100" ht="16.5" hidden="1" customHeight="1">
      <c r="A87" s="610"/>
      <c r="B87" s="610"/>
      <c r="C87" s="610"/>
      <c r="D87" s="610"/>
      <c r="E87" s="610"/>
      <c r="F87" s="610"/>
      <c r="G87" s="610"/>
      <c r="H87" s="610"/>
      <c r="I87" s="609" t="e">
        <f>#REF!</f>
        <v>#REF!</v>
      </c>
      <c r="J87" s="901" t="e">
        <f>#REF!</f>
        <v>#REF!</v>
      </c>
      <c r="K87" s="901"/>
      <c r="L87" s="901"/>
      <c r="M87" s="901"/>
    </row>
    <row r="88" spans="1:100" ht="20.100000000000001" hidden="1" customHeight="1">
      <c r="A88" s="614" t="e">
        <f>#REF!</f>
        <v>#REF!</v>
      </c>
      <c r="B88" s="614"/>
      <c r="C88" s="614"/>
      <c r="D88" s="614"/>
      <c r="E88" s="614"/>
      <c r="F88" s="614"/>
      <c r="G88" s="614"/>
      <c r="H88" s="614"/>
      <c r="I88" s="609" t="e">
        <f>#REF!</f>
        <v>#REF!</v>
      </c>
      <c r="J88" s="901"/>
      <c r="K88" s="901"/>
      <c r="L88" s="901"/>
      <c r="M88" s="901"/>
    </row>
    <row r="89" spans="1:100" ht="16.5" hidden="1" customHeight="1">
      <c r="A89" s="610" t="e">
        <f>#REF!</f>
        <v>#REF!</v>
      </c>
      <c r="B89" s="610"/>
      <c r="C89" s="610"/>
      <c r="D89" s="610"/>
      <c r="E89" s="610"/>
      <c r="F89" s="610"/>
      <c r="G89" s="610"/>
      <c r="H89" s="610"/>
      <c r="I89" s="611" t="e">
        <f>#REF!</f>
        <v>#REF!</v>
      </c>
      <c r="J89" s="901" t="e">
        <f>#REF!</f>
        <v>#REF!</v>
      </c>
      <c r="K89" s="901"/>
      <c r="L89" s="901"/>
      <c r="M89" s="901"/>
    </row>
    <row r="90" spans="1:100" ht="16.5" hidden="1" customHeight="1">
      <c r="A90" s="610" t="e">
        <f>#REF!</f>
        <v>#REF!</v>
      </c>
      <c r="B90" s="610"/>
      <c r="C90" s="610"/>
      <c r="D90" s="610"/>
      <c r="E90" s="610"/>
      <c r="F90" s="610"/>
      <c r="G90" s="610"/>
      <c r="H90" s="610"/>
      <c r="I90" s="611" t="e">
        <f>#REF!</f>
        <v>#REF!</v>
      </c>
      <c r="J90" s="901" t="e">
        <f>#REF!</f>
        <v>#REF!</v>
      </c>
      <c r="K90" s="901"/>
      <c r="L90" s="901"/>
      <c r="M90" s="901"/>
    </row>
    <row r="91" spans="1:100" ht="20.100000000000001" hidden="1" customHeight="1">
      <c r="A91" s="610" t="e">
        <f>#REF!</f>
        <v>#REF!</v>
      </c>
      <c r="B91" s="610"/>
      <c r="C91" s="610"/>
      <c r="D91" s="610"/>
      <c r="E91" s="610"/>
      <c r="F91" s="610"/>
      <c r="G91" s="610"/>
      <c r="H91" s="610"/>
      <c r="I91" s="611" t="e">
        <f>#REF!</f>
        <v>#REF!</v>
      </c>
      <c r="J91" s="901" t="e">
        <f>#REF!</f>
        <v>#REF!</v>
      </c>
      <c r="K91" s="901"/>
      <c r="L91" s="901"/>
      <c r="M91" s="901"/>
    </row>
    <row r="92" spans="1:100" ht="16.5" hidden="1" customHeight="1">
      <c r="A92" s="610" t="e">
        <f>#REF!</f>
        <v>#REF!</v>
      </c>
      <c r="B92" s="610"/>
      <c r="C92" s="610"/>
      <c r="D92" s="610"/>
      <c r="E92" s="610"/>
      <c r="F92" s="610"/>
      <c r="G92" s="610"/>
      <c r="H92" s="610"/>
      <c r="I92" s="611" t="e">
        <f>#REF!</f>
        <v>#REF!</v>
      </c>
      <c r="J92" s="901" t="e">
        <f>#REF!</f>
        <v>#REF!</v>
      </c>
      <c r="K92" s="901"/>
      <c r="L92" s="901"/>
      <c r="M92" s="901"/>
    </row>
    <row r="93" spans="1:100" s="616" customFormat="1" ht="20.100000000000001" hidden="1" customHeight="1">
      <c r="A93" s="615"/>
      <c r="B93" s="615"/>
      <c r="C93" s="615"/>
      <c r="D93" s="615"/>
      <c r="E93" s="615"/>
      <c r="F93" s="615"/>
      <c r="G93" s="615"/>
      <c r="H93" s="615"/>
      <c r="I93" s="609" t="e">
        <f>#REF!</f>
        <v>#REF!</v>
      </c>
      <c r="J93" s="901" t="e">
        <f>#REF!</f>
        <v>#REF!</v>
      </c>
      <c r="K93" s="901"/>
      <c r="L93" s="901"/>
      <c r="M93" s="901"/>
      <c r="N93" s="544"/>
      <c r="O93" s="544"/>
      <c r="P93" s="544"/>
      <c r="Q93" s="544"/>
      <c r="R93" s="544"/>
      <c r="S93" s="544"/>
      <c r="T93" s="544"/>
      <c r="U93" s="544"/>
      <c r="V93" s="544"/>
      <c r="W93" s="544"/>
      <c r="X93" s="544"/>
      <c r="Y93" s="544"/>
      <c r="Z93" s="544"/>
      <c r="AA93" s="544"/>
      <c r="AB93" s="544"/>
      <c r="AC93" s="544"/>
      <c r="AD93" s="544"/>
      <c r="AE93" s="544"/>
      <c r="AF93" s="544"/>
      <c r="AG93" s="544"/>
      <c r="AH93" s="544"/>
      <c r="AI93" s="544"/>
      <c r="AJ93" s="544"/>
      <c r="AK93" s="544"/>
      <c r="AL93" s="544"/>
      <c r="AM93" s="544"/>
      <c r="AN93" s="544"/>
      <c r="AO93" s="544"/>
      <c r="AP93" s="544"/>
      <c r="AQ93" s="544"/>
      <c r="AR93" s="544"/>
      <c r="AS93" s="544"/>
      <c r="AT93" s="544"/>
      <c r="AU93" s="544"/>
      <c r="AV93" s="544"/>
      <c r="AW93" s="544"/>
      <c r="AX93" s="544"/>
      <c r="AY93" s="544"/>
      <c r="AZ93" s="544"/>
      <c r="BA93" s="544"/>
      <c r="BB93" s="544"/>
      <c r="BC93" s="544"/>
      <c r="BD93" s="544"/>
      <c r="BE93" s="544"/>
      <c r="BF93" s="544"/>
      <c r="BG93" s="544"/>
      <c r="BH93" s="544"/>
      <c r="BI93" s="544"/>
      <c r="BJ93" s="544"/>
      <c r="BK93" s="544"/>
      <c r="BL93" s="544"/>
      <c r="BM93" s="544"/>
      <c r="BN93" s="544"/>
      <c r="BO93" s="544"/>
      <c r="BP93" s="544"/>
      <c r="BQ93" s="544"/>
      <c r="BR93" s="544"/>
      <c r="BS93" s="544"/>
      <c r="BT93" s="544"/>
      <c r="BU93" s="544"/>
      <c r="BV93" s="544"/>
      <c r="BW93" s="544"/>
      <c r="BX93" s="544"/>
      <c r="BY93" s="544"/>
      <c r="BZ93" s="544"/>
      <c r="CA93" s="544"/>
      <c r="CB93" s="544"/>
      <c r="CC93" s="544"/>
      <c r="CD93" s="544"/>
      <c r="CE93" s="544"/>
      <c r="CF93" s="544"/>
      <c r="CG93" s="544"/>
      <c r="CH93" s="544"/>
      <c r="CI93" s="544"/>
      <c r="CJ93" s="544"/>
      <c r="CK93" s="544"/>
      <c r="CL93" s="544"/>
      <c r="CM93" s="544"/>
      <c r="CN93" s="544"/>
      <c r="CO93" s="544"/>
      <c r="CP93" s="544"/>
      <c r="CQ93" s="544"/>
      <c r="CR93" s="544"/>
      <c r="CS93" s="544"/>
      <c r="CT93" s="544"/>
      <c r="CU93" s="544"/>
      <c r="CV93" s="544"/>
    </row>
    <row r="94" spans="1:100" ht="24" hidden="1" customHeight="1">
      <c r="A94" s="614" t="e">
        <f>#REF!</f>
        <v>#REF!</v>
      </c>
      <c r="B94" s="614"/>
      <c r="C94" s="614"/>
      <c r="D94" s="614"/>
      <c r="E94" s="614"/>
      <c r="F94" s="614"/>
      <c r="G94" s="614"/>
      <c r="H94" s="614"/>
      <c r="I94" s="609" t="e">
        <f>#REF!</f>
        <v>#REF!</v>
      </c>
      <c r="J94" s="901"/>
      <c r="K94" s="901"/>
      <c r="L94" s="901"/>
      <c r="M94" s="901"/>
    </row>
    <row r="95" spans="1:100" ht="16.5" hidden="1" customHeight="1">
      <c r="A95" s="610" t="e">
        <f>#REF!</f>
        <v>#REF!</v>
      </c>
      <c r="B95" s="610"/>
      <c r="C95" s="610"/>
      <c r="D95" s="610"/>
      <c r="E95" s="610"/>
      <c r="F95" s="610"/>
      <c r="G95" s="610"/>
      <c r="H95" s="610"/>
      <c r="I95" s="611" t="e">
        <f>#REF!</f>
        <v>#REF!</v>
      </c>
      <c r="J95" s="901" t="e">
        <f>#REF!</f>
        <v>#REF!</v>
      </c>
      <c r="K95" s="901"/>
      <c r="L95" s="901"/>
      <c r="M95" s="901"/>
    </row>
    <row r="96" spans="1:100" ht="16.5" hidden="1" customHeight="1">
      <c r="A96" s="610" t="e">
        <f>#REF!</f>
        <v>#REF!</v>
      </c>
      <c r="B96" s="610"/>
      <c r="C96" s="610"/>
      <c r="D96" s="610"/>
      <c r="E96" s="610"/>
      <c r="F96" s="610"/>
      <c r="G96" s="610"/>
      <c r="H96" s="610"/>
      <c r="I96" s="611" t="e">
        <f>#REF!</f>
        <v>#REF!</v>
      </c>
      <c r="J96" s="901" t="e">
        <f>#REF!</f>
        <v>#REF!</v>
      </c>
      <c r="K96" s="901"/>
      <c r="L96" s="901"/>
      <c r="M96" s="901"/>
    </row>
    <row r="97" spans="1:100" ht="33" hidden="1" customHeight="1">
      <c r="A97" s="610" t="e">
        <f>#REF!</f>
        <v>#REF!</v>
      </c>
      <c r="B97" s="610"/>
      <c r="C97" s="610"/>
      <c r="D97" s="610"/>
      <c r="E97" s="610"/>
      <c r="F97" s="610"/>
      <c r="G97" s="610"/>
      <c r="H97" s="610"/>
      <c r="I97" s="611" t="e">
        <f>#REF!</f>
        <v>#REF!</v>
      </c>
      <c r="J97" s="901" t="e">
        <f>#REF!</f>
        <v>#REF!</v>
      </c>
      <c r="K97" s="901"/>
      <c r="L97" s="901"/>
      <c r="M97" s="901"/>
    </row>
    <row r="98" spans="1:100" s="616" customFormat="1" ht="20.100000000000001" hidden="1" customHeight="1">
      <c r="A98" s="610"/>
      <c r="B98" s="610"/>
      <c r="C98" s="610"/>
      <c r="D98" s="610"/>
      <c r="E98" s="610"/>
      <c r="F98" s="610"/>
      <c r="G98" s="610"/>
      <c r="H98" s="610"/>
      <c r="I98" s="609" t="e">
        <f>#REF!</f>
        <v>#REF!</v>
      </c>
      <c r="J98" s="901" t="e">
        <f>#REF!</f>
        <v>#REF!</v>
      </c>
      <c r="K98" s="901"/>
      <c r="L98" s="901"/>
      <c r="M98" s="901"/>
      <c r="N98" s="544"/>
      <c r="O98" s="544"/>
      <c r="P98" s="544"/>
      <c r="Q98" s="544"/>
      <c r="R98" s="544"/>
      <c r="S98" s="544"/>
      <c r="T98" s="544"/>
      <c r="U98" s="544"/>
      <c r="V98" s="544"/>
      <c r="W98" s="544"/>
      <c r="X98" s="544"/>
      <c r="Y98" s="544"/>
      <c r="Z98" s="544"/>
      <c r="AA98" s="544"/>
      <c r="AB98" s="544"/>
      <c r="AC98" s="544"/>
      <c r="AD98" s="544"/>
      <c r="AE98" s="544"/>
      <c r="AF98" s="544"/>
      <c r="AG98" s="544"/>
      <c r="AH98" s="544"/>
      <c r="AI98" s="544"/>
      <c r="AJ98" s="544"/>
      <c r="AK98" s="544"/>
      <c r="AL98" s="544"/>
      <c r="AM98" s="544"/>
      <c r="AN98" s="544"/>
      <c r="AO98" s="544"/>
      <c r="AP98" s="544"/>
      <c r="AQ98" s="544"/>
      <c r="AR98" s="544"/>
      <c r="AS98" s="544"/>
      <c r="AT98" s="544"/>
      <c r="AU98" s="544"/>
      <c r="AV98" s="544"/>
      <c r="AW98" s="544"/>
      <c r="AX98" s="544"/>
      <c r="AY98" s="544"/>
      <c r="AZ98" s="544"/>
      <c r="BA98" s="544"/>
      <c r="BB98" s="544"/>
      <c r="BC98" s="544"/>
      <c r="BD98" s="544"/>
      <c r="BE98" s="544"/>
      <c r="BF98" s="544"/>
      <c r="BG98" s="544"/>
      <c r="BH98" s="544"/>
      <c r="BI98" s="544"/>
      <c r="BJ98" s="544"/>
      <c r="BK98" s="544"/>
      <c r="BL98" s="544"/>
      <c r="BM98" s="544"/>
      <c r="BN98" s="544"/>
      <c r="BO98" s="544"/>
      <c r="BP98" s="544"/>
      <c r="BQ98" s="544"/>
      <c r="BR98" s="544"/>
      <c r="BS98" s="544"/>
      <c r="BT98" s="544"/>
      <c r="BU98" s="544"/>
      <c r="BV98" s="544"/>
      <c r="BW98" s="544"/>
      <c r="BX98" s="544"/>
      <c r="BY98" s="544"/>
      <c r="BZ98" s="544"/>
      <c r="CA98" s="544"/>
      <c r="CB98" s="544"/>
      <c r="CC98" s="544"/>
      <c r="CD98" s="544"/>
      <c r="CE98" s="544"/>
      <c r="CF98" s="544"/>
      <c r="CG98" s="544"/>
      <c r="CH98" s="544"/>
      <c r="CI98" s="544"/>
      <c r="CJ98" s="544"/>
      <c r="CK98" s="544"/>
      <c r="CL98" s="544"/>
      <c r="CM98" s="544"/>
      <c r="CN98" s="544"/>
      <c r="CO98" s="544"/>
      <c r="CP98" s="544"/>
      <c r="CQ98" s="544"/>
      <c r="CR98" s="544"/>
      <c r="CS98" s="544"/>
      <c r="CT98" s="544"/>
      <c r="CU98" s="544"/>
      <c r="CV98" s="544"/>
    </row>
    <row r="99" spans="1:100" ht="20.100000000000001" hidden="1" customHeight="1">
      <c r="A99" s="614" t="e">
        <f>#REF!</f>
        <v>#REF!</v>
      </c>
      <c r="B99" s="614"/>
      <c r="C99" s="614"/>
      <c r="D99" s="614"/>
      <c r="E99" s="614"/>
      <c r="F99" s="614"/>
      <c r="G99" s="614"/>
      <c r="H99" s="614"/>
      <c r="I99" s="609" t="e">
        <f>#REF!</f>
        <v>#REF!</v>
      </c>
      <c r="J99" s="901"/>
      <c r="K99" s="901"/>
      <c r="L99" s="901"/>
      <c r="M99" s="901"/>
    </row>
    <row r="100" spans="1:100" ht="16.5" hidden="1" customHeight="1">
      <c r="A100" s="610" t="e">
        <f>#REF!</f>
        <v>#REF!</v>
      </c>
      <c r="B100" s="610"/>
      <c r="C100" s="610"/>
      <c r="D100" s="610"/>
      <c r="E100" s="610"/>
      <c r="F100" s="610"/>
      <c r="G100" s="610"/>
      <c r="H100" s="610"/>
      <c r="I100" s="611" t="e">
        <f>#REF!</f>
        <v>#REF!</v>
      </c>
      <c r="J100" s="901" t="e">
        <f>#REF!</f>
        <v>#REF!</v>
      </c>
      <c r="K100" s="901"/>
      <c r="L100" s="901"/>
      <c r="M100" s="901"/>
    </row>
    <row r="101" spans="1:100" ht="16.5" hidden="1" customHeight="1">
      <c r="A101" s="610" t="e">
        <f>#REF!</f>
        <v>#REF!</v>
      </c>
      <c r="B101" s="610"/>
      <c r="C101" s="610"/>
      <c r="D101" s="610"/>
      <c r="E101" s="610"/>
      <c r="F101" s="610"/>
      <c r="G101" s="610"/>
      <c r="H101" s="610"/>
      <c r="I101" s="611" t="e">
        <f>#REF!</f>
        <v>#REF!</v>
      </c>
      <c r="J101" s="901" t="e">
        <f>#REF!</f>
        <v>#REF!</v>
      </c>
      <c r="K101" s="901"/>
      <c r="L101" s="901"/>
      <c r="M101" s="901"/>
    </row>
    <row r="102" spans="1:100" ht="16.5" hidden="1" customHeight="1">
      <c r="A102" s="610" t="e">
        <f>#REF!</f>
        <v>#REF!</v>
      </c>
      <c r="B102" s="610"/>
      <c r="C102" s="610"/>
      <c r="D102" s="610"/>
      <c r="E102" s="610"/>
      <c r="F102" s="610"/>
      <c r="G102" s="610"/>
      <c r="H102" s="610"/>
      <c r="I102" s="611" t="e">
        <f>#REF!</f>
        <v>#REF!</v>
      </c>
      <c r="J102" s="901" t="e">
        <f>#REF!</f>
        <v>#REF!</v>
      </c>
      <c r="K102" s="901"/>
      <c r="L102" s="901"/>
      <c r="M102" s="901"/>
    </row>
    <row r="103" spans="1:100" ht="16.5" hidden="1" customHeight="1">
      <c r="A103" s="610"/>
      <c r="B103" s="610"/>
      <c r="C103" s="610"/>
      <c r="D103" s="610"/>
      <c r="E103" s="610"/>
      <c r="F103" s="610"/>
      <c r="G103" s="610"/>
      <c r="H103" s="610"/>
      <c r="I103" s="609" t="e">
        <f>#REF!</f>
        <v>#REF!</v>
      </c>
      <c r="J103" s="901" t="e">
        <f>#REF!</f>
        <v>#REF!</v>
      </c>
      <c r="K103" s="901"/>
      <c r="L103" s="901"/>
      <c r="M103" s="901"/>
    </row>
    <row r="104" spans="1:100" ht="20.100000000000001" hidden="1" customHeight="1">
      <c r="A104" s="614" t="e">
        <f>#REF!</f>
        <v>#REF!</v>
      </c>
      <c r="B104" s="614"/>
      <c r="C104" s="614"/>
      <c r="D104" s="614"/>
      <c r="E104" s="614"/>
      <c r="F104" s="614"/>
      <c r="G104" s="614"/>
      <c r="H104" s="614"/>
      <c r="I104" s="609" t="e">
        <f>#REF!</f>
        <v>#REF!</v>
      </c>
      <c r="J104" s="901"/>
      <c r="K104" s="901"/>
      <c r="L104" s="901"/>
      <c r="M104" s="901"/>
    </row>
    <row r="105" spans="1:100" ht="16.5" hidden="1" customHeight="1">
      <c r="A105" s="610" t="e">
        <f>#REF!</f>
        <v>#REF!</v>
      </c>
      <c r="B105" s="610"/>
      <c r="C105" s="610"/>
      <c r="D105" s="610"/>
      <c r="E105" s="610"/>
      <c r="F105" s="610"/>
      <c r="G105" s="610"/>
      <c r="H105" s="610"/>
      <c r="I105" s="611" t="e">
        <f>#REF!</f>
        <v>#REF!</v>
      </c>
      <c r="J105" s="901" t="e">
        <f>#REF!</f>
        <v>#REF!</v>
      </c>
      <c r="K105" s="901"/>
      <c r="L105" s="901"/>
      <c r="M105" s="901"/>
    </row>
    <row r="106" spans="1:100" ht="16.5" hidden="1" customHeight="1">
      <c r="A106" s="610" t="e">
        <f>#REF!</f>
        <v>#REF!</v>
      </c>
      <c r="B106" s="610"/>
      <c r="C106" s="610"/>
      <c r="D106" s="610"/>
      <c r="E106" s="610"/>
      <c r="F106" s="610"/>
      <c r="G106" s="610"/>
      <c r="H106" s="610"/>
      <c r="I106" s="611" t="e">
        <f>#REF!</f>
        <v>#REF!</v>
      </c>
      <c r="J106" s="901" t="e">
        <f>#REF!</f>
        <v>#REF!</v>
      </c>
      <c r="K106" s="901"/>
      <c r="L106" s="901"/>
      <c r="M106" s="901"/>
    </row>
    <row r="107" spans="1:100" ht="16.5" hidden="1" customHeight="1">
      <c r="A107" s="610" t="e">
        <f>#REF!</f>
        <v>#REF!</v>
      </c>
      <c r="B107" s="610"/>
      <c r="C107" s="610"/>
      <c r="D107" s="610"/>
      <c r="E107" s="610"/>
      <c r="F107" s="610"/>
      <c r="G107" s="610"/>
      <c r="H107" s="610"/>
      <c r="I107" s="611" t="e">
        <f>#REF!</f>
        <v>#REF!</v>
      </c>
      <c r="J107" s="901" t="e">
        <f>#REF!</f>
        <v>#REF!</v>
      </c>
      <c r="K107" s="901"/>
      <c r="L107" s="901"/>
      <c r="M107" s="901"/>
    </row>
    <row r="108" spans="1:100" ht="16.5" hidden="1" customHeight="1">
      <c r="A108" s="610" t="e">
        <f>#REF!</f>
        <v>#REF!</v>
      </c>
      <c r="B108" s="610"/>
      <c r="C108" s="610"/>
      <c r="D108" s="610"/>
      <c r="E108" s="610"/>
      <c r="F108" s="610"/>
      <c r="G108" s="610"/>
      <c r="H108" s="610"/>
      <c r="I108" s="611" t="e">
        <f>#REF!</f>
        <v>#REF!</v>
      </c>
      <c r="J108" s="901" t="e">
        <f>#REF!</f>
        <v>#REF!</v>
      </c>
      <c r="K108" s="901"/>
      <c r="L108" s="901"/>
      <c r="M108" s="901"/>
    </row>
    <row r="109" spans="1:100" s="616" customFormat="1" ht="20.100000000000001" hidden="1" customHeight="1">
      <c r="A109" s="610"/>
      <c r="B109" s="610"/>
      <c r="C109" s="610"/>
      <c r="D109" s="610"/>
      <c r="E109" s="610"/>
      <c r="F109" s="610"/>
      <c r="G109" s="610"/>
      <c r="H109" s="610"/>
      <c r="I109" s="609" t="e">
        <f>#REF!</f>
        <v>#REF!</v>
      </c>
      <c r="J109" s="901" t="e">
        <f>#REF!</f>
        <v>#REF!</v>
      </c>
      <c r="K109" s="901"/>
      <c r="L109" s="901"/>
      <c r="M109" s="901"/>
      <c r="N109" s="544"/>
      <c r="O109" s="544"/>
      <c r="P109" s="544"/>
      <c r="Q109" s="544"/>
      <c r="R109" s="544"/>
      <c r="S109" s="544"/>
      <c r="T109" s="544"/>
      <c r="U109" s="544"/>
      <c r="V109" s="544"/>
      <c r="W109" s="544"/>
      <c r="X109" s="544"/>
      <c r="Y109" s="544"/>
      <c r="Z109" s="544"/>
      <c r="AA109" s="544"/>
      <c r="AB109" s="544"/>
      <c r="AC109" s="544"/>
      <c r="AD109" s="544"/>
      <c r="AE109" s="544"/>
      <c r="AF109" s="544"/>
      <c r="AG109" s="544"/>
      <c r="AH109" s="544"/>
      <c r="AI109" s="544"/>
      <c r="AJ109" s="544"/>
      <c r="AK109" s="544"/>
      <c r="AL109" s="544"/>
      <c r="AM109" s="544"/>
      <c r="AN109" s="544"/>
      <c r="AO109" s="544"/>
      <c r="AP109" s="544"/>
      <c r="AQ109" s="544"/>
      <c r="AR109" s="544"/>
      <c r="AS109" s="544"/>
      <c r="AT109" s="544"/>
      <c r="AU109" s="544"/>
      <c r="AV109" s="544"/>
      <c r="AW109" s="544"/>
      <c r="AX109" s="544"/>
      <c r="AY109" s="544"/>
      <c r="AZ109" s="544"/>
      <c r="BA109" s="544"/>
      <c r="BB109" s="544"/>
      <c r="BC109" s="544"/>
      <c r="BD109" s="544"/>
      <c r="BE109" s="544"/>
      <c r="BF109" s="544"/>
      <c r="BG109" s="544"/>
      <c r="BH109" s="544"/>
      <c r="BI109" s="544"/>
      <c r="BJ109" s="544"/>
      <c r="BK109" s="544"/>
      <c r="BL109" s="544"/>
      <c r="BM109" s="544"/>
      <c r="BN109" s="544"/>
      <c r="BO109" s="544"/>
      <c r="BP109" s="544"/>
      <c r="BQ109" s="544"/>
      <c r="BR109" s="544"/>
      <c r="BS109" s="544"/>
      <c r="BT109" s="544"/>
      <c r="BU109" s="544"/>
      <c r="BV109" s="544"/>
      <c r="BW109" s="544"/>
      <c r="BX109" s="544"/>
      <c r="BY109" s="544"/>
      <c r="BZ109" s="544"/>
      <c r="CA109" s="544"/>
      <c r="CB109" s="544"/>
      <c r="CC109" s="544"/>
      <c r="CD109" s="544"/>
      <c r="CE109" s="544"/>
      <c r="CF109" s="544"/>
      <c r="CG109" s="544"/>
      <c r="CH109" s="544"/>
      <c r="CI109" s="544"/>
      <c r="CJ109" s="544"/>
      <c r="CK109" s="544"/>
      <c r="CL109" s="544"/>
      <c r="CM109" s="544"/>
      <c r="CN109" s="544"/>
      <c r="CO109" s="544"/>
      <c r="CP109" s="544"/>
      <c r="CQ109" s="544"/>
      <c r="CR109" s="544"/>
      <c r="CS109" s="544"/>
      <c r="CT109" s="544"/>
      <c r="CU109" s="544"/>
      <c r="CV109" s="544"/>
    </row>
    <row r="110" spans="1:100" ht="20.100000000000001" hidden="1" customHeight="1">
      <c r="A110" s="617"/>
      <c r="B110" s="617"/>
      <c r="C110" s="617"/>
      <c r="D110" s="617"/>
      <c r="E110" s="617"/>
      <c r="F110" s="617"/>
      <c r="G110" s="617"/>
      <c r="H110" s="617"/>
      <c r="I110" s="609" t="e">
        <f>#REF!</f>
        <v>#REF!</v>
      </c>
      <c r="J110" s="901" t="e">
        <f>#REF!</f>
        <v>#REF!</v>
      </c>
      <c r="K110" s="901"/>
      <c r="L110" s="901"/>
      <c r="M110" s="901"/>
    </row>
    <row r="111" spans="1:100" ht="16.5" hidden="1" customHeight="1">
      <c r="A111" s="617"/>
      <c r="B111" s="617"/>
      <c r="C111" s="617"/>
      <c r="D111" s="617"/>
      <c r="E111" s="617"/>
      <c r="F111" s="617"/>
      <c r="G111" s="617"/>
      <c r="H111" s="617"/>
      <c r="I111" s="609"/>
      <c r="J111" s="901"/>
      <c r="K111" s="901"/>
      <c r="L111" s="901"/>
      <c r="M111" s="901"/>
    </row>
    <row r="112" spans="1:100" ht="20.100000000000001" hidden="1" customHeight="1">
      <c r="A112" s="613" t="e">
        <f>#REF!</f>
        <v>#REF!</v>
      </c>
      <c r="B112" s="613"/>
      <c r="C112" s="613"/>
      <c r="D112" s="613"/>
      <c r="E112" s="613"/>
      <c r="F112" s="613"/>
      <c r="G112" s="613"/>
      <c r="H112" s="613"/>
      <c r="I112" s="609" t="e">
        <f>#REF!</f>
        <v>#REF!</v>
      </c>
      <c r="J112" s="901"/>
      <c r="K112" s="901"/>
      <c r="L112" s="901"/>
      <c r="M112" s="901"/>
    </row>
    <row r="113" spans="1:13" ht="30" hidden="1" customHeight="1">
      <c r="A113" s="614" t="e">
        <f>#REF!</f>
        <v>#REF!</v>
      </c>
      <c r="B113" s="614"/>
      <c r="C113" s="614"/>
      <c r="D113" s="614"/>
      <c r="E113" s="614"/>
      <c r="F113" s="614"/>
      <c r="G113" s="614"/>
      <c r="H113" s="614"/>
      <c r="I113" s="609" t="e">
        <f>#REF!</f>
        <v>#REF!</v>
      </c>
      <c r="J113" s="901"/>
      <c r="K113" s="901"/>
      <c r="L113" s="901"/>
      <c r="M113" s="901"/>
    </row>
    <row r="114" spans="1:13" ht="16.5" hidden="1" customHeight="1">
      <c r="A114" s="610" t="e">
        <f>#REF!</f>
        <v>#REF!</v>
      </c>
      <c r="B114" s="610"/>
      <c r="C114" s="610"/>
      <c r="D114" s="610"/>
      <c r="E114" s="610"/>
      <c r="F114" s="610"/>
      <c r="G114" s="610"/>
      <c r="H114" s="610"/>
      <c r="I114" s="611" t="e">
        <f>#REF!</f>
        <v>#REF!</v>
      </c>
      <c r="J114" s="901" t="e">
        <f>#REF!</f>
        <v>#REF!</v>
      </c>
      <c r="K114" s="901"/>
      <c r="L114" s="901"/>
      <c r="M114" s="901"/>
    </row>
    <row r="115" spans="1:13" ht="16.5" hidden="1" customHeight="1">
      <c r="A115" s="610" t="e">
        <f>#REF!</f>
        <v>#REF!</v>
      </c>
      <c r="B115" s="610"/>
      <c r="C115" s="610"/>
      <c r="D115" s="610"/>
      <c r="E115" s="610"/>
      <c r="F115" s="610"/>
      <c r="G115" s="610"/>
      <c r="H115" s="610"/>
      <c r="I115" s="611" t="e">
        <f>#REF!</f>
        <v>#REF!</v>
      </c>
      <c r="J115" s="901" t="e">
        <f>#REF!</f>
        <v>#REF!</v>
      </c>
      <c r="K115" s="901"/>
      <c r="L115" s="901"/>
      <c r="M115" s="901"/>
    </row>
    <row r="116" spans="1:13" ht="16.5" hidden="1" customHeight="1">
      <c r="A116" s="610" t="e">
        <f>#REF!</f>
        <v>#REF!</v>
      </c>
      <c r="B116" s="610"/>
      <c r="C116" s="610"/>
      <c r="D116" s="610"/>
      <c r="E116" s="610"/>
      <c r="F116" s="610"/>
      <c r="G116" s="610"/>
      <c r="H116" s="610"/>
      <c r="I116" s="611" t="e">
        <f>#REF!</f>
        <v>#REF!</v>
      </c>
      <c r="J116" s="901" t="e">
        <f>#REF!</f>
        <v>#REF!</v>
      </c>
      <c r="K116" s="901"/>
      <c r="L116" s="901"/>
      <c r="M116" s="901"/>
    </row>
    <row r="117" spans="1:13" ht="20.100000000000001" hidden="1" customHeight="1">
      <c r="A117" s="618"/>
      <c r="B117" s="618"/>
      <c r="C117" s="618"/>
      <c r="D117" s="618"/>
      <c r="E117" s="618"/>
      <c r="F117" s="618"/>
      <c r="G117" s="618"/>
      <c r="H117" s="618"/>
      <c r="I117" s="609" t="e">
        <f>#REF!</f>
        <v>#REF!</v>
      </c>
      <c r="J117" s="901" t="e">
        <f>#REF!</f>
        <v>#REF!</v>
      </c>
      <c r="K117" s="901"/>
      <c r="L117" s="901"/>
      <c r="M117" s="901"/>
    </row>
    <row r="118" spans="1:13" ht="20.100000000000001" hidden="1" customHeight="1">
      <c r="A118" s="617"/>
      <c r="B118" s="617"/>
      <c r="C118" s="617"/>
      <c r="D118" s="617"/>
      <c r="E118" s="617"/>
      <c r="F118" s="617"/>
      <c r="G118" s="617"/>
      <c r="H118" s="617"/>
      <c r="I118" s="609" t="e">
        <f>#REF!</f>
        <v>#REF!</v>
      </c>
      <c r="J118" s="901" t="e">
        <f>#REF!</f>
        <v>#REF!</v>
      </c>
      <c r="K118" s="901"/>
      <c r="L118" s="901"/>
      <c r="M118" s="901"/>
    </row>
    <row r="119" spans="1:13" ht="20.100000000000001" hidden="1" customHeight="1">
      <c r="A119" s="608" t="e">
        <f>#REF!</f>
        <v>#REF!</v>
      </c>
      <c r="B119" s="608"/>
      <c r="C119" s="608"/>
      <c r="D119" s="608"/>
      <c r="E119" s="608"/>
      <c r="F119" s="608"/>
      <c r="G119" s="608"/>
      <c r="H119" s="608"/>
      <c r="I119" s="609" t="e">
        <f>#REF!</f>
        <v>#REF!</v>
      </c>
      <c r="J119" s="901"/>
      <c r="K119" s="901"/>
      <c r="L119" s="901"/>
      <c r="M119" s="901"/>
    </row>
    <row r="120" spans="1:13" ht="30" hidden="1" customHeight="1">
      <c r="A120" s="613" t="e">
        <f>#REF!</f>
        <v>#REF!</v>
      </c>
      <c r="B120" s="613"/>
      <c r="C120" s="613"/>
      <c r="D120" s="613"/>
      <c r="E120" s="613"/>
      <c r="F120" s="613"/>
      <c r="G120" s="613"/>
      <c r="H120" s="613"/>
      <c r="I120" s="609" t="e">
        <f>#REF!</f>
        <v>#REF!</v>
      </c>
      <c r="J120" s="901"/>
      <c r="K120" s="901"/>
      <c r="L120" s="901"/>
      <c r="M120" s="901"/>
    </row>
    <row r="121" spans="1:13" ht="20.100000000000001" hidden="1" customHeight="1">
      <c r="A121" s="610" t="e">
        <f>#REF!</f>
        <v>#REF!</v>
      </c>
      <c r="B121" s="610"/>
      <c r="C121" s="610"/>
      <c r="D121" s="610"/>
      <c r="E121" s="610"/>
      <c r="F121" s="610"/>
      <c r="G121" s="610"/>
      <c r="H121" s="610"/>
      <c r="I121" s="611" t="e">
        <f>#REF!</f>
        <v>#REF!</v>
      </c>
      <c r="J121" s="901" t="e">
        <f>#REF!</f>
        <v>#REF!</v>
      </c>
      <c r="K121" s="901"/>
      <c r="L121" s="901"/>
      <c r="M121" s="901"/>
    </row>
    <row r="122" spans="1:13" ht="20.100000000000001" hidden="1" customHeight="1">
      <c r="A122" s="610" t="e">
        <f>#REF!</f>
        <v>#REF!</v>
      </c>
      <c r="B122" s="610"/>
      <c r="C122" s="610"/>
      <c r="D122" s="610"/>
      <c r="E122" s="610"/>
      <c r="F122" s="610"/>
      <c r="G122" s="610"/>
      <c r="H122" s="610"/>
      <c r="I122" s="611" t="e">
        <f>#REF!</f>
        <v>#REF!</v>
      </c>
      <c r="J122" s="901" t="e">
        <f>#REF!</f>
        <v>#REF!</v>
      </c>
      <c r="K122" s="901"/>
      <c r="L122" s="901"/>
      <c r="M122" s="901"/>
    </row>
    <row r="123" spans="1:13" ht="20.100000000000001" hidden="1" customHeight="1">
      <c r="A123" s="610" t="e">
        <f>#REF!</f>
        <v>#REF!</v>
      </c>
      <c r="B123" s="610"/>
      <c r="C123" s="610"/>
      <c r="D123" s="610"/>
      <c r="E123" s="610"/>
      <c r="F123" s="610"/>
      <c r="G123" s="610"/>
      <c r="H123" s="610"/>
      <c r="I123" s="611" t="e">
        <f>#REF!</f>
        <v>#REF!</v>
      </c>
      <c r="J123" s="901" t="e">
        <f>#REF!</f>
        <v>#REF!</v>
      </c>
      <c r="K123" s="901"/>
      <c r="L123" s="901"/>
      <c r="M123" s="901"/>
    </row>
    <row r="124" spans="1:13" ht="20.100000000000001" hidden="1" customHeight="1">
      <c r="A124" s="610" t="e">
        <f>#REF!</f>
        <v>#REF!</v>
      </c>
      <c r="B124" s="610"/>
      <c r="C124" s="610"/>
      <c r="D124" s="610"/>
      <c r="E124" s="610"/>
      <c r="F124" s="610"/>
      <c r="G124" s="610"/>
      <c r="H124" s="610"/>
      <c r="I124" s="611" t="e">
        <f>#REF!</f>
        <v>#REF!</v>
      </c>
      <c r="J124" s="901" t="e">
        <f>#REF!</f>
        <v>#REF!</v>
      </c>
      <c r="K124" s="901"/>
      <c r="L124" s="901"/>
      <c r="M124" s="901"/>
    </row>
    <row r="125" spans="1:13" ht="20.100000000000001" hidden="1" customHeight="1">
      <c r="A125" s="610" t="e">
        <f>#REF!</f>
        <v>#REF!</v>
      </c>
      <c r="B125" s="610"/>
      <c r="C125" s="610"/>
      <c r="D125" s="610"/>
      <c r="E125" s="610"/>
      <c r="F125" s="610"/>
      <c r="G125" s="610"/>
      <c r="H125" s="610"/>
      <c r="I125" s="611" t="e">
        <f>#REF!</f>
        <v>#REF!</v>
      </c>
      <c r="J125" s="901" t="e">
        <f>#REF!</f>
        <v>#REF!</v>
      </c>
      <c r="K125" s="901"/>
      <c r="L125" s="901"/>
      <c r="M125" s="901"/>
    </row>
    <row r="126" spans="1:13" ht="20.100000000000001" hidden="1" customHeight="1">
      <c r="A126" s="612"/>
      <c r="B126" s="612"/>
      <c r="C126" s="612"/>
      <c r="D126" s="612"/>
      <c r="E126" s="612"/>
      <c r="F126" s="612"/>
      <c r="G126" s="612"/>
      <c r="H126" s="612"/>
      <c r="I126" s="609" t="e">
        <f>#REF!</f>
        <v>#REF!</v>
      </c>
      <c r="J126" s="901" t="e">
        <f>#REF!</f>
        <v>#REF!</v>
      </c>
      <c r="K126" s="901"/>
      <c r="L126" s="901"/>
      <c r="M126" s="901"/>
    </row>
    <row r="127" spans="1:13" ht="20.100000000000001" hidden="1" customHeight="1">
      <c r="A127" s="613" t="e">
        <f>#REF!</f>
        <v>#REF!</v>
      </c>
      <c r="B127" s="613"/>
      <c r="C127" s="613"/>
      <c r="D127" s="613"/>
      <c r="E127" s="613"/>
      <c r="F127" s="613"/>
      <c r="G127" s="613"/>
      <c r="H127" s="613"/>
      <c r="I127" s="609" t="e">
        <f>#REF!</f>
        <v>#REF!</v>
      </c>
      <c r="J127" s="901"/>
      <c r="K127" s="901"/>
      <c r="L127" s="901"/>
      <c r="M127" s="901"/>
    </row>
    <row r="128" spans="1:13" ht="20.100000000000001" hidden="1" customHeight="1">
      <c r="A128" s="610" t="e">
        <f>#REF!</f>
        <v>#REF!</v>
      </c>
      <c r="B128" s="610"/>
      <c r="C128" s="610"/>
      <c r="D128" s="610"/>
      <c r="E128" s="610"/>
      <c r="F128" s="610"/>
      <c r="G128" s="610"/>
      <c r="H128" s="610"/>
      <c r="I128" s="619" t="e">
        <f>#REF!</f>
        <v>#REF!</v>
      </c>
      <c r="J128" s="901" t="e">
        <f>#REF!</f>
        <v>#REF!</v>
      </c>
      <c r="K128" s="901"/>
      <c r="L128" s="901"/>
      <c r="M128" s="901"/>
    </row>
    <row r="129" spans="1:13" ht="20.100000000000001" hidden="1" customHeight="1">
      <c r="A129" s="610" t="e">
        <f>#REF!</f>
        <v>#REF!</v>
      </c>
      <c r="B129" s="610"/>
      <c r="C129" s="610"/>
      <c r="D129" s="610"/>
      <c r="E129" s="610"/>
      <c r="F129" s="610"/>
      <c r="G129" s="610"/>
      <c r="H129" s="610"/>
      <c r="I129" s="619" t="e">
        <f>#REF!</f>
        <v>#REF!</v>
      </c>
      <c r="J129" s="901" t="e">
        <f>#REF!</f>
        <v>#REF!</v>
      </c>
      <c r="K129" s="901"/>
      <c r="L129" s="901"/>
      <c r="M129" s="901"/>
    </row>
    <row r="130" spans="1:13" ht="20.100000000000001" hidden="1" customHeight="1">
      <c r="A130" s="610" t="e">
        <f>#REF!</f>
        <v>#REF!</v>
      </c>
      <c r="B130" s="610"/>
      <c r="C130" s="610"/>
      <c r="D130" s="610"/>
      <c r="E130" s="610"/>
      <c r="F130" s="610"/>
      <c r="G130" s="610"/>
      <c r="H130" s="610"/>
      <c r="I130" s="619" t="e">
        <f>#REF!</f>
        <v>#REF!</v>
      </c>
      <c r="J130" s="901" t="e">
        <f>#REF!</f>
        <v>#REF!</v>
      </c>
      <c r="K130" s="901"/>
      <c r="L130" s="901"/>
      <c r="M130" s="901"/>
    </row>
    <row r="131" spans="1:13" ht="20.100000000000001" hidden="1" customHeight="1">
      <c r="A131" s="610" t="e">
        <f>#REF!</f>
        <v>#REF!</v>
      </c>
      <c r="B131" s="610"/>
      <c r="C131" s="610"/>
      <c r="D131" s="610"/>
      <c r="E131" s="610"/>
      <c r="F131" s="610"/>
      <c r="G131" s="610"/>
      <c r="H131" s="610"/>
      <c r="I131" s="619" t="e">
        <f>#REF!</f>
        <v>#REF!</v>
      </c>
      <c r="J131" s="901" t="e">
        <f>#REF!</f>
        <v>#REF!</v>
      </c>
      <c r="K131" s="901"/>
      <c r="L131" s="901"/>
      <c r="M131" s="901"/>
    </row>
    <row r="132" spans="1:13" ht="20.100000000000001" hidden="1" customHeight="1">
      <c r="A132" s="610" t="e">
        <f>#REF!</f>
        <v>#REF!</v>
      </c>
      <c r="B132" s="610"/>
      <c r="C132" s="610"/>
      <c r="D132" s="610"/>
      <c r="E132" s="610"/>
      <c r="F132" s="610"/>
      <c r="G132" s="610"/>
      <c r="H132" s="610"/>
      <c r="I132" s="619" t="e">
        <f>#REF!</f>
        <v>#REF!</v>
      </c>
      <c r="J132" s="901" t="e">
        <f>#REF!</f>
        <v>#REF!</v>
      </c>
      <c r="K132" s="901"/>
      <c r="L132" s="901"/>
      <c r="M132" s="901"/>
    </row>
    <row r="133" spans="1:13" ht="20.100000000000001" hidden="1" customHeight="1">
      <c r="A133" s="610" t="e">
        <f>#REF!</f>
        <v>#REF!</v>
      </c>
      <c r="B133" s="610"/>
      <c r="C133" s="610"/>
      <c r="D133" s="610"/>
      <c r="E133" s="610"/>
      <c r="F133" s="610"/>
      <c r="G133" s="610"/>
      <c r="H133" s="610"/>
      <c r="I133" s="619" t="e">
        <f>#REF!</f>
        <v>#REF!</v>
      </c>
      <c r="J133" s="901" t="e">
        <f>#REF!</f>
        <v>#REF!</v>
      </c>
      <c r="K133" s="901"/>
      <c r="L133" s="901"/>
      <c r="M133" s="901"/>
    </row>
    <row r="134" spans="1:13" ht="20.100000000000001" hidden="1" customHeight="1">
      <c r="A134" s="620"/>
      <c r="B134" s="620"/>
      <c r="C134" s="620"/>
      <c r="D134" s="620"/>
      <c r="E134" s="620"/>
      <c r="F134" s="620"/>
      <c r="G134" s="620"/>
      <c r="H134" s="620"/>
      <c r="I134" s="609" t="e">
        <f>#REF!</f>
        <v>#REF!</v>
      </c>
      <c r="J134" s="901" t="e">
        <f>#REF!</f>
        <v>#REF!</v>
      </c>
      <c r="K134" s="901"/>
      <c r="L134" s="901"/>
      <c r="M134" s="901"/>
    </row>
    <row r="135" spans="1:13" ht="35.25" hidden="1" customHeight="1">
      <c r="A135" s="613" t="e">
        <f>#REF!</f>
        <v>#REF!</v>
      </c>
      <c r="B135" s="613"/>
      <c r="C135" s="613"/>
      <c r="D135" s="613"/>
      <c r="E135" s="613"/>
      <c r="F135" s="613"/>
      <c r="G135" s="613"/>
      <c r="H135" s="613"/>
      <c r="I135" s="609" t="e">
        <f>#REF!</f>
        <v>#REF!</v>
      </c>
      <c r="J135" s="901"/>
      <c r="K135" s="901"/>
      <c r="L135" s="901"/>
      <c r="M135" s="901"/>
    </row>
    <row r="136" spans="1:13" ht="19.5" hidden="1" customHeight="1">
      <c r="A136" s="610" t="e">
        <f>#REF!</f>
        <v>#REF!</v>
      </c>
      <c r="B136" s="610"/>
      <c r="C136" s="610"/>
      <c r="D136" s="610"/>
      <c r="E136" s="610"/>
      <c r="F136" s="610"/>
      <c r="G136" s="610"/>
      <c r="H136" s="610"/>
      <c r="I136" s="619" t="e">
        <f>#REF!</f>
        <v>#REF!</v>
      </c>
      <c r="J136" s="901" t="e">
        <f>#REF!</f>
        <v>#REF!</v>
      </c>
      <c r="K136" s="901"/>
      <c r="L136" s="901"/>
      <c r="M136" s="901"/>
    </row>
    <row r="137" spans="1:13" ht="19.5" hidden="1" customHeight="1">
      <c r="A137" s="610" t="e">
        <f>#REF!</f>
        <v>#REF!</v>
      </c>
      <c r="B137" s="610"/>
      <c r="C137" s="610"/>
      <c r="D137" s="610"/>
      <c r="E137" s="610"/>
      <c r="F137" s="610"/>
      <c r="G137" s="610"/>
      <c r="H137" s="610"/>
      <c r="I137" s="619" t="e">
        <f>#REF!</f>
        <v>#REF!</v>
      </c>
      <c r="J137" s="901" t="e">
        <f>#REF!</f>
        <v>#REF!</v>
      </c>
      <c r="K137" s="901"/>
      <c r="L137" s="901"/>
      <c r="M137" s="901"/>
    </row>
    <row r="138" spans="1:13" ht="19.5" hidden="1" customHeight="1">
      <c r="A138" s="610" t="e">
        <f>#REF!</f>
        <v>#REF!</v>
      </c>
      <c r="B138" s="610"/>
      <c r="C138" s="610"/>
      <c r="D138" s="610"/>
      <c r="E138" s="610"/>
      <c r="F138" s="610"/>
      <c r="G138" s="610"/>
      <c r="H138" s="610"/>
      <c r="I138" s="619" t="e">
        <f>#REF!</f>
        <v>#REF!</v>
      </c>
      <c r="J138" s="901" t="e">
        <f>#REF!</f>
        <v>#REF!</v>
      </c>
      <c r="K138" s="901"/>
      <c r="L138" s="901"/>
      <c r="M138" s="901"/>
    </row>
    <row r="139" spans="1:13" ht="19.5" hidden="1" customHeight="1">
      <c r="A139" s="610" t="e">
        <f>#REF!</f>
        <v>#REF!</v>
      </c>
      <c r="B139" s="610"/>
      <c r="C139" s="610"/>
      <c r="D139" s="610"/>
      <c r="E139" s="610"/>
      <c r="F139" s="610"/>
      <c r="G139" s="610"/>
      <c r="H139" s="610"/>
      <c r="I139" s="619" t="e">
        <f>#REF!</f>
        <v>#REF!</v>
      </c>
      <c r="J139" s="901" t="e">
        <f>#REF!</f>
        <v>#REF!</v>
      </c>
      <c r="K139" s="901"/>
      <c r="L139" s="901"/>
      <c r="M139" s="901"/>
    </row>
    <row r="140" spans="1:13" ht="33" hidden="1" customHeight="1">
      <c r="A140" s="610" t="e">
        <f>#REF!</f>
        <v>#REF!</v>
      </c>
      <c r="B140" s="610"/>
      <c r="C140" s="610"/>
      <c r="D140" s="610"/>
      <c r="E140" s="610"/>
      <c r="F140" s="610"/>
      <c r="G140" s="610"/>
      <c r="H140" s="610"/>
      <c r="I140" s="619" t="e">
        <f>#REF!</f>
        <v>#REF!</v>
      </c>
      <c r="J140" s="901" t="e">
        <f>#REF!</f>
        <v>#REF!</v>
      </c>
      <c r="K140" s="901"/>
      <c r="L140" s="901"/>
      <c r="M140" s="901"/>
    </row>
    <row r="141" spans="1:13" ht="19.5" hidden="1" customHeight="1">
      <c r="A141" s="610" t="e">
        <f>#REF!</f>
        <v>#REF!</v>
      </c>
      <c r="B141" s="610"/>
      <c r="C141" s="610"/>
      <c r="D141" s="610"/>
      <c r="E141" s="610"/>
      <c r="F141" s="610"/>
      <c r="G141" s="610"/>
      <c r="H141" s="610"/>
      <c r="I141" s="619" t="e">
        <f>#REF!</f>
        <v>#REF!</v>
      </c>
      <c r="J141" s="901" t="e">
        <f>#REF!</f>
        <v>#REF!</v>
      </c>
      <c r="K141" s="901"/>
      <c r="L141" s="901"/>
      <c r="M141" s="901"/>
    </row>
    <row r="142" spans="1:13" ht="19.5" hidden="1" customHeight="1">
      <c r="A142" s="610" t="e">
        <f>#REF!</f>
        <v>#REF!</v>
      </c>
      <c r="B142" s="610"/>
      <c r="C142" s="610"/>
      <c r="D142" s="610"/>
      <c r="E142" s="610"/>
      <c r="F142" s="610"/>
      <c r="G142" s="610"/>
      <c r="H142" s="610"/>
      <c r="I142" s="619" t="e">
        <f>#REF!</f>
        <v>#REF!</v>
      </c>
      <c r="J142" s="901" t="e">
        <f>#REF!</f>
        <v>#REF!</v>
      </c>
      <c r="K142" s="901"/>
      <c r="L142" s="901"/>
      <c r="M142" s="901"/>
    </row>
    <row r="143" spans="1:13" ht="19.5" hidden="1" customHeight="1">
      <c r="A143" s="610" t="e">
        <f>#REF!</f>
        <v>#REF!</v>
      </c>
      <c r="B143" s="610"/>
      <c r="C143" s="610"/>
      <c r="D143" s="610"/>
      <c r="E143" s="610"/>
      <c r="F143" s="610"/>
      <c r="G143" s="610"/>
      <c r="H143" s="610"/>
      <c r="I143" s="619" t="e">
        <f>#REF!</f>
        <v>#REF!</v>
      </c>
      <c r="J143" s="901" t="e">
        <f>#REF!</f>
        <v>#REF!</v>
      </c>
      <c r="K143" s="901"/>
      <c r="L143" s="901"/>
      <c r="M143" s="901"/>
    </row>
    <row r="144" spans="1:13" ht="19.5" hidden="1" customHeight="1">
      <c r="A144" s="610" t="e">
        <f>#REF!</f>
        <v>#REF!</v>
      </c>
      <c r="B144" s="610"/>
      <c r="C144" s="610"/>
      <c r="D144" s="610"/>
      <c r="E144" s="610"/>
      <c r="F144" s="610"/>
      <c r="G144" s="610"/>
      <c r="H144" s="610"/>
      <c r="I144" s="619" t="e">
        <f>#REF!</f>
        <v>#REF!</v>
      </c>
      <c r="J144" s="901" t="e">
        <f>#REF!</f>
        <v>#REF!</v>
      </c>
      <c r="K144" s="901"/>
      <c r="L144" s="901"/>
      <c r="M144" s="901"/>
    </row>
    <row r="145" spans="1:13" ht="19.5" hidden="1" customHeight="1">
      <c r="A145" s="620"/>
      <c r="B145" s="620"/>
      <c r="C145" s="620"/>
      <c r="D145" s="620"/>
      <c r="E145" s="620"/>
      <c r="F145" s="620"/>
      <c r="G145" s="620"/>
      <c r="H145" s="620"/>
      <c r="I145" s="609" t="e">
        <f>#REF!</f>
        <v>#REF!</v>
      </c>
      <c r="J145" s="901" t="e">
        <f>#REF!</f>
        <v>#REF!</v>
      </c>
      <c r="K145" s="901"/>
      <c r="L145" s="901"/>
      <c r="M145" s="901"/>
    </row>
    <row r="146" spans="1:13" ht="19.5" hidden="1" customHeight="1">
      <c r="A146" s="613" t="e">
        <f>#REF!</f>
        <v>#REF!</v>
      </c>
      <c r="B146" s="613"/>
      <c r="C146" s="613"/>
      <c r="D146" s="613"/>
      <c r="E146" s="613"/>
      <c r="F146" s="613"/>
      <c r="G146" s="613"/>
      <c r="H146" s="613"/>
      <c r="I146" s="609" t="e">
        <f>#REF!</f>
        <v>#REF!</v>
      </c>
      <c r="J146" s="901"/>
      <c r="K146" s="901"/>
      <c r="L146" s="901"/>
      <c r="M146" s="901"/>
    </row>
    <row r="147" spans="1:13" ht="19.5" hidden="1" customHeight="1">
      <c r="A147" s="610" t="e">
        <f>#REF!</f>
        <v>#REF!</v>
      </c>
      <c r="B147" s="610"/>
      <c r="C147" s="610"/>
      <c r="D147" s="610"/>
      <c r="E147" s="610"/>
      <c r="F147" s="610"/>
      <c r="G147" s="610"/>
      <c r="H147" s="610"/>
      <c r="I147" s="611" t="e">
        <f>#REF!</f>
        <v>#REF!</v>
      </c>
      <c r="J147" s="901" t="e">
        <f>#REF!</f>
        <v>#REF!</v>
      </c>
      <c r="K147" s="901"/>
      <c r="L147" s="901"/>
      <c r="M147" s="901"/>
    </row>
    <row r="148" spans="1:13" ht="19.5" hidden="1" customHeight="1">
      <c r="A148" s="610" t="e">
        <f>#REF!</f>
        <v>#REF!</v>
      </c>
      <c r="B148" s="610"/>
      <c r="C148" s="610"/>
      <c r="D148" s="610"/>
      <c r="E148" s="610"/>
      <c r="F148" s="610"/>
      <c r="G148" s="610"/>
      <c r="H148" s="610"/>
      <c r="I148" s="611" t="e">
        <f>#REF!</f>
        <v>#REF!</v>
      </c>
      <c r="J148" s="901" t="e">
        <f>#REF!</f>
        <v>#REF!</v>
      </c>
      <c r="K148" s="901"/>
      <c r="L148" s="901"/>
      <c r="M148" s="901"/>
    </row>
    <row r="149" spans="1:13" ht="19.5" hidden="1" customHeight="1">
      <c r="A149" s="610" t="e">
        <f>#REF!</f>
        <v>#REF!</v>
      </c>
      <c r="B149" s="610"/>
      <c r="C149" s="610"/>
      <c r="D149" s="610"/>
      <c r="E149" s="610"/>
      <c r="F149" s="610"/>
      <c r="G149" s="610"/>
      <c r="H149" s="610"/>
      <c r="I149" s="611" t="e">
        <f>#REF!</f>
        <v>#REF!</v>
      </c>
      <c r="J149" s="901" t="e">
        <f>#REF!</f>
        <v>#REF!</v>
      </c>
      <c r="K149" s="901"/>
      <c r="L149" s="901"/>
      <c r="M149" s="901"/>
    </row>
    <row r="150" spans="1:13" ht="19.5" hidden="1" customHeight="1">
      <c r="A150" s="620"/>
      <c r="B150" s="620"/>
      <c r="C150" s="620"/>
      <c r="D150" s="620"/>
      <c r="E150" s="620"/>
      <c r="F150" s="620"/>
      <c r="G150" s="620"/>
      <c r="H150" s="620"/>
      <c r="I150" s="609" t="e">
        <f>#REF!</f>
        <v>#REF!</v>
      </c>
      <c r="J150" s="901" t="e">
        <f>#REF!</f>
        <v>#REF!</v>
      </c>
      <c r="K150" s="901"/>
      <c r="L150" s="901"/>
      <c r="M150" s="901"/>
    </row>
    <row r="151" spans="1:13" ht="33" hidden="1" customHeight="1">
      <c r="A151" s="613" t="e">
        <f>#REF!</f>
        <v>#REF!</v>
      </c>
      <c r="B151" s="613"/>
      <c r="C151" s="613"/>
      <c r="D151" s="613"/>
      <c r="E151" s="613"/>
      <c r="F151" s="613"/>
      <c r="G151" s="613"/>
      <c r="H151" s="613"/>
      <c r="I151" s="609" t="e">
        <f>#REF!</f>
        <v>#REF!</v>
      </c>
      <c r="J151" s="901"/>
      <c r="K151" s="901"/>
      <c r="L151" s="901"/>
      <c r="M151" s="901"/>
    </row>
    <row r="152" spans="1:13" ht="19.5" hidden="1" customHeight="1">
      <c r="A152" s="620" t="e">
        <f>#REF!</f>
        <v>#REF!</v>
      </c>
      <c r="B152" s="620"/>
      <c r="C152" s="620"/>
      <c r="D152" s="620"/>
      <c r="E152" s="620"/>
      <c r="F152" s="620"/>
      <c r="G152" s="620"/>
      <c r="H152" s="620"/>
      <c r="I152" s="611" t="e">
        <f>#REF!</f>
        <v>#REF!</v>
      </c>
      <c r="J152" s="901" t="e">
        <f>#REF!</f>
        <v>#REF!</v>
      </c>
      <c r="K152" s="901"/>
      <c r="L152" s="901"/>
      <c r="M152" s="901"/>
    </row>
    <row r="153" spans="1:13" ht="19.5" hidden="1" customHeight="1">
      <c r="A153" s="620" t="e">
        <f>#REF!</f>
        <v>#REF!</v>
      </c>
      <c r="B153" s="620"/>
      <c r="C153" s="620"/>
      <c r="D153" s="620"/>
      <c r="E153" s="620"/>
      <c r="F153" s="620"/>
      <c r="G153" s="620"/>
      <c r="H153" s="620"/>
      <c r="I153" s="611" t="e">
        <f>#REF!</f>
        <v>#REF!</v>
      </c>
      <c r="J153" s="901" t="e">
        <f>#REF!</f>
        <v>#REF!</v>
      </c>
      <c r="K153" s="901"/>
      <c r="L153" s="901"/>
      <c r="M153" s="901"/>
    </row>
    <row r="154" spans="1:13" ht="19.5" hidden="1" customHeight="1">
      <c r="A154" s="620" t="e">
        <f>#REF!</f>
        <v>#REF!</v>
      </c>
      <c r="B154" s="620"/>
      <c r="C154" s="620"/>
      <c r="D154" s="620"/>
      <c r="E154" s="620"/>
      <c r="F154" s="620"/>
      <c r="G154" s="620"/>
      <c r="H154" s="620"/>
      <c r="I154" s="611" t="e">
        <f>#REF!</f>
        <v>#REF!</v>
      </c>
      <c r="J154" s="901" t="e">
        <f>#REF!</f>
        <v>#REF!</v>
      </c>
      <c r="K154" s="901"/>
      <c r="L154" s="901"/>
      <c r="M154" s="901"/>
    </row>
    <row r="155" spans="1:13" ht="19.5" hidden="1" customHeight="1">
      <c r="A155" s="620"/>
      <c r="B155" s="620"/>
      <c r="C155" s="620"/>
      <c r="D155" s="620"/>
      <c r="E155" s="620"/>
      <c r="F155" s="620"/>
      <c r="G155" s="620"/>
      <c r="H155" s="620"/>
      <c r="I155" s="609" t="e">
        <f>#REF!</f>
        <v>#REF!</v>
      </c>
      <c r="J155" s="901" t="e">
        <f>#REF!</f>
        <v>#REF!</v>
      </c>
      <c r="K155" s="901"/>
      <c r="L155" s="901"/>
      <c r="M155" s="901"/>
    </row>
    <row r="156" spans="1:13" ht="19.5" hidden="1" customHeight="1">
      <c r="A156" s="613" t="e">
        <f>#REF!</f>
        <v>#REF!</v>
      </c>
      <c r="B156" s="613"/>
      <c r="C156" s="613"/>
      <c r="D156" s="613"/>
      <c r="E156" s="613"/>
      <c r="F156" s="613"/>
      <c r="G156" s="613"/>
      <c r="H156" s="613"/>
      <c r="I156" s="609" t="e">
        <f>#REF!</f>
        <v>#REF!</v>
      </c>
      <c r="J156" s="901"/>
      <c r="K156" s="901"/>
      <c r="L156" s="901"/>
      <c r="M156" s="901"/>
    </row>
    <row r="157" spans="1:13" ht="19.5" hidden="1" customHeight="1">
      <c r="A157" s="610" t="e">
        <f>#REF!</f>
        <v>#REF!</v>
      </c>
      <c r="B157" s="610"/>
      <c r="C157" s="610"/>
      <c r="D157" s="610"/>
      <c r="E157" s="610"/>
      <c r="F157" s="610"/>
      <c r="G157" s="610"/>
      <c r="H157" s="610"/>
      <c r="I157" s="611" t="e">
        <f>#REF!</f>
        <v>#REF!</v>
      </c>
      <c r="J157" s="901" t="e">
        <f>#REF!</f>
        <v>#REF!</v>
      </c>
      <c r="K157" s="901"/>
      <c r="L157" s="901"/>
      <c r="M157" s="901"/>
    </row>
    <row r="158" spans="1:13" ht="19.5" hidden="1" customHeight="1">
      <c r="A158" s="610" t="e">
        <f>#REF!</f>
        <v>#REF!</v>
      </c>
      <c r="B158" s="610"/>
      <c r="C158" s="610"/>
      <c r="D158" s="610"/>
      <c r="E158" s="610"/>
      <c r="F158" s="610"/>
      <c r="G158" s="610"/>
      <c r="H158" s="610"/>
      <c r="I158" s="611" t="e">
        <f>#REF!</f>
        <v>#REF!</v>
      </c>
      <c r="J158" s="901" t="e">
        <f>#REF!</f>
        <v>#REF!</v>
      </c>
      <c r="K158" s="901"/>
      <c r="L158" s="901"/>
      <c r="M158" s="901"/>
    </row>
    <row r="159" spans="1:13" ht="19.5" hidden="1" customHeight="1">
      <c r="A159" s="620"/>
      <c r="B159" s="620"/>
      <c r="C159" s="620"/>
      <c r="D159" s="620"/>
      <c r="E159" s="620"/>
      <c r="F159" s="620"/>
      <c r="G159" s="620"/>
      <c r="H159" s="620"/>
      <c r="I159" s="609" t="e">
        <f>#REF!</f>
        <v>#REF!</v>
      </c>
      <c r="J159" s="901" t="e">
        <f>#REF!</f>
        <v>#REF!</v>
      </c>
      <c r="K159" s="901"/>
      <c r="L159" s="901"/>
      <c r="M159" s="901"/>
    </row>
    <row r="160" spans="1:13" ht="33" hidden="1" customHeight="1">
      <c r="A160" s="613" t="e">
        <f>#REF!</f>
        <v>#REF!</v>
      </c>
      <c r="B160" s="613"/>
      <c r="C160" s="613"/>
      <c r="D160" s="613"/>
      <c r="E160" s="613"/>
      <c r="F160" s="613"/>
      <c r="G160" s="613"/>
      <c r="H160" s="613"/>
      <c r="I160" s="609" t="e">
        <f>#REF!</f>
        <v>#REF!</v>
      </c>
      <c r="J160" s="901"/>
      <c r="K160" s="901"/>
      <c r="L160" s="901"/>
      <c r="M160" s="901"/>
    </row>
    <row r="161" spans="1:13" ht="19.5" hidden="1" customHeight="1">
      <c r="A161" s="610" t="e">
        <f>#REF!</f>
        <v>#REF!</v>
      </c>
      <c r="B161" s="610"/>
      <c r="C161" s="610"/>
      <c r="D161" s="610"/>
      <c r="E161" s="610"/>
      <c r="F161" s="610"/>
      <c r="G161" s="610"/>
      <c r="H161" s="610"/>
      <c r="I161" s="611" t="e">
        <f>#REF!</f>
        <v>#REF!</v>
      </c>
      <c r="J161" s="901" t="e">
        <f>#REF!</f>
        <v>#REF!</v>
      </c>
      <c r="K161" s="901"/>
      <c r="L161" s="901"/>
      <c r="M161" s="901"/>
    </row>
    <row r="162" spans="1:13" ht="19.5" hidden="1" customHeight="1">
      <c r="A162" s="610" t="e">
        <f>#REF!</f>
        <v>#REF!</v>
      </c>
      <c r="B162" s="610"/>
      <c r="C162" s="610"/>
      <c r="D162" s="610"/>
      <c r="E162" s="610"/>
      <c r="F162" s="610"/>
      <c r="G162" s="610"/>
      <c r="H162" s="610"/>
      <c r="I162" s="611" t="e">
        <f>#REF!</f>
        <v>#REF!</v>
      </c>
      <c r="J162" s="901" t="e">
        <f>#REF!</f>
        <v>#REF!</v>
      </c>
      <c r="K162" s="901"/>
      <c r="L162" s="901"/>
      <c r="M162" s="901"/>
    </row>
    <row r="163" spans="1:13" ht="19.5" hidden="1" customHeight="1">
      <c r="A163" s="610" t="e">
        <f>#REF!</f>
        <v>#REF!</v>
      </c>
      <c r="B163" s="610"/>
      <c r="C163" s="610"/>
      <c r="D163" s="610"/>
      <c r="E163" s="610"/>
      <c r="F163" s="610"/>
      <c r="G163" s="610"/>
      <c r="H163" s="610"/>
      <c r="I163" s="611" t="e">
        <f>#REF!</f>
        <v>#REF!</v>
      </c>
      <c r="J163" s="901" t="e">
        <f>#REF!</f>
        <v>#REF!</v>
      </c>
      <c r="K163" s="901"/>
      <c r="L163" s="901"/>
      <c r="M163" s="901"/>
    </row>
    <row r="164" spans="1:13" ht="19.5" hidden="1" customHeight="1">
      <c r="A164" s="610" t="e">
        <f>#REF!</f>
        <v>#REF!</v>
      </c>
      <c r="B164" s="610"/>
      <c r="C164" s="610"/>
      <c r="D164" s="610"/>
      <c r="E164" s="610"/>
      <c r="F164" s="610"/>
      <c r="G164" s="610"/>
      <c r="H164" s="610"/>
      <c r="I164" s="611" t="e">
        <f>#REF!</f>
        <v>#REF!</v>
      </c>
      <c r="J164" s="901" t="e">
        <f>#REF!</f>
        <v>#REF!</v>
      </c>
      <c r="K164" s="901"/>
      <c r="L164" s="901"/>
      <c r="M164" s="901"/>
    </row>
    <row r="165" spans="1:13" ht="19.5" hidden="1" customHeight="1">
      <c r="A165" s="610" t="e">
        <f>#REF!</f>
        <v>#REF!</v>
      </c>
      <c r="B165" s="610"/>
      <c r="C165" s="610"/>
      <c r="D165" s="610"/>
      <c r="E165" s="610"/>
      <c r="F165" s="610"/>
      <c r="G165" s="610"/>
      <c r="H165" s="610"/>
      <c r="I165" s="611" t="e">
        <f>#REF!</f>
        <v>#REF!</v>
      </c>
      <c r="J165" s="901" t="e">
        <f>#REF!</f>
        <v>#REF!</v>
      </c>
      <c r="K165" s="901"/>
      <c r="L165" s="901"/>
      <c r="M165" s="901"/>
    </row>
    <row r="166" spans="1:13" ht="19.5" hidden="1" customHeight="1">
      <c r="A166" s="610" t="e">
        <f>#REF!</f>
        <v>#REF!</v>
      </c>
      <c r="B166" s="610"/>
      <c r="C166" s="610"/>
      <c r="D166" s="610"/>
      <c r="E166" s="610"/>
      <c r="F166" s="610"/>
      <c r="G166" s="610"/>
      <c r="H166" s="610"/>
      <c r="I166" s="611" t="e">
        <f>#REF!</f>
        <v>#REF!</v>
      </c>
      <c r="J166" s="901" t="e">
        <f>#REF!</f>
        <v>#REF!</v>
      </c>
      <c r="K166" s="901"/>
      <c r="L166" s="901"/>
      <c r="M166" s="901"/>
    </row>
    <row r="167" spans="1:13" ht="19.5" hidden="1" customHeight="1">
      <c r="A167" s="620"/>
      <c r="B167" s="620"/>
      <c r="C167" s="620"/>
      <c r="D167" s="620"/>
      <c r="E167" s="620"/>
      <c r="F167" s="620"/>
      <c r="G167" s="620"/>
      <c r="H167" s="620"/>
      <c r="I167" s="609" t="e">
        <f>#REF!</f>
        <v>#REF!</v>
      </c>
      <c r="J167" s="901" t="e">
        <f>#REF!</f>
        <v>#REF!</v>
      </c>
      <c r="K167" s="901"/>
      <c r="L167" s="901"/>
      <c r="M167" s="901"/>
    </row>
    <row r="168" spans="1:13" ht="33" hidden="1" customHeight="1">
      <c r="A168" s="613" t="e">
        <f>#REF!</f>
        <v>#REF!</v>
      </c>
      <c r="B168" s="613"/>
      <c r="C168" s="613"/>
      <c r="D168" s="613"/>
      <c r="E168" s="613"/>
      <c r="F168" s="613"/>
      <c r="G168" s="613"/>
      <c r="H168" s="613"/>
      <c r="I168" s="609" t="e">
        <f>#REF!</f>
        <v>#REF!</v>
      </c>
      <c r="J168" s="901"/>
      <c r="K168" s="901"/>
      <c r="L168" s="901"/>
      <c r="M168" s="901"/>
    </row>
    <row r="169" spans="1:13" ht="33" hidden="1" customHeight="1">
      <c r="A169" s="610" t="e">
        <f>#REF!</f>
        <v>#REF!</v>
      </c>
      <c r="B169" s="610"/>
      <c r="C169" s="610"/>
      <c r="D169" s="610"/>
      <c r="E169" s="610"/>
      <c r="F169" s="610"/>
      <c r="G169" s="610"/>
      <c r="H169" s="610"/>
      <c r="I169" s="611" t="e">
        <f>#REF!</f>
        <v>#REF!</v>
      </c>
      <c r="J169" s="901" t="e">
        <f>#REF!</f>
        <v>#REF!</v>
      </c>
      <c r="K169" s="901"/>
      <c r="L169" s="901"/>
      <c r="M169" s="901"/>
    </row>
    <row r="170" spans="1:13" ht="19.5" hidden="1" customHeight="1">
      <c r="A170" s="610" t="e">
        <f>#REF!</f>
        <v>#REF!</v>
      </c>
      <c r="B170" s="610"/>
      <c r="C170" s="610"/>
      <c r="D170" s="610"/>
      <c r="E170" s="610"/>
      <c r="F170" s="610"/>
      <c r="G170" s="610"/>
      <c r="H170" s="610"/>
      <c r="I170" s="611" t="e">
        <f>#REF!</f>
        <v>#REF!</v>
      </c>
      <c r="J170" s="901" t="e">
        <f>#REF!</f>
        <v>#REF!</v>
      </c>
      <c r="K170" s="901"/>
      <c r="L170" s="901"/>
      <c r="M170" s="901"/>
    </row>
    <row r="171" spans="1:13" ht="19.5" hidden="1" customHeight="1">
      <c r="A171" s="610" t="e">
        <f>#REF!</f>
        <v>#REF!</v>
      </c>
      <c r="B171" s="610"/>
      <c r="C171" s="610"/>
      <c r="D171" s="610"/>
      <c r="E171" s="610"/>
      <c r="F171" s="610"/>
      <c r="G171" s="610"/>
      <c r="H171" s="610"/>
      <c r="I171" s="611" t="e">
        <f>#REF!</f>
        <v>#REF!</v>
      </c>
      <c r="J171" s="901" t="e">
        <f>#REF!</f>
        <v>#REF!</v>
      </c>
      <c r="K171" s="901"/>
      <c r="L171" s="901"/>
      <c r="M171" s="901"/>
    </row>
    <row r="172" spans="1:13" ht="19.5" hidden="1" customHeight="1">
      <c r="A172" s="620" t="e">
        <f>#REF!</f>
        <v>#REF!</v>
      </c>
      <c r="B172" s="620"/>
      <c r="C172" s="620"/>
      <c r="D172" s="620"/>
      <c r="E172" s="620"/>
      <c r="F172" s="620"/>
      <c r="G172" s="620"/>
      <c r="H172" s="620"/>
      <c r="I172" s="609" t="e">
        <f>#REF!</f>
        <v>#REF!</v>
      </c>
      <c r="J172" s="901" t="e">
        <f>#REF!</f>
        <v>#REF!</v>
      </c>
      <c r="K172" s="901"/>
      <c r="L172" s="901"/>
      <c r="M172" s="901"/>
    </row>
    <row r="173" spans="1:13" ht="33" hidden="1" customHeight="1">
      <c r="A173" s="613" t="e">
        <f>#REF!</f>
        <v>#REF!</v>
      </c>
      <c r="B173" s="613"/>
      <c r="C173" s="613"/>
      <c r="D173" s="613"/>
      <c r="E173" s="613"/>
      <c r="F173" s="613"/>
      <c r="G173" s="613"/>
      <c r="H173" s="613"/>
      <c r="I173" s="609" t="e">
        <f>#REF!</f>
        <v>#REF!</v>
      </c>
      <c r="J173" s="901"/>
      <c r="K173" s="901"/>
      <c r="L173" s="901"/>
      <c r="M173" s="901"/>
    </row>
    <row r="174" spans="1:13" ht="19.5" hidden="1" customHeight="1">
      <c r="A174" s="610" t="e">
        <f>#REF!</f>
        <v>#REF!</v>
      </c>
      <c r="B174" s="610"/>
      <c r="C174" s="610"/>
      <c r="D174" s="610"/>
      <c r="E174" s="610"/>
      <c r="F174" s="610"/>
      <c r="G174" s="610"/>
      <c r="H174" s="610"/>
      <c r="I174" s="611" t="e">
        <f>#REF!</f>
        <v>#REF!</v>
      </c>
      <c r="J174" s="901" t="e">
        <f>#REF!</f>
        <v>#REF!</v>
      </c>
      <c r="K174" s="901"/>
      <c r="L174" s="901"/>
      <c r="M174" s="901"/>
    </row>
    <row r="175" spans="1:13" ht="19.5" hidden="1" customHeight="1">
      <c r="A175" s="610" t="e">
        <f>#REF!</f>
        <v>#REF!</v>
      </c>
      <c r="B175" s="610"/>
      <c r="C175" s="610"/>
      <c r="D175" s="610"/>
      <c r="E175" s="610"/>
      <c r="F175" s="610"/>
      <c r="G175" s="610"/>
      <c r="H175" s="610"/>
      <c r="I175" s="611" t="e">
        <f>#REF!</f>
        <v>#REF!</v>
      </c>
      <c r="J175" s="901" t="e">
        <f>#REF!</f>
        <v>#REF!</v>
      </c>
      <c r="K175" s="901"/>
      <c r="L175" s="901"/>
      <c r="M175" s="901"/>
    </row>
    <row r="176" spans="1:13" ht="32.25" hidden="1" customHeight="1">
      <c r="A176" s="610" t="e">
        <f>#REF!</f>
        <v>#REF!</v>
      </c>
      <c r="B176" s="610"/>
      <c r="C176" s="610"/>
      <c r="D176" s="610"/>
      <c r="E176" s="610"/>
      <c r="F176" s="610"/>
      <c r="G176" s="610"/>
      <c r="H176" s="610"/>
      <c r="I176" s="611" t="e">
        <f>#REF!</f>
        <v>#REF!</v>
      </c>
      <c r="J176" s="901" t="e">
        <f>#REF!</f>
        <v>#REF!</v>
      </c>
      <c r="K176" s="901"/>
      <c r="L176" s="901"/>
      <c r="M176" s="901"/>
    </row>
    <row r="177" spans="1:100" ht="19.5" hidden="1" customHeight="1">
      <c r="A177" s="610" t="e">
        <f>#REF!</f>
        <v>#REF!</v>
      </c>
      <c r="B177" s="610"/>
      <c r="C177" s="610"/>
      <c r="D177" s="610"/>
      <c r="E177" s="610"/>
      <c r="F177" s="610"/>
      <c r="G177" s="610"/>
      <c r="H177" s="610"/>
      <c r="I177" s="611" t="e">
        <f>#REF!</f>
        <v>#REF!</v>
      </c>
      <c r="J177" s="901" t="e">
        <f>#REF!</f>
        <v>#REF!</v>
      </c>
      <c r="K177" s="901"/>
      <c r="L177" s="901"/>
      <c r="M177" s="901"/>
    </row>
    <row r="178" spans="1:100" ht="19.5" hidden="1" customHeight="1">
      <c r="A178" s="612"/>
      <c r="B178" s="612"/>
      <c r="C178" s="612"/>
      <c r="D178" s="612"/>
      <c r="E178" s="612"/>
      <c r="F178" s="612"/>
      <c r="G178" s="612"/>
      <c r="H178" s="612"/>
      <c r="I178" s="609" t="e">
        <f>#REF!</f>
        <v>#REF!</v>
      </c>
      <c r="J178" s="901" t="e">
        <f>#REF!</f>
        <v>#REF!</v>
      </c>
      <c r="K178" s="901"/>
      <c r="L178" s="901"/>
      <c r="M178" s="901"/>
    </row>
    <row r="179" spans="1:100" ht="16.5" hidden="1" customHeight="1">
      <c r="A179" s="615"/>
      <c r="B179" s="615"/>
      <c r="C179" s="615"/>
      <c r="D179" s="615"/>
      <c r="E179" s="615"/>
      <c r="F179" s="615"/>
      <c r="G179" s="615"/>
      <c r="H179" s="615"/>
      <c r="I179" s="609" t="e">
        <f>#REF!</f>
        <v>#REF!</v>
      </c>
      <c r="J179" s="901" t="e">
        <f>#REF!</f>
        <v>#REF!</v>
      </c>
      <c r="K179" s="901"/>
      <c r="L179" s="901"/>
      <c r="M179" s="901"/>
    </row>
    <row r="180" spans="1:100" ht="19.5" hidden="1" customHeight="1">
      <c r="A180" s="617"/>
      <c r="B180" s="617"/>
      <c r="C180" s="617"/>
      <c r="D180" s="617"/>
      <c r="E180" s="617"/>
      <c r="F180" s="617"/>
      <c r="G180" s="617"/>
      <c r="H180" s="617"/>
      <c r="I180" s="609" t="e">
        <f>#REF!</f>
        <v>#REF!</v>
      </c>
      <c r="J180" s="901" t="e">
        <f>#REF!</f>
        <v>#REF!</v>
      </c>
      <c r="K180" s="901"/>
      <c r="L180" s="901"/>
      <c r="M180" s="901"/>
    </row>
    <row r="181" spans="1:100" s="587" customFormat="1">
      <c r="A181" s="621"/>
      <c r="B181" s="621"/>
      <c r="C181" s="621"/>
      <c r="D181" s="621"/>
      <c r="E181" s="621"/>
      <c r="F181" s="621"/>
      <c r="G181" s="621"/>
      <c r="H181" s="621"/>
      <c r="I181" s="622"/>
      <c r="J181" s="902"/>
      <c r="K181" s="902"/>
      <c r="L181" s="902"/>
      <c r="M181" s="902"/>
      <c r="N181" s="544"/>
      <c r="O181" s="544"/>
      <c r="P181" s="544"/>
      <c r="Q181" s="544"/>
      <c r="R181" s="544"/>
      <c r="S181" s="544"/>
      <c r="T181" s="544"/>
      <c r="U181" s="544"/>
      <c r="V181" s="544"/>
      <c r="W181" s="544"/>
      <c r="X181" s="544"/>
      <c r="Y181" s="544"/>
      <c r="Z181" s="544"/>
      <c r="AA181" s="544"/>
      <c r="AB181" s="544"/>
      <c r="AC181" s="544"/>
      <c r="AD181" s="544"/>
      <c r="AE181" s="544"/>
      <c r="AF181" s="544"/>
      <c r="AG181" s="544"/>
      <c r="AH181" s="544"/>
      <c r="AI181" s="544"/>
      <c r="AJ181" s="544"/>
      <c r="AK181" s="544"/>
      <c r="AL181" s="544"/>
      <c r="AM181" s="544"/>
      <c r="AN181" s="544"/>
      <c r="AO181" s="544"/>
      <c r="AP181" s="544"/>
      <c r="AQ181" s="544"/>
      <c r="AR181" s="544"/>
      <c r="AS181" s="544"/>
      <c r="AT181" s="544"/>
      <c r="AU181" s="544"/>
      <c r="AV181" s="544"/>
      <c r="AW181" s="544"/>
      <c r="AX181" s="544"/>
      <c r="AY181" s="544"/>
      <c r="AZ181" s="544"/>
      <c r="BA181" s="544"/>
      <c r="BB181" s="544"/>
      <c r="BC181" s="544"/>
      <c r="BD181" s="544"/>
      <c r="BE181" s="544"/>
      <c r="BF181" s="544"/>
      <c r="BG181" s="544"/>
      <c r="BH181" s="544"/>
      <c r="BI181" s="544"/>
      <c r="BJ181" s="544"/>
      <c r="BK181" s="544"/>
      <c r="BL181" s="544"/>
      <c r="BM181" s="544"/>
      <c r="BN181" s="544"/>
      <c r="BO181" s="544"/>
      <c r="BP181" s="544"/>
      <c r="BQ181" s="544"/>
      <c r="BR181" s="544"/>
      <c r="BS181" s="544"/>
      <c r="BT181" s="544"/>
      <c r="BU181" s="544"/>
      <c r="BV181" s="544"/>
      <c r="BW181" s="544"/>
      <c r="BX181" s="544"/>
      <c r="BY181" s="544"/>
      <c r="BZ181" s="544"/>
      <c r="CA181" s="544"/>
      <c r="CB181" s="544"/>
      <c r="CC181" s="544"/>
      <c r="CD181" s="544"/>
      <c r="CE181" s="544"/>
      <c r="CF181" s="544"/>
      <c r="CG181" s="544"/>
      <c r="CH181" s="544"/>
      <c r="CI181" s="544"/>
      <c r="CJ181" s="544"/>
      <c r="CK181" s="544"/>
      <c r="CL181" s="544"/>
      <c r="CM181" s="544"/>
      <c r="CN181" s="544"/>
      <c r="CO181" s="544"/>
      <c r="CP181" s="544"/>
      <c r="CQ181" s="544"/>
      <c r="CR181" s="544"/>
      <c r="CS181" s="544"/>
      <c r="CT181" s="544"/>
      <c r="CU181" s="544"/>
      <c r="CV181" s="544"/>
    </row>
    <row r="182" spans="1:100" s="587" customFormat="1">
      <c r="A182" s="584"/>
      <c r="B182" s="584"/>
      <c r="C182" s="584"/>
      <c r="D182" s="584"/>
      <c r="E182" s="584"/>
      <c r="F182" s="584"/>
      <c r="G182" s="584"/>
      <c r="H182" s="584"/>
      <c r="I182" s="585"/>
      <c r="J182" s="586"/>
      <c r="K182" s="586"/>
      <c r="L182" s="586"/>
      <c r="M182" s="586"/>
      <c r="N182" s="544"/>
      <c r="O182" s="544"/>
      <c r="P182" s="544"/>
      <c r="Q182" s="544"/>
      <c r="R182" s="544"/>
      <c r="S182" s="544"/>
      <c r="T182" s="544"/>
      <c r="U182" s="544"/>
      <c r="V182" s="544"/>
      <c r="W182" s="544"/>
      <c r="X182" s="544"/>
      <c r="Y182" s="544"/>
      <c r="Z182" s="544"/>
      <c r="AA182" s="544"/>
      <c r="AB182" s="544"/>
      <c r="AC182" s="544"/>
      <c r="AD182" s="544"/>
      <c r="AE182" s="544"/>
      <c r="AF182" s="544"/>
      <c r="AG182" s="544"/>
      <c r="AH182" s="544"/>
      <c r="AI182" s="544"/>
      <c r="AJ182" s="544"/>
      <c r="AK182" s="544"/>
      <c r="AL182" s="544"/>
      <c r="AM182" s="544"/>
      <c r="AN182" s="544"/>
      <c r="AO182" s="544"/>
      <c r="AP182" s="544"/>
      <c r="AQ182" s="544"/>
      <c r="AR182" s="544"/>
      <c r="AS182" s="544"/>
      <c r="AT182" s="544"/>
      <c r="AU182" s="544"/>
      <c r="AV182" s="544"/>
      <c r="AW182" s="544"/>
      <c r="AX182" s="544"/>
      <c r="AY182" s="544"/>
      <c r="AZ182" s="544"/>
      <c r="BA182" s="544"/>
      <c r="BB182" s="544"/>
      <c r="BC182" s="544"/>
      <c r="BD182" s="544"/>
      <c r="BE182" s="544"/>
      <c r="BF182" s="544"/>
      <c r="BG182" s="544"/>
      <c r="BH182" s="544"/>
      <c r="BI182" s="544"/>
      <c r="BJ182" s="544"/>
      <c r="BK182" s="544"/>
      <c r="BL182" s="544"/>
      <c r="BM182" s="544"/>
      <c r="BN182" s="544"/>
      <c r="BO182" s="544"/>
      <c r="BP182" s="544"/>
      <c r="BQ182" s="544"/>
      <c r="BR182" s="544"/>
      <c r="BS182" s="544"/>
      <c r="BT182" s="544"/>
      <c r="BU182" s="544"/>
      <c r="BV182" s="544"/>
      <c r="BW182" s="544"/>
      <c r="BX182" s="544"/>
      <c r="BY182" s="544"/>
      <c r="BZ182" s="544"/>
      <c r="CA182" s="544"/>
      <c r="CB182" s="544"/>
      <c r="CC182" s="544"/>
      <c r="CD182" s="544"/>
      <c r="CE182" s="544"/>
      <c r="CF182" s="544"/>
      <c r="CG182" s="544"/>
      <c r="CH182" s="544"/>
      <c r="CI182" s="544"/>
      <c r="CJ182" s="544"/>
      <c r="CK182" s="544"/>
      <c r="CL182" s="544"/>
      <c r="CM182" s="544"/>
      <c r="CN182" s="544"/>
      <c r="CO182" s="544"/>
      <c r="CP182" s="544"/>
      <c r="CQ182" s="544"/>
      <c r="CR182" s="544"/>
      <c r="CS182" s="544"/>
      <c r="CT182" s="544"/>
      <c r="CU182" s="544"/>
      <c r="CV182" s="544"/>
    </row>
    <row r="183" spans="1:100" s="587" customFormat="1">
      <c r="A183" s="584"/>
      <c r="B183" s="584"/>
      <c r="C183" s="584"/>
      <c r="D183" s="584"/>
      <c r="E183" s="584"/>
      <c r="F183" s="584"/>
      <c r="G183" s="584"/>
      <c r="H183" s="584"/>
      <c r="I183" s="585"/>
      <c r="J183" s="586"/>
      <c r="K183" s="586"/>
      <c r="L183" s="586"/>
      <c r="M183" s="586"/>
      <c r="N183" s="544"/>
      <c r="O183" s="544"/>
      <c r="P183" s="544"/>
      <c r="Q183" s="544"/>
      <c r="R183" s="544"/>
      <c r="S183" s="544"/>
      <c r="T183" s="544"/>
      <c r="U183" s="544"/>
      <c r="V183" s="544"/>
      <c r="W183" s="544"/>
      <c r="X183" s="544"/>
      <c r="Y183" s="544"/>
      <c r="Z183" s="544"/>
      <c r="AA183" s="544"/>
      <c r="AB183" s="544"/>
      <c r="AC183" s="544"/>
      <c r="AD183" s="544"/>
      <c r="AE183" s="544"/>
      <c r="AF183" s="544"/>
      <c r="AG183" s="544"/>
      <c r="AH183" s="544"/>
      <c r="AI183" s="544"/>
      <c r="AJ183" s="544"/>
      <c r="AK183" s="544"/>
      <c r="AL183" s="544"/>
      <c r="AM183" s="544"/>
      <c r="AN183" s="544"/>
      <c r="AO183" s="544"/>
      <c r="AP183" s="544"/>
      <c r="AQ183" s="544"/>
      <c r="AR183" s="544"/>
      <c r="AS183" s="544"/>
      <c r="AT183" s="544"/>
      <c r="AU183" s="544"/>
      <c r="AV183" s="544"/>
      <c r="AW183" s="544"/>
      <c r="AX183" s="544"/>
      <c r="AY183" s="544"/>
      <c r="AZ183" s="544"/>
      <c r="BA183" s="544"/>
      <c r="BB183" s="544"/>
      <c r="BC183" s="544"/>
      <c r="BD183" s="544"/>
      <c r="BE183" s="544"/>
      <c r="BF183" s="544"/>
      <c r="BG183" s="544"/>
      <c r="BH183" s="544"/>
      <c r="BI183" s="544"/>
      <c r="BJ183" s="544"/>
      <c r="BK183" s="544"/>
      <c r="BL183" s="544"/>
      <c r="BM183" s="544"/>
      <c r="BN183" s="544"/>
      <c r="BO183" s="544"/>
      <c r="BP183" s="544"/>
      <c r="BQ183" s="544"/>
      <c r="BR183" s="544"/>
      <c r="BS183" s="544"/>
      <c r="BT183" s="544"/>
      <c r="BU183" s="544"/>
      <c r="BV183" s="544"/>
      <c r="BW183" s="544"/>
      <c r="BX183" s="544"/>
      <c r="BY183" s="544"/>
      <c r="BZ183" s="544"/>
      <c r="CA183" s="544"/>
      <c r="CB183" s="544"/>
      <c r="CC183" s="544"/>
      <c r="CD183" s="544"/>
      <c r="CE183" s="544"/>
      <c r="CF183" s="544"/>
      <c r="CG183" s="544"/>
      <c r="CH183" s="544"/>
      <c r="CI183" s="544"/>
      <c r="CJ183" s="544"/>
      <c r="CK183" s="544"/>
      <c r="CL183" s="544"/>
      <c r="CM183" s="544"/>
      <c r="CN183" s="544"/>
      <c r="CO183" s="544"/>
      <c r="CP183" s="544"/>
      <c r="CQ183" s="544"/>
      <c r="CR183" s="544"/>
      <c r="CS183" s="544"/>
      <c r="CT183" s="544"/>
      <c r="CU183" s="544"/>
      <c r="CV183" s="544"/>
    </row>
  </sheetData>
  <sheetProtection algorithmName="SHA-512" hashValue="9hH/YvmvoOizULuAYC45dCaINPo2dJuuSLKrA36ckpfRCpO+7K+YzwSpLfZ3SDCKTA3AFn2nWiwotpm1IM9lmw==" saltValue="HXgDCa+wCiGE8Nd53RUbVg==" spinCount="100000" sheet="1" formatColumns="0" formatRows="0" selectLockedCells="1"/>
  <customSheetViews>
    <customSheetView guid="{B85D7887-A299-45C0-BD97-6C28577A6A5C}" showPageBreaks="1" printArea="1" hiddenRows="1" hiddenColumns="1" view="pageBreakPreview" topLeftCell="A10">
      <selection activeCell="A16" sqref="A16"/>
      <pageMargins left="0.7" right="0.7" top="0.75" bottom="0.75" header="0.3" footer="0.3"/>
      <pageSetup paperSize="9" scale="57" orientation="landscape" r:id="rId1"/>
    </customSheetView>
    <customSheetView guid="{CA9345C4-09FE-4F27-BFD9-3D9BCD2DED09}"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7AB1F867-F01E-4EB9-A93D-DDCFDB9AA44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497EA202-A8B8-45C5-9E6C-C3CD104F3979}" showPageBreaks="1" printArea="1" hiddenRows="1" hiddenColumns="1" view="pageBreakPreview">
      <selection activeCell="D16" sqref="D16"/>
      <pageMargins left="0.7" right="0.7" top="0.75" bottom="0.75" header="0.3" footer="0.3"/>
      <pageSetup paperSize="9" scale="57" orientation="landscape" r:id="rId8"/>
    </customSheetView>
    <customSheetView guid="{63D51328-7CBC-4A1E-B96D-BAE91416501B}" showPageBreaks="1" printArea="1" hiddenRows="1" hiddenColumns="1" view="pageBreakPreview">
      <selection activeCell="D16" sqref="D16"/>
      <pageMargins left="0.7" right="0.7" top="0.75" bottom="0.75" header="0.3" footer="0.3"/>
      <pageSetup paperSize="9" scale="57" orientation="landscape" r:id="rId9"/>
    </customSheetView>
    <customSheetView guid="{D5521983-A70D-48A3-9506-C0263CBBC57D}"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12A89170-4F84-482D-A3C5-7890082E7B73}" showPageBreaks="1" printArea="1" hiddenRows="1" hiddenColumns="1" view="pageBreakPreview" topLeftCell="A10">
      <selection activeCell="A16" sqref="A16"/>
      <pageMargins left="0.7" right="0.7" top="0.75" bottom="0.75" header="0.3" footer="0.3"/>
      <pageSetup paperSize="9" scale="57" orientation="landscape" r:id="rId11"/>
    </customSheetView>
    <customSheetView guid="{CCA37BAE-906F-43D5-9FD9-B13563E4B9D7}" showPageBreaks="1" printArea="1" hiddenRows="1" hiddenColumns="1" view="pageBreakPreview" topLeftCell="A10">
      <selection activeCell="A16" sqref="A16"/>
      <pageMargins left="0.7" right="0.7" top="0.75" bottom="0.75" header="0.3" footer="0.3"/>
      <pageSetup paperSize="9" scale="57" orientation="landscape" r:id="rId12"/>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2" zoomScaleNormal="70" zoomScaleSheetLayoutView="100" workbookViewId="0">
      <selection activeCell="G15" sqref="G15"/>
    </sheetView>
  </sheetViews>
  <sheetFormatPr defaultColWidth="9.109375" defaultRowHeight="14.4"/>
  <cols>
    <col min="1" max="2" width="5.6640625" style="654" customWidth="1"/>
    <col min="3" max="3" width="24.6640625" style="654" customWidth="1"/>
    <col min="4" max="4" width="15.33203125" style="654" customWidth="1"/>
    <col min="5" max="5" width="28.6640625" style="654" customWidth="1"/>
    <col min="6" max="6" width="14.6640625" style="654" customWidth="1"/>
    <col min="7" max="7" width="19.5546875" style="654" customWidth="1"/>
    <col min="8" max="8" width="23.6640625" style="629" hidden="1" customWidth="1"/>
    <col min="9" max="9" width="18" style="630" hidden="1" customWidth="1"/>
    <col min="10" max="10" width="16.88671875" style="631" hidden="1" customWidth="1"/>
    <col min="11" max="11" width="14.5546875" style="631" hidden="1" customWidth="1"/>
    <col min="12" max="12" width="18.5546875" style="631" hidden="1" customWidth="1"/>
    <col min="13" max="13" width="16.33203125" style="631" customWidth="1"/>
    <col min="14" max="14" width="39.6640625" style="631" customWidth="1"/>
    <col min="15" max="15" width="24.33203125" style="631" customWidth="1"/>
    <col min="16" max="17" width="16.33203125" style="631" customWidth="1"/>
    <col min="18" max="19" width="10.33203125" style="632" customWidth="1"/>
    <col min="20" max="20" width="9.109375" style="632" customWidth="1"/>
    <col min="21" max="21" width="9.109375" style="633" customWidth="1"/>
    <col min="22" max="25" width="9.109375" style="633"/>
    <col min="26" max="16384" width="9.109375" style="634"/>
  </cols>
  <sheetData>
    <row r="1" spans="1:25" s="627" customFormat="1" ht="39.9" customHeight="1">
      <c r="A1" s="941" t="s">
        <v>163</v>
      </c>
      <c r="B1" s="941"/>
      <c r="C1" s="941"/>
      <c r="D1" s="941"/>
      <c r="E1" s="941"/>
      <c r="F1" s="941"/>
      <c r="G1" s="941"/>
      <c r="H1" s="623"/>
      <c r="I1" s="624"/>
      <c r="J1" s="625"/>
      <c r="K1" s="625"/>
      <c r="L1" s="625"/>
      <c r="M1" s="625"/>
      <c r="N1" s="625"/>
      <c r="O1" s="625"/>
      <c r="P1" s="625"/>
      <c r="Q1" s="625"/>
      <c r="R1" s="625"/>
      <c r="S1" s="625"/>
      <c r="T1" s="625"/>
      <c r="U1" s="626"/>
      <c r="V1" s="626"/>
      <c r="W1" s="626"/>
      <c r="X1" s="626"/>
      <c r="Y1" s="626"/>
    </row>
    <row r="2" spans="1:25" ht="18" customHeight="1">
      <c r="A2" s="501" t="str">
        <f>Cover!B3</f>
        <v>Spec. No.:CC/NT/W-GIS/DOM/A04/24/01196</v>
      </c>
      <c r="B2" s="501"/>
      <c r="C2" s="502"/>
      <c r="D2" s="628"/>
      <c r="E2" s="628"/>
      <c r="F2" s="628"/>
      <c r="G2" s="504" t="s">
        <v>164</v>
      </c>
    </row>
    <row r="3" spans="1:25" ht="12.75" customHeight="1">
      <c r="A3" s="505"/>
      <c r="B3" s="505"/>
      <c r="C3" s="506"/>
      <c r="D3" s="527"/>
      <c r="E3" s="527"/>
      <c r="F3" s="527"/>
      <c r="G3" s="507"/>
    </row>
    <row r="4" spans="1:25" ht="18.899999999999999" customHeight="1">
      <c r="A4" s="942" t="s">
        <v>165</v>
      </c>
      <c r="B4" s="942"/>
      <c r="C4" s="942"/>
      <c r="D4" s="942"/>
      <c r="E4" s="942"/>
      <c r="F4" s="942"/>
      <c r="G4" s="942"/>
    </row>
    <row r="5" spans="1:25" ht="21" customHeight="1">
      <c r="A5" s="635" t="s">
        <v>1</v>
      </c>
      <c r="B5" s="635"/>
      <c r="C5" s="636"/>
      <c r="D5" s="636"/>
      <c r="E5" s="636"/>
      <c r="F5" s="636"/>
      <c r="G5" s="636"/>
    </row>
    <row r="6" spans="1:25" ht="21" customHeight="1">
      <c r="A6" s="637" t="s">
        <v>2</v>
      </c>
      <c r="B6" s="637"/>
      <c r="C6" s="636"/>
      <c r="D6" s="636"/>
      <c r="E6" s="636"/>
      <c r="F6" s="636"/>
      <c r="G6" s="636"/>
      <c r="I6" s="638" t="s">
        <v>229</v>
      </c>
      <c r="J6" s="639">
        <f>'Sch-1'!N327</f>
        <v>0</v>
      </c>
      <c r="K6" s="640"/>
      <c r="L6" s="641"/>
    </row>
    <row r="7" spans="1:25" ht="21" customHeight="1">
      <c r="A7" s="637" t="s">
        <v>3</v>
      </c>
      <c r="B7" s="637"/>
      <c r="C7" s="636"/>
      <c r="D7" s="636"/>
      <c r="E7" s="636"/>
      <c r="F7" s="636"/>
      <c r="G7" s="636"/>
      <c r="I7" s="638" t="s">
        <v>231</v>
      </c>
      <c r="J7" s="639">
        <f>'Sch-2'!J316</f>
        <v>0</v>
      </c>
      <c r="K7" s="640"/>
    </row>
    <row r="8" spans="1:25" ht="21" customHeight="1">
      <c r="A8" s="637" t="s">
        <v>4</v>
      </c>
      <c r="B8" s="637"/>
      <c r="C8" s="636"/>
      <c r="D8" s="636"/>
      <c r="E8" s="636"/>
      <c r="F8" s="636"/>
      <c r="G8" s="636"/>
      <c r="I8" s="638" t="s">
        <v>232</v>
      </c>
      <c r="J8" s="639">
        <f>'Sch-3'!P157</f>
        <v>0</v>
      </c>
      <c r="K8" s="640"/>
    </row>
    <row r="9" spans="1:25" ht="21" customHeight="1">
      <c r="A9" s="637" t="s">
        <v>166</v>
      </c>
      <c r="B9" s="637"/>
      <c r="C9" s="636"/>
      <c r="D9" s="636"/>
      <c r="E9" s="636"/>
      <c r="F9" s="636"/>
      <c r="G9" s="636"/>
      <c r="I9" s="642" t="s">
        <v>193</v>
      </c>
      <c r="J9" s="643">
        <f>J6+J7+J8</f>
        <v>0</v>
      </c>
      <c r="K9" s="640"/>
    </row>
    <row r="10" spans="1:25" ht="21" customHeight="1">
      <c r="A10" s="637" t="s">
        <v>6</v>
      </c>
      <c r="B10" s="637"/>
      <c r="C10" s="636"/>
      <c r="D10" s="636"/>
      <c r="E10" s="636"/>
      <c r="F10" s="636"/>
      <c r="G10" s="636"/>
      <c r="J10" s="644"/>
    </row>
    <row r="11" spans="1:25" ht="14.25" customHeight="1">
      <c r="A11" s="636"/>
      <c r="B11" s="636"/>
      <c r="C11" s="636"/>
      <c r="D11" s="636"/>
      <c r="E11" s="636"/>
      <c r="F11" s="636"/>
      <c r="G11" s="636"/>
    </row>
    <row r="12" spans="1:25" ht="75.599999999999994" customHeight="1">
      <c r="A12" s="645" t="s">
        <v>167</v>
      </c>
      <c r="B12" s="646"/>
      <c r="C12" s="943"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D12" s="943"/>
      <c r="E12" s="943"/>
      <c r="F12" s="943"/>
      <c r="G12" s="943"/>
      <c r="J12" s="641"/>
    </row>
    <row r="13" spans="1:25" ht="21" customHeight="1" thickBot="1">
      <c r="A13" s="647" t="s">
        <v>168</v>
      </c>
      <c r="B13" s="647"/>
      <c r="C13" s="648"/>
      <c r="D13" s="647"/>
      <c r="E13" s="647"/>
      <c r="F13" s="647"/>
      <c r="G13" s="647"/>
      <c r="H13" s="649"/>
      <c r="K13" s="650"/>
      <c r="L13" s="650"/>
      <c r="M13" s="650"/>
    </row>
    <row r="14" spans="1:25" ht="41.25" customHeight="1" thickBot="1">
      <c r="A14" s="944" t="s">
        <v>169</v>
      </c>
      <c r="B14" s="944"/>
      <c r="C14" s="944"/>
      <c r="D14" s="944"/>
      <c r="E14" s="944"/>
      <c r="F14" s="944"/>
      <c r="G14" s="944"/>
      <c r="H14" s="651" t="s">
        <v>336</v>
      </c>
      <c r="I14" s="651" t="s">
        <v>337</v>
      </c>
      <c r="J14" s="652" t="s">
        <v>338</v>
      </c>
      <c r="K14" s="650"/>
      <c r="L14" s="650"/>
      <c r="M14" s="650"/>
      <c r="N14" s="653"/>
    </row>
    <row r="15" spans="1:25" ht="56.25" customHeight="1">
      <c r="B15" s="655">
        <v>1</v>
      </c>
      <c r="C15" s="948" t="s">
        <v>822</v>
      </c>
      <c r="D15" s="946"/>
      <c r="E15" s="946"/>
      <c r="F15" s="947"/>
      <c r="G15" s="656"/>
      <c r="H15" s="657">
        <f>IF(J6=0,0,(G15/J9)*J6)</f>
        <v>0</v>
      </c>
      <c r="I15" s="658">
        <f>IF(J7=0,0,(G15/J9)*J7)</f>
        <v>0</v>
      </c>
      <c r="J15" s="657">
        <f>IF(J8,(G15/J9)*J8,0)</f>
        <v>0</v>
      </c>
      <c r="K15" s="650"/>
      <c r="L15" s="650"/>
      <c r="M15" s="650"/>
    </row>
    <row r="16" spans="1:25" ht="55.5" customHeight="1">
      <c r="B16" s="655">
        <v>2</v>
      </c>
      <c r="C16" s="945" t="s">
        <v>823</v>
      </c>
      <c r="D16" s="946"/>
      <c r="E16" s="946"/>
      <c r="F16" s="947"/>
      <c r="G16" s="659"/>
      <c r="H16" s="660">
        <f>G16*J6</f>
        <v>0</v>
      </c>
      <c r="I16" s="661">
        <f>G16*J7</f>
        <v>0</v>
      </c>
      <c r="J16" s="660">
        <f>G16*J8</f>
        <v>0</v>
      </c>
      <c r="K16" s="650"/>
      <c r="L16" s="650"/>
      <c r="M16" s="650"/>
    </row>
    <row r="17" spans="1:25" s="662" customFormat="1" ht="39.75" customHeight="1" thickBot="1">
      <c r="B17" s="663">
        <v>3</v>
      </c>
      <c r="C17" s="938" t="s">
        <v>824</v>
      </c>
      <c r="D17" s="939"/>
      <c r="E17" s="939"/>
      <c r="F17" s="940"/>
      <c r="G17" s="664"/>
      <c r="H17" s="660"/>
      <c r="I17" s="660"/>
      <c r="J17" s="660"/>
      <c r="K17" s="650"/>
      <c r="L17" s="650"/>
      <c r="M17" s="650"/>
      <c r="N17" s="650"/>
      <c r="O17" s="650"/>
      <c r="P17" s="650"/>
      <c r="Q17" s="650"/>
      <c r="R17" s="665"/>
      <c r="S17" s="665"/>
      <c r="T17" s="665"/>
      <c r="U17" s="666"/>
      <c r="V17" s="666"/>
      <c r="W17" s="666"/>
      <c r="X17" s="666"/>
      <c r="Y17" s="666"/>
    </row>
    <row r="18" spans="1:25" s="662" customFormat="1" ht="21" customHeight="1" thickBot="1">
      <c r="B18" s="667"/>
      <c r="C18" s="934" t="s">
        <v>330</v>
      </c>
      <c r="D18" s="935"/>
      <c r="E18" s="935"/>
      <c r="F18" s="668" t="s">
        <v>170</v>
      </c>
      <c r="G18" s="669"/>
      <c r="H18" s="670">
        <f>G18</f>
        <v>0</v>
      </c>
      <c r="I18" s="671"/>
      <c r="J18" s="660"/>
      <c r="K18" s="650"/>
      <c r="L18" s="650"/>
      <c r="M18" s="650"/>
      <c r="N18" s="672"/>
      <c r="O18" s="673"/>
      <c r="P18" s="650"/>
      <c r="Q18" s="650"/>
      <c r="R18" s="665"/>
      <c r="S18" s="665"/>
      <c r="T18" s="665"/>
      <c r="U18" s="666"/>
      <c r="V18" s="666"/>
      <c r="W18" s="666"/>
      <c r="X18" s="666"/>
      <c r="Y18" s="666"/>
    </row>
    <row r="19" spans="1:25" s="662" customFormat="1" ht="33" customHeight="1" thickBot="1">
      <c r="B19" s="667"/>
      <c r="C19" s="927" t="s">
        <v>354</v>
      </c>
      <c r="D19" s="928"/>
      <c r="E19" s="928"/>
      <c r="F19" s="668" t="s">
        <v>170</v>
      </c>
      <c r="G19" s="669"/>
      <c r="H19" s="674"/>
      <c r="I19" s="670">
        <f>G19</f>
        <v>0</v>
      </c>
      <c r="J19" s="675"/>
      <c r="K19" s="650"/>
      <c r="L19" s="650"/>
      <c r="M19" s="650"/>
      <c r="N19" s="672"/>
      <c r="O19" s="673"/>
      <c r="P19" s="650"/>
      <c r="Q19" s="650"/>
      <c r="R19" s="665"/>
      <c r="S19" s="665"/>
      <c r="T19" s="665"/>
      <c r="U19" s="666"/>
      <c r="V19" s="666"/>
      <c r="W19" s="666"/>
      <c r="X19" s="666"/>
      <c r="Y19" s="666"/>
    </row>
    <row r="20" spans="1:25" s="662" customFormat="1" ht="21" customHeight="1" thickBot="1">
      <c r="B20" s="667"/>
      <c r="C20" s="934" t="s">
        <v>331</v>
      </c>
      <c r="D20" s="935"/>
      <c r="E20" s="935"/>
      <c r="F20" s="668" t="s">
        <v>170</v>
      </c>
      <c r="G20" s="669"/>
      <c r="H20" s="660"/>
      <c r="I20" s="658"/>
      <c r="J20" s="670">
        <f>G20</f>
        <v>0</v>
      </c>
      <c r="K20" s="650"/>
      <c r="L20" s="650"/>
      <c r="M20" s="650"/>
      <c r="N20" s="672"/>
      <c r="O20" s="673"/>
      <c r="P20" s="650"/>
      <c r="Q20" s="650"/>
      <c r="R20" s="665"/>
      <c r="S20" s="665"/>
      <c r="T20" s="665"/>
      <c r="U20" s="666"/>
      <c r="V20" s="666"/>
      <c r="W20" s="666"/>
      <c r="X20" s="666"/>
      <c r="Y20" s="666"/>
    </row>
    <row r="21" spans="1:25" s="662" customFormat="1" ht="21" customHeight="1">
      <c r="B21" s="667"/>
      <c r="C21" s="934" t="s">
        <v>332</v>
      </c>
      <c r="D21" s="935"/>
      <c r="E21" s="935"/>
      <c r="F21" s="668" t="s">
        <v>170</v>
      </c>
      <c r="G21" s="676"/>
      <c r="H21" s="660"/>
      <c r="I21" s="661"/>
      <c r="J21" s="657"/>
      <c r="K21" s="650"/>
      <c r="L21" s="650"/>
      <c r="M21" s="650"/>
      <c r="N21" s="672"/>
      <c r="O21" s="673"/>
      <c r="P21" s="650"/>
      <c r="Q21" s="650"/>
      <c r="R21" s="665"/>
      <c r="S21" s="665"/>
      <c r="T21" s="665"/>
      <c r="U21" s="666"/>
      <c r="V21" s="666"/>
      <c r="W21" s="666"/>
      <c r="X21" s="666"/>
      <c r="Y21" s="666"/>
    </row>
    <row r="22" spans="1:25" s="662" customFormat="1" ht="21" customHeight="1">
      <c r="B22" s="677"/>
      <c r="C22" s="934" t="s">
        <v>171</v>
      </c>
      <c r="D22" s="935"/>
      <c r="E22" s="935"/>
      <c r="F22" s="678" t="s">
        <v>170</v>
      </c>
      <c r="G22" s="676"/>
      <c r="H22" s="660"/>
      <c r="I22" s="661"/>
      <c r="J22" s="660"/>
      <c r="K22" s="650"/>
      <c r="L22" s="650"/>
      <c r="M22" s="650"/>
      <c r="N22" s="672"/>
      <c r="O22" s="673"/>
      <c r="P22" s="650"/>
      <c r="Q22" s="650"/>
      <c r="R22" s="665"/>
      <c r="S22" s="665"/>
      <c r="T22" s="665"/>
      <c r="U22" s="666"/>
      <c r="V22" s="666"/>
      <c r="W22" s="666"/>
      <c r="X22" s="666"/>
      <c r="Y22" s="666"/>
    </row>
    <row r="23" spans="1:25" s="662" customFormat="1" ht="54.9" customHeight="1" thickBot="1">
      <c r="B23" s="663">
        <v>4</v>
      </c>
      <c r="C23" s="923" t="s">
        <v>825</v>
      </c>
      <c r="D23" s="924"/>
      <c r="E23" s="924"/>
      <c r="F23" s="925"/>
      <c r="G23" s="664"/>
      <c r="H23" s="679"/>
      <c r="I23" s="661"/>
      <c r="J23" s="660"/>
      <c r="K23" s="650"/>
      <c r="L23" s="650"/>
      <c r="M23" s="650"/>
      <c r="N23" s="650"/>
      <c r="O23" s="650"/>
      <c r="P23" s="650"/>
      <c r="Q23" s="650"/>
      <c r="R23" s="665"/>
      <c r="S23" s="665"/>
      <c r="T23" s="665"/>
      <c r="U23" s="666"/>
      <c r="V23" s="666"/>
      <c r="W23" s="666"/>
      <c r="X23" s="666"/>
      <c r="Y23" s="666"/>
    </row>
    <row r="24" spans="1:25" s="662" customFormat="1" ht="21" customHeight="1" thickBot="1">
      <c r="A24" s="680"/>
      <c r="B24" s="667"/>
      <c r="C24" s="934" t="s">
        <v>330</v>
      </c>
      <c r="D24" s="935"/>
      <c r="E24" s="935"/>
      <c r="F24" s="668" t="s">
        <v>172</v>
      </c>
      <c r="G24" s="681"/>
      <c r="H24" s="682">
        <f>G24*J6</f>
        <v>0</v>
      </c>
      <c r="I24" s="671"/>
      <c r="J24" s="660"/>
      <c r="K24" s="650"/>
      <c r="L24" s="650"/>
      <c r="M24" s="650"/>
      <c r="N24" s="650"/>
      <c r="O24" s="650"/>
      <c r="P24" s="650"/>
      <c r="Q24" s="650"/>
      <c r="R24" s="665"/>
      <c r="S24" s="665"/>
      <c r="T24" s="665"/>
      <c r="U24" s="666"/>
      <c r="V24" s="666"/>
      <c r="W24" s="666"/>
      <c r="X24" s="666"/>
      <c r="Y24" s="666"/>
    </row>
    <row r="25" spans="1:25" s="662" customFormat="1" ht="33.75" customHeight="1" thickBot="1">
      <c r="A25" s="680"/>
      <c r="B25" s="667"/>
      <c r="C25" s="929" t="s">
        <v>354</v>
      </c>
      <c r="D25" s="930"/>
      <c r="E25" s="930"/>
      <c r="F25" s="668" t="s">
        <v>172</v>
      </c>
      <c r="G25" s="681"/>
      <c r="H25" s="683"/>
      <c r="I25" s="670">
        <f>G25*J7</f>
        <v>0</v>
      </c>
      <c r="J25" s="675"/>
      <c r="K25" s="650"/>
      <c r="L25" s="650"/>
      <c r="M25" s="650"/>
      <c r="N25" s="650"/>
      <c r="O25" s="650"/>
      <c r="P25" s="650"/>
      <c r="Q25" s="650"/>
      <c r="R25" s="665"/>
      <c r="S25" s="665"/>
      <c r="T25" s="665"/>
      <c r="U25" s="666"/>
      <c r="V25" s="666"/>
      <c r="W25" s="666"/>
      <c r="X25" s="666"/>
      <c r="Y25" s="666"/>
    </row>
    <row r="26" spans="1:25" s="662" customFormat="1" ht="21" customHeight="1" thickBot="1">
      <c r="A26" s="680"/>
      <c r="B26" s="667"/>
      <c r="C26" s="934" t="s">
        <v>331</v>
      </c>
      <c r="D26" s="935"/>
      <c r="E26" s="935"/>
      <c r="F26" s="668" t="s">
        <v>172</v>
      </c>
      <c r="G26" s="681"/>
      <c r="H26" s="679"/>
      <c r="I26" s="658"/>
      <c r="J26" s="670">
        <f>G26*J8</f>
        <v>0</v>
      </c>
      <c r="K26" s="650"/>
      <c r="L26" s="650"/>
      <c r="M26" s="650"/>
      <c r="N26" s="650"/>
      <c r="O26" s="650"/>
      <c r="P26" s="650"/>
      <c r="Q26" s="650"/>
      <c r="R26" s="665"/>
      <c r="S26" s="665"/>
      <c r="T26" s="665"/>
      <c r="U26" s="666"/>
      <c r="V26" s="666"/>
      <c r="W26" s="666"/>
      <c r="X26" s="666"/>
      <c r="Y26" s="666"/>
    </row>
    <row r="27" spans="1:25" s="662" customFormat="1" ht="21" customHeight="1">
      <c r="A27" s="680"/>
      <c r="B27" s="667"/>
      <c r="C27" s="934" t="s">
        <v>332</v>
      </c>
      <c r="D27" s="935"/>
      <c r="E27" s="935"/>
      <c r="F27" s="668" t="s">
        <v>172</v>
      </c>
      <c r="G27" s="684"/>
      <c r="H27" s="679"/>
      <c r="I27" s="661"/>
      <c r="J27" s="657"/>
      <c r="K27" s="650"/>
      <c r="L27" s="650"/>
      <c r="M27" s="650"/>
      <c r="N27" s="650"/>
      <c r="O27" s="650"/>
      <c r="P27" s="650"/>
      <c r="Q27" s="650"/>
      <c r="R27" s="665"/>
      <c r="S27" s="665"/>
      <c r="T27" s="665"/>
      <c r="U27" s="666"/>
      <c r="V27" s="666"/>
      <c r="W27" s="666"/>
      <c r="X27" s="666"/>
      <c r="Y27" s="666"/>
    </row>
    <row r="28" spans="1:25" s="662" customFormat="1" ht="21" customHeight="1">
      <c r="A28" s="680"/>
      <c r="B28" s="677"/>
      <c r="C28" s="936" t="s">
        <v>171</v>
      </c>
      <c r="D28" s="937"/>
      <c r="E28" s="937"/>
      <c r="F28" s="678" t="s">
        <v>172</v>
      </c>
      <c r="G28" s="684"/>
      <c r="H28" s="679"/>
      <c r="I28" s="661"/>
      <c r="J28" s="660"/>
      <c r="K28" s="650"/>
      <c r="L28" s="650"/>
      <c r="M28" s="650"/>
      <c r="N28" s="650"/>
      <c r="O28" s="650"/>
      <c r="P28" s="650"/>
      <c r="Q28" s="650"/>
      <c r="R28" s="665"/>
      <c r="S28" s="665"/>
      <c r="T28" s="665"/>
      <c r="U28" s="666"/>
      <c r="V28" s="666"/>
      <c r="W28" s="666"/>
      <c r="X28" s="666"/>
      <c r="Y28" s="666"/>
    </row>
    <row r="29" spans="1:25" s="662" customFormat="1" ht="15.6" hidden="1">
      <c r="A29" s="680"/>
      <c r="B29" s="685"/>
      <c r="C29" s="921" t="s">
        <v>173</v>
      </c>
      <c r="D29" s="922"/>
      <c r="E29" s="922"/>
      <c r="F29" s="922"/>
      <c r="G29" s="922"/>
      <c r="H29" s="686"/>
      <c r="I29" s="686"/>
      <c r="J29" s="686"/>
      <c r="K29" s="650"/>
      <c r="L29" s="650"/>
      <c r="M29" s="650"/>
      <c r="N29" s="650"/>
      <c r="O29" s="650"/>
      <c r="P29" s="650"/>
      <c r="Q29" s="650"/>
      <c r="R29" s="665"/>
      <c r="S29" s="665"/>
      <c r="T29" s="665"/>
      <c r="U29" s="666"/>
      <c r="V29" s="666"/>
      <c r="W29" s="666"/>
      <c r="X29" s="666"/>
      <c r="Y29" s="666"/>
    </row>
    <row r="30" spans="1:25" s="662" customFormat="1" ht="48.75" hidden="1" customHeight="1">
      <c r="A30" s="680"/>
      <c r="B30" s="687">
        <v>5</v>
      </c>
      <c r="C30" s="931" t="s">
        <v>174</v>
      </c>
      <c r="D30" s="931"/>
      <c r="E30" s="931"/>
      <c r="F30" s="931"/>
      <c r="G30" s="931"/>
      <c r="H30" s="688"/>
      <c r="I30" s="688"/>
      <c r="J30" s="688"/>
      <c r="K30" s="650"/>
      <c r="L30" s="650"/>
      <c r="M30" s="650"/>
      <c r="N30" s="650"/>
      <c r="O30" s="650"/>
      <c r="P30" s="650"/>
      <c r="Q30" s="650"/>
      <c r="R30" s="665"/>
      <c r="S30" s="665"/>
      <c r="T30" s="665"/>
      <c r="U30" s="666"/>
      <c r="V30" s="666"/>
      <c r="W30" s="666"/>
      <c r="X30" s="666"/>
      <c r="Y30" s="666"/>
    </row>
    <row r="31" spans="1:25" s="662" customFormat="1" ht="48.75" hidden="1" customHeight="1">
      <c r="A31" s="680"/>
      <c r="B31" s="932"/>
      <c r="C31" s="932"/>
      <c r="D31" s="932"/>
      <c r="E31" s="932"/>
      <c r="F31" s="932"/>
      <c r="G31" s="932"/>
      <c r="H31" s="689">
        <f>SUM(H15:H28)</f>
        <v>0</v>
      </c>
      <c r="I31" s="689">
        <f>SUM(I15:I28)</f>
        <v>0</v>
      </c>
      <c r="J31" s="689">
        <f>SUM(J15:J28)</f>
        <v>0</v>
      </c>
      <c r="K31" s="650">
        <f>SUM(K15:K28)</f>
        <v>0</v>
      </c>
      <c r="L31" s="650">
        <f>SUM(L15:L28)</f>
        <v>0</v>
      </c>
      <c r="M31" s="650"/>
      <c r="N31" s="650"/>
      <c r="O31" s="650"/>
      <c r="P31" s="650"/>
      <c r="Q31" s="650"/>
      <c r="R31" s="665"/>
      <c r="S31" s="665"/>
      <c r="T31" s="665"/>
      <c r="U31" s="666"/>
      <c r="V31" s="666"/>
      <c r="W31" s="666"/>
      <c r="X31" s="666"/>
      <c r="Y31" s="666"/>
    </row>
    <row r="32" spans="1:25" s="662" customFormat="1" ht="48.75" hidden="1" customHeight="1">
      <c r="A32" s="680"/>
      <c r="B32" s="690"/>
      <c r="C32" s="931" t="s">
        <v>175</v>
      </c>
      <c r="D32" s="933"/>
      <c r="E32" s="933"/>
      <c r="F32" s="933"/>
      <c r="G32" s="933"/>
      <c r="H32" s="692" t="e">
        <f>(1-(H31/I2))</f>
        <v>#DIV/0!</v>
      </c>
      <c r="I32" s="692" t="e">
        <f>(1-(I31/I3))</f>
        <v>#DIV/0!</v>
      </c>
      <c r="J32" s="693" t="e">
        <f>1-(J31/I4)</f>
        <v>#DIV/0!</v>
      </c>
      <c r="K32" s="650" t="e">
        <f>1-(K31/I5)</f>
        <v>#DIV/0!</v>
      </c>
      <c r="L32" s="650" t="e">
        <f>1-(L31/#REF!)</f>
        <v>#REF!</v>
      </c>
      <c r="M32" s="650"/>
      <c r="N32" s="650"/>
      <c r="O32" s="650"/>
      <c r="P32" s="650"/>
      <c r="Q32" s="650"/>
      <c r="R32" s="665"/>
      <c r="S32" s="665"/>
      <c r="T32" s="665"/>
      <c r="U32" s="666"/>
      <c r="V32" s="666"/>
      <c r="W32" s="666"/>
      <c r="X32" s="666"/>
      <c r="Y32" s="666"/>
    </row>
    <row r="33" spans="1:25" s="662" customFormat="1" ht="24" customHeight="1">
      <c r="A33" s="926" t="s">
        <v>333</v>
      </c>
      <c r="B33" s="926"/>
      <c r="C33" s="926"/>
      <c r="D33" s="926"/>
      <c r="E33" s="926"/>
      <c r="F33" s="926"/>
      <c r="G33" s="926"/>
      <c r="H33" s="694"/>
      <c r="I33" s="694"/>
      <c r="J33" s="694"/>
      <c r="K33" s="650"/>
      <c r="L33" s="650"/>
      <c r="M33" s="650"/>
      <c r="N33" s="650"/>
      <c r="O33" s="650"/>
      <c r="P33" s="650"/>
      <c r="Q33" s="650"/>
      <c r="R33" s="665"/>
      <c r="S33" s="665"/>
      <c r="T33" s="665"/>
      <c r="U33" s="666"/>
      <c r="V33" s="666"/>
      <c r="W33" s="666"/>
      <c r="X33" s="666"/>
      <c r="Y33" s="666"/>
    </row>
    <row r="34" spans="1:25" s="662" customFormat="1" ht="18.75" customHeight="1" thickBot="1">
      <c r="A34" s="647" t="s">
        <v>176</v>
      </c>
      <c r="B34" s="690"/>
      <c r="C34" s="695"/>
      <c r="E34" s="691"/>
      <c r="F34" s="691"/>
      <c r="G34" s="696"/>
      <c r="H34" s="694"/>
      <c r="I34" s="694"/>
      <c r="J34" s="694"/>
      <c r="K34" s="650"/>
      <c r="L34" s="650"/>
      <c r="M34" s="650"/>
      <c r="N34" s="650"/>
      <c r="O34" s="650"/>
      <c r="P34" s="650"/>
      <c r="Q34" s="650"/>
      <c r="R34" s="665"/>
      <c r="S34" s="665"/>
      <c r="T34" s="665"/>
      <c r="U34" s="666"/>
      <c r="V34" s="666"/>
      <c r="W34" s="666"/>
      <c r="X34" s="666"/>
      <c r="Y34" s="666"/>
    </row>
    <row r="35" spans="1:25" s="662" customFormat="1" ht="21" customHeight="1" thickBot="1">
      <c r="A35" s="507" t="s">
        <v>177</v>
      </c>
      <c r="B35" s="690"/>
      <c r="C35" s="695"/>
      <c r="E35" s="691"/>
      <c r="F35" s="691"/>
      <c r="G35" s="696"/>
      <c r="H35" s="697">
        <f>SUM(H15:H26)</f>
        <v>0</v>
      </c>
      <c r="I35" s="698">
        <f>SUM(I15:I26)</f>
        <v>0</v>
      </c>
      <c r="J35" s="699">
        <f>SUM(J15:J26)</f>
        <v>0</v>
      </c>
      <c r="K35" s="700"/>
      <c r="L35" s="650"/>
      <c r="M35" s="650"/>
      <c r="N35" s="650"/>
      <c r="O35" s="650"/>
      <c r="P35" s="650"/>
      <c r="Q35" s="650"/>
      <c r="R35" s="665"/>
      <c r="S35" s="665"/>
      <c r="T35" s="665"/>
      <c r="U35" s="666"/>
      <c r="V35" s="666"/>
      <c r="W35" s="666"/>
      <c r="X35" s="666"/>
      <c r="Y35" s="666"/>
    </row>
    <row r="36" spans="1:25" ht="19.5" customHeight="1" thickBot="1">
      <c r="A36" s="701"/>
      <c r="B36" s="701"/>
      <c r="C36" s="702"/>
      <c r="D36" s="506"/>
      <c r="E36" s="507"/>
      <c r="F36" s="507"/>
      <c r="G36" s="526" t="s">
        <v>178</v>
      </c>
      <c r="H36" s="703">
        <f>IF(J6=0,0,1-(H35/J6))</f>
        <v>0</v>
      </c>
      <c r="I36" s="703">
        <f>IF(J7=0,0,1-(I35/J7))</f>
        <v>0</v>
      </c>
      <c r="J36" s="704">
        <f>IF(J8=0,0,1-(J35/J8))</f>
        <v>0</v>
      </c>
      <c r="K36" s="705" t="s">
        <v>355</v>
      </c>
    </row>
    <row r="37" spans="1:25" ht="19.5" customHeight="1">
      <c r="A37" s="701"/>
      <c r="B37" s="701"/>
      <c r="C37" s="702"/>
      <c r="D37" s="506"/>
      <c r="E37" s="507"/>
      <c r="F37" s="507"/>
      <c r="G37" s="505" t="str">
        <f>"For and on behalf of "</f>
        <v xml:space="preserve">For and on behalf of </v>
      </c>
      <c r="H37" s="631"/>
    </row>
    <row r="38" spans="1:25" ht="19.5" customHeight="1">
      <c r="A38" s="706"/>
      <c r="B38" s="706"/>
      <c r="C38" s="706"/>
      <c r="D38" s="707"/>
      <c r="E38" s="708"/>
      <c r="F38" s="708"/>
      <c r="G38" s="634"/>
      <c r="H38" s="709"/>
    </row>
    <row r="39" spans="1:25" ht="23.25" customHeight="1">
      <c r="A39" s="710" t="s">
        <v>179</v>
      </c>
      <c r="B39" s="710"/>
      <c r="C39" s="711" t="str">
        <f>'Sch-7'!C21:D21</f>
        <v xml:space="preserve">  </v>
      </c>
      <c r="D39" s="707"/>
      <c r="E39" s="708" t="s">
        <v>180</v>
      </c>
      <c r="F39" s="712">
        <f>'Names of Bidder'!D24</f>
        <v>0</v>
      </c>
      <c r="G39" s="713"/>
      <c r="H39" s="641"/>
    </row>
    <row r="40" spans="1:25" ht="23.25" customHeight="1">
      <c r="A40" s="710" t="s">
        <v>181</v>
      </c>
      <c r="B40" s="710"/>
      <c r="C40" s="714" t="str">
        <f>'Sch-7'!C22:D22</f>
        <v/>
      </c>
      <c r="D40" s="715"/>
      <c r="E40" s="708" t="s">
        <v>182</v>
      </c>
      <c r="F40" s="712">
        <f>'Names of Bidder'!D25</f>
        <v>0</v>
      </c>
      <c r="G40" s="713"/>
      <c r="H40" s="631"/>
    </row>
  </sheetData>
  <sheetProtection algorithmName="SHA-512" hashValue="+jDgGAxXCAYWrdVFGHijnkMVe/hledpWJcjYWmRrO2zHtWuMC8WfxYKG7uX2wIat9z9JhcgCYlbXv8LoC3NgVA==" saltValue="voZ3z7KTkH6nxzKtPInN8w==" spinCount="100000" sheet="1" formatColumns="0" formatRows="0" selectLockedCells="1"/>
  <customSheetViews>
    <customSheetView guid="{B85D7887-A299-45C0-BD97-6C28577A6A5C}" showPageBreaks="1" zeroValues="0" printArea="1" hiddenRows="1" hiddenColumns="1" view="pageBreakPreview" topLeftCell="A18">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A9345C4-09FE-4F27-BFD9-3D9BCD2DED09}" showPageBreaks="1" zeroValues="0" printArea="1" hiddenRows="1" hiddenColumns="1" view="pageBreakPreview" topLeftCell="A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AB1F867-F01E-4EB9-A93D-DDCFDB9AA444}" showPageBreaks="1" zeroValues="0" printArea="1" hiddenRows="1" hiddenColumns="1" view="pageBreakPreview" topLeftCell="A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497EA202-A8B8-45C5-9E6C-C3CD104F3979}"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D5521983-A70D-48A3-9506-C0263CBBC57D}" showPageBreaks="1" zeroValues="0" printArea="1" hiddenRows="1" hiddenColumns="1" view="pageBreakPreview" topLeftCell="A6">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12A89170-4F84-482D-A3C5-7890082E7B73}" showPageBreaks="1" zeroValues="0" printArea="1" hiddenRows="1" hiddenColumns="1" view="pageBreakPreview" topLeftCell="A6">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65"/>
    <col min="2" max="2" width="30.6640625" style="47" customWidth="1"/>
    <col min="3" max="3" width="26.109375" style="47" customWidth="1"/>
    <col min="4" max="5" width="17.88671875" style="47" customWidth="1"/>
    <col min="6" max="16384" width="9.109375" style="18"/>
  </cols>
  <sheetData>
    <row r="1" spans="1:6">
      <c r="A1" s="70"/>
      <c r="B1" s="71"/>
      <c r="C1" s="71"/>
      <c r="D1" s="71"/>
      <c r="E1" s="71"/>
    </row>
    <row r="2" spans="1:6" ht="21.9" customHeight="1">
      <c r="A2" s="949" t="s">
        <v>183</v>
      </c>
      <c r="B2" s="949"/>
      <c r="C2" s="949"/>
      <c r="D2" s="949"/>
      <c r="E2" s="18"/>
    </row>
    <row r="3" spans="1:6">
      <c r="A3" s="70"/>
      <c r="B3" s="71"/>
      <c r="C3" s="71"/>
      <c r="D3" s="71"/>
      <c r="E3" s="71"/>
    </row>
    <row r="4" spans="1:6" ht="28.8">
      <c r="A4" s="72" t="s">
        <v>184</v>
      </c>
      <c r="B4" s="73" t="s">
        <v>185</v>
      </c>
      <c r="C4" s="72" t="s">
        <v>139</v>
      </c>
      <c r="D4" s="72" t="s">
        <v>186</v>
      </c>
      <c r="E4" s="72" t="s">
        <v>187</v>
      </c>
    </row>
    <row r="5" spans="1:6" ht="18" customHeight="1">
      <c r="A5" s="74" t="s">
        <v>188</v>
      </c>
      <c r="B5" s="74" t="s">
        <v>189</v>
      </c>
      <c r="C5" s="74" t="s">
        <v>190</v>
      </c>
      <c r="D5" s="74" t="s">
        <v>191</v>
      </c>
      <c r="E5" s="74" t="s">
        <v>192</v>
      </c>
    </row>
    <row r="6" spans="1:6" ht="45" customHeight="1">
      <c r="A6" s="75">
        <v>1</v>
      </c>
      <c r="B6" s="76"/>
      <c r="C6" s="77"/>
      <c r="D6" s="78"/>
      <c r="E6" s="79">
        <f t="shared" ref="E6:E15" si="0">C6*D6</f>
        <v>0</v>
      </c>
    </row>
    <row r="7" spans="1:6" ht="45" customHeight="1">
      <c r="A7" s="75">
        <v>2</v>
      </c>
      <c r="B7" s="76"/>
      <c r="C7" s="77"/>
      <c r="D7" s="78"/>
      <c r="E7" s="79">
        <f t="shared" si="0"/>
        <v>0</v>
      </c>
    </row>
    <row r="8" spans="1:6" ht="45" customHeight="1">
      <c r="A8" s="75">
        <v>3</v>
      </c>
      <c r="B8" s="76"/>
      <c r="C8" s="77"/>
      <c r="D8" s="78"/>
      <c r="E8" s="79">
        <f t="shared" si="0"/>
        <v>0</v>
      </c>
    </row>
    <row r="9" spans="1:6" ht="45" customHeight="1">
      <c r="A9" s="75">
        <v>4</v>
      </c>
      <c r="B9" s="76"/>
      <c r="C9" s="77"/>
      <c r="D9" s="78"/>
      <c r="E9" s="79">
        <f t="shared" si="0"/>
        <v>0</v>
      </c>
    </row>
    <row r="10" spans="1:6" ht="45" customHeight="1">
      <c r="A10" s="75">
        <v>5</v>
      </c>
      <c r="B10" s="76"/>
      <c r="C10" s="77"/>
      <c r="D10" s="78"/>
      <c r="E10" s="79">
        <f t="shared" si="0"/>
        <v>0</v>
      </c>
    </row>
    <row r="11" spans="1:6" ht="45" customHeight="1">
      <c r="A11" s="75">
        <v>6</v>
      </c>
      <c r="B11" s="76"/>
      <c r="C11" s="77"/>
      <c r="D11" s="78"/>
      <c r="E11" s="79">
        <f t="shared" si="0"/>
        <v>0</v>
      </c>
    </row>
    <row r="12" spans="1:6" ht="45" customHeight="1">
      <c r="A12" s="75">
        <v>7</v>
      </c>
      <c r="B12" s="76"/>
      <c r="C12" s="77"/>
      <c r="D12" s="78"/>
      <c r="E12" s="79">
        <f t="shared" si="0"/>
        <v>0</v>
      </c>
    </row>
    <row r="13" spans="1:6" ht="45" customHeight="1">
      <c r="A13" s="75">
        <v>8</v>
      </c>
      <c r="B13" s="76"/>
      <c r="C13" s="77"/>
      <c r="D13" s="78"/>
      <c r="E13" s="79">
        <f t="shared" si="0"/>
        <v>0</v>
      </c>
    </row>
    <row r="14" spans="1:6" ht="45" customHeight="1">
      <c r="A14" s="75">
        <v>9</v>
      </c>
      <c r="B14" s="76"/>
      <c r="C14" s="77"/>
      <c r="D14" s="78"/>
      <c r="E14" s="79">
        <f t="shared" si="0"/>
        <v>0</v>
      </c>
    </row>
    <row r="15" spans="1:6" ht="45" customHeight="1">
      <c r="A15" s="75">
        <v>10</v>
      </c>
      <c r="B15" s="76"/>
      <c r="C15" s="77"/>
      <c r="D15" s="78"/>
      <c r="E15" s="79">
        <f t="shared" si="0"/>
        <v>0</v>
      </c>
    </row>
    <row r="16" spans="1:6" ht="45" customHeight="1">
      <c r="A16" s="80"/>
      <c r="B16" s="81" t="s">
        <v>193</v>
      </c>
      <c r="C16" s="81"/>
      <c r="D16" s="81"/>
      <c r="E16" s="81">
        <f>SUM(E6:E15)</f>
        <v>0</v>
      </c>
      <c r="F16" s="82"/>
    </row>
    <row r="17" ht="30" customHeight="1"/>
    <row r="18" ht="30" customHeight="1"/>
    <row r="19" ht="30" customHeight="1"/>
    <row r="20" ht="30" customHeight="1"/>
    <row r="21" ht="30" customHeight="1"/>
  </sheetData>
  <sheetProtection password="916E" sheet="1" formatColumns="0" formatRows="0" selectLockedCells="1"/>
  <customSheetViews>
    <customSheetView guid="{B85D7887-A299-45C0-BD97-6C28577A6A5C}" state="hidden" topLeftCell="A4">
      <selection activeCell="D6" sqref="D6"/>
      <pageMargins left="0.75" right="0.75" top="0.65" bottom="1" header="0.5" footer="0.5"/>
      <pageSetup orientation="portrait" r:id="rId1"/>
      <headerFooter alignWithMargins="0"/>
    </customSheetView>
    <customSheetView guid="{CA9345C4-09FE-4F27-BFD9-3D9BCD2DED09}" state="hidden" topLeftCell="A4">
      <selection activeCell="D6" sqref="D6"/>
      <pageMargins left="0.75" right="0.75" top="0.65" bottom="1" header="0.5" footer="0.5"/>
      <pageSetup orientation="portrait" r:id="rId2"/>
      <headerFooter alignWithMargins="0"/>
    </customSheetView>
    <customSheetView guid="{7AB1F867-F01E-4EB9-A93D-DDCFDB9AA444}" state="hidden" topLeftCell="A4">
      <selection activeCell="D6" sqref="D6"/>
      <pageMargins left="0.75" right="0.75" top="0.65" bottom="1" header="0.5" footer="0.5"/>
      <pageSetup orientation="portrait" r:id="rId3"/>
      <headerFooter alignWithMargins="0"/>
    </customSheetView>
    <customSheetView guid="{B96E710B-6DD7-4DE1-95AB-C9EE060CD030}"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497EA202-A8B8-45C5-9E6C-C3CD104F3979}"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D5521983-A70D-48A3-9506-C0263CBBC57D}" state="hidden" topLeftCell="A4">
      <selection activeCell="D6" sqref="D6"/>
      <pageMargins left="0.75" right="0.75" top="0.65" bottom="1" header="0.5" footer="0.5"/>
      <pageSetup orientation="portrait" r:id="rId10"/>
      <headerFooter alignWithMargins="0"/>
    </customSheetView>
    <customSheetView guid="{12A89170-4F84-482D-A3C5-7890082E7B73}" state="hidden" topLeftCell="A4">
      <selection activeCell="D6" sqref="D6"/>
      <pageMargins left="0.75" right="0.75" top="0.65" bottom="1" header="0.5" footer="0.5"/>
      <pageSetup orientation="portrait" r:id="rId11"/>
      <headerFooter alignWithMargins="0"/>
    </customSheetView>
    <customSheetView guid="{CCA37BAE-906F-43D5-9FD9-B13563E4B9D7}"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65"/>
    <col min="2" max="2" width="30.6640625" style="47" customWidth="1"/>
    <col min="3" max="3" width="26.109375" style="47" customWidth="1"/>
    <col min="4" max="5" width="17.88671875" style="47" customWidth="1"/>
    <col min="6" max="16384" width="9.109375" style="18"/>
  </cols>
  <sheetData>
    <row r="1" spans="1:6">
      <c r="A1" s="70"/>
      <c r="B1" s="71"/>
      <c r="C1" s="71"/>
      <c r="D1" s="71"/>
      <c r="E1" s="71"/>
    </row>
    <row r="2" spans="1:6" ht="21.9" customHeight="1">
      <c r="A2" s="949" t="s">
        <v>194</v>
      </c>
      <c r="B2" s="949"/>
      <c r="C2" s="949"/>
      <c r="D2" s="950"/>
      <c r="E2" s="14"/>
    </row>
    <row r="3" spans="1:6">
      <c r="A3" s="70"/>
      <c r="B3" s="71"/>
      <c r="C3" s="71"/>
      <c r="D3" s="71"/>
      <c r="E3" s="71"/>
    </row>
    <row r="4" spans="1:6" ht="28.8">
      <c r="A4" s="72" t="s">
        <v>184</v>
      </c>
      <c r="B4" s="73" t="s">
        <v>185</v>
      </c>
      <c r="C4" s="72" t="s">
        <v>195</v>
      </c>
      <c r="D4" s="72" t="s">
        <v>196</v>
      </c>
      <c r="E4" s="72" t="s">
        <v>197</v>
      </c>
    </row>
    <row r="5" spans="1:6" ht="18" customHeight="1">
      <c r="A5" s="74" t="s">
        <v>188</v>
      </c>
      <c r="B5" s="74" t="s">
        <v>189</v>
      </c>
      <c r="C5" s="74" t="s">
        <v>190</v>
      </c>
      <c r="D5" s="74" t="s">
        <v>191</v>
      </c>
      <c r="E5" s="74" t="s">
        <v>192</v>
      </c>
    </row>
    <row r="6" spans="1:6" ht="45" customHeight="1">
      <c r="A6" s="75">
        <v>1</v>
      </c>
      <c r="B6" s="76"/>
      <c r="C6" s="77"/>
      <c r="D6" s="78"/>
      <c r="E6" s="79">
        <f>C6*D6</f>
        <v>0</v>
      </c>
    </row>
    <row r="7" spans="1:6" ht="45" customHeight="1">
      <c r="A7" s="75">
        <v>2</v>
      </c>
      <c r="B7" s="76"/>
      <c r="C7" s="77"/>
      <c r="D7" s="78"/>
      <c r="E7" s="79">
        <f t="shared" ref="E7:E15" si="0">C7*D7</f>
        <v>0</v>
      </c>
    </row>
    <row r="8" spans="1:6" ht="45" customHeight="1">
      <c r="A8" s="75">
        <v>3</v>
      </c>
      <c r="B8" s="76"/>
      <c r="C8" s="77"/>
      <c r="D8" s="78"/>
      <c r="E8" s="79">
        <f t="shared" si="0"/>
        <v>0</v>
      </c>
    </row>
    <row r="9" spans="1:6" ht="45" customHeight="1">
      <c r="A9" s="75">
        <v>4</v>
      </c>
      <c r="B9" s="76"/>
      <c r="C9" s="77"/>
      <c r="D9" s="78"/>
      <c r="E9" s="79">
        <f t="shared" si="0"/>
        <v>0</v>
      </c>
    </row>
    <row r="10" spans="1:6" ht="45" customHeight="1">
      <c r="A10" s="75">
        <v>5</v>
      </c>
      <c r="B10" s="76"/>
      <c r="C10" s="77"/>
      <c r="D10" s="78"/>
      <c r="E10" s="79">
        <f t="shared" si="0"/>
        <v>0</v>
      </c>
    </row>
    <row r="11" spans="1:6" ht="45" customHeight="1">
      <c r="A11" s="75">
        <v>6</v>
      </c>
      <c r="B11" s="76"/>
      <c r="C11" s="77"/>
      <c r="D11" s="78"/>
      <c r="E11" s="79">
        <f t="shared" si="0"/>
        <v>0</v>
      </c>
    </row>
    <row r="12" spans="1:6" ht="45" customHeight="1">
      <c r="A12" s="75">
        <v>7</v>
      </c>
      <c r="B12" s="76"/>
      <c r="C12" s="77"/>
      <c r="D12" s="78"/>
      <c r="E12" s="79">
        <f t="shared" si="0"/>
        <v>0</v>
      </c>
    </row>
    <row r="13" spans="1:6" ht="45" customHeight="1">
      <c r="A13" s="75">
        <v>8</v>
      </c>
      <c r="B13" s="76"/>
      <c r="C13" s="77"/>
      <c r="D13" s="78"/>
      <c r="E13" s="79">
        <f t="shared" si="0"/>
        <v>0</v>
      </c>
    </row>
    <row r="14" spans="1:6" ht="45" customHeight="1">
      <c r="A14" s="75">
        <v>9</v>
      </c>
      <c r="B14" s="76"/>
      <c r="C14" s="77"/>
      <c r="D14" s="78"/>
      <c r="E14" s="79">
        <f t="shared" si="0"/>
        <v>0</v>
      </c>
    </row>
    <row r="15" spans="1:6" ht="45" customHeight="1">
      <c r="A15" s="75">
        <v>10</v>
      </c>
      <c r="B15" s="76"/>
      <c r="C15" s="77"/>
      <c r="D15" s="78"/>
      <c r="E15" s="79">
        <f t="shared" si="0"/>
        <v>0</v>
      </c>
    </row>
    <row r="16" spans="1:6" ht="45" customHeight="1">
      <c r="A16" s="80"/>
      <c r="B16" s="81" t="s">
        <v>193</v>
      </c>
      <c r="C16" s="81"/>
      <c r="D16" s="81"/>
      <c r="E16" s="81">
        <f>SUM(E6:E15)</f>
        <v>0</v>
      </c>
      <c r="F16" s="82"/>
    </row>
    <row r="17" ht="30" customHeight="1"/>
    <row r="18" ht="30" customHeight="1"/>
    <row r="19" ht="30" customHeight="1"/>
    <row r="20" ht="30" customHeight="1"/>
    <row r="21" ht="30" customHeight="1"/>
  </sheetData>
  <sheetProtection password="916E" sheet="1" formatColumns="0" formatRows="0" selectLockedCells="1"/>
  <customSheetViews>
    <customSheetView guid="{B85D7887-A299-45C0-BD97-6C28577A6A5C}" state="hidden" topLeftCell="A13">
      <selection activeCell="D6" sqref="D6"/>
      <pageMargins left="0.75" right="0.75" top="0.65" bottom="1" header="0.5" footer="0.5"/>
      <pageSetup orientation="portrait" r:id="rId1"/>
      <headerFooter alignWithMargins="0"/>
    </customSheetView>
    <customSheetView guid="{CA9345C4-09FE-4F27-BFD9-3D9BCD2DED09}" state="hidden" topLeftCell="A13">
      <selection activeCell="D6" sqref="D6"/>
      <pageMargins left="0.75" right="0.75" top="0.65" bottom="1" header="0.5" footer="0.5"/>
      <pageSetup orientation="portrait" r:id="rId2"/>
      <headerFooter alignWithMargins="0"/>
    </customSheetView>
    <customSheetView guid="{7AB1F867-F01E-4EB9-A93D-DDCFDB9AA444}" state="hidden" topLeftCell="A13">
      <selection activeCell="D6" sqref="D6"/>
      <pageMargins left="0.75" right="0.75" top="0.65" bottom="1" header="0.5" footer="0.5"/>
      <pageSetup orientation="portrait" r:id="rId3"/>
      <headerFooter alignWithMargins="0"/>
    </customSheetView>
    <customSheetView guid="{B96E710B-6DD7-4DE1-95AB-C9EE060CD030}"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497EA202-A8B8-45C5-9E6C-C3CD104F3979}"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D5521983-A70D-48A3-9506-C0263CBBC57D}" state="hidden" topLeftCell="A13">
      <selection activeCell="D6" sqref="D6"/>
      <pageMargins left="0.75" right="0.75" top="0.65" bottom="1" header="0.5" footer="0.5"/>
      <pageSetup orientation="portrait" r:id="rId10"/>
      <headerFooter alignWithMargins="0"/>
    </customSheetView>
    <customSheetView guid="{12A89170-4F84-482D-A3C5-7890082E7B73}" state="hidden" topLeftCell="A13">
      <selection activeCell="D6" sqref="D6"/>
      <pageMargins left="0.75" right="0.75" top="0.65" bottom="1" header="0.5" footer="0.5"/>
      <pageSetup orientation="portrait" r:id="rId11"/>
      <headerFooter alignWithMargins="0"/>
    </customSheetView>
    <customSheetView guid="{CCA37BAE-906F-43D5-9FD9-B13563E4B9D7}"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65" customWidth="1"/>
    <col min="2" max="4" width="23.5546875" style="47" customWidth="1"/>
    <col min="5" max="5" width="11" style="47" customWidth="1"/>
    <col min="6" max="6" width="14.44140625" style="47" customWidth="1"/>
    <col min="7" max="16384" width="9.109375" style="18"/>
  </cols>
  <sheetData>
    <row r="1" spans="1:7">
      <c r="A1" s="70"/>
      <c r="B1" s="71"/>
      <c r="C1" s="71"/>
      <c r="D1" s="71"/>
      <c r="E1" s="71"/>
      <c r="F1" s="71"/>
    </row>
    <row r="2" spans="1:7" ht="21.9" customHeight="1">
      <c r="A2" s="949" t="s">
        <v>198</v>
      </c>
      <c r="B2" s="949"/>
      <c r="C2" s="949"/>
      <c r="D2" s="949"/>
      <c r="E2" s="950"/>
      <c r="F2" s="18"/>
    </row>
    <row r="3" spans="1:7">
      <c r="A3" s="70"/>
      <c r="B3" s="71"/>
      <c r="C3" s="71"/>
      <c r="D3" s="71"/>
      <c r="E3" s="71"/>
      <c r="F3" s="71"/>
    </row>
    <row r="4" spans="1:7" ht="43.2">
      <c r="A4" s="72" t="s">
        <v>184</v>
      </c>
      <c r="B4" s="73" t="s">
        <v>185</v>
      </c>
      <c r="C4" s="72" t="s">
        <v>199</v>
      </c>
      <c r="D4" s="72" t="s">
        <v>200</v>
      </c>
      <c r="E4" s="72" t="s">
        <v>201</v>
      </c>
      <c r="F4" s="72" t="s">
        <v>202</v>
      </c>
    </row>
    <row r="5" spans="1:7" ht="18" customHeight="1">
      <c r="A5" s="74" t="s">
        <v>188</v>
      </c>
      <c r="B5" s="74" t="s">
        <v>189</v>
      </c>
      <c r="C5" s="74" t="s">
        <v>190</v>
      </c>
      <c r="D5" s="74" t="s">
        <v>191</v>
      </c>
      <c r="E5" s="83" t="s">
        <v>203</v>
      </c>
      <c r="F5" s="74" t="s">
        <v>204</v>
      </c>
    </row>
    <row r="6" spans="1:7" ht="45" customHeight="1">
      <c r="A6" s="75">
        <v>1</v>
      </c>
      <c r="B6" s="76"/>
      <c r="C6" s="77"/>
      <c r="D6" s="77"/>
      <c r="E6" s="78"/>
      <c r="F6" s="79">
        <f>C6*E6</f>
        <v>0</v>
      </c>
    </row>
    <row r="7" spans="1:7" ht="45" customHeight="1">
      <c r="A7" s="75">
        <v>2</v>
      </c>
      <c r="B7" s="76"/>
      <c r="C7" s="77"/>
      <c r="D7" s="77"/>
      <c r="E7" s="78"/>
      <c r="F7" s="79">
        <f t="shared" ref="F7:F15" si="0">C7*E7</f>
        <v>0</v>
      </c>
    </row>
    <row r="8" spans="1:7" ht="45" customHeight="1">
      <c r="A8" s="75">
        <v>3</v>
      </c>
      <c r="B8" s="76"/>
      <c r="C8" s="77"/>
      <c r="D8" s="77"/>
      <c r="E8" s="78"/>
      <c r="F8" s="79">
        <f t="shared" si="0"/>
        <v>0</v>
      </c>
    </row>
    <row r="9" spans="1:7" ht="45" customHeight="1">
      <c r="A9" s="75">
        <v>4</v>
      </c>
      <c r="B9" s="76"/>
      <c r="C9" s="77"/>
      <c r="D9" s="77"/>
      <c r="E9" s="78"/>
      <c r="F9" s="79">
        <f t="shared" si="0"/>
        <v>0</v>
      </c>
    </row>
    <row r="10" spans="1:7" ht="45" customHeight="1">
      <c r="A10" s="75">
        <v>5</v>
      </c>
      <c r="B10" s="76"/>
      <c r="C10" s="77"/>
      <c r="D10" s="77"/>
      <c r="E10" s="78"/>
      <c r="F10" s="79">
        <f t="shared" si="0"/>
        <v>0</v>
      </c>
    </row>
    <row r="11" spans="1:7" ht="45" customHeight="1">
      <c r="A11" s="75">
        <v>6</v>
      </c>
      <c r="B11" s="76"/>
      <c r="C11" s="77"/>
      <c r="D11" s="77"/>
      <c r="E11" s="78"/>
      <c r="F11" s="79">
        <f t="shared" si="0"/>
        <v>0</v>
      </c>
    </row>
    <row r="12" spans="1:7" ht="45" customHeight="1">
      <c r="A12" s="75">
        <v>7</v>
      </c>
      <c r="B12" s="76"/>
      <c r="C12" s="77"/>
      <c r="D12" s="77"/>
      <c r="E12" s="78"/>
      <c r="F12" s="79">
        <f t="shared" si="0"/>
        <v>0</v>
      </c>
    </row>
    <row r="13" spans="1:7" ht="45" customHeight="1">
      <c r="A13" s="75">
        <v>8</v>
      </c>
      <c r="B13" s="76"/>
      <c r="C13" s="77"/>
      <c r="D13" s="77"/>
      <c r="E13" s="78"/>
      <c r="F13" s="79">
        <f t="shared" si="0"/>
        <v>0</v>
      </c>
    </row>
    <row r="14" spans="1:7" ht="45" customHeight="1">
      <c r="A14" s="75">
        <v>9</v>
      </c>
      <c r="B14" s="76"/>
      <c r="C14" s="77"/>
      <c r="D14" s="77"/>
      <c r="E14" s="78"/>
      <c r="F14" s="79">
        <f t="shared" si="0"/>
        <v>0</v>
      </c>
    </row>
    <row r="15" spans="1:7" ht="45" customHeight="1">
      <c r="A15" s="75">
        <v>10</v>
      </c>
      <c r="B15" s="76"/>
      <c r="C15" s="77"/>
      <c r="D15" s="77"/>
      <c r="E15" s="78"/>
      <c r="F15" s="79">
        <f t="shared" si="0"/>
        <v>0</v>
      </c>
    </row>
    <row r="16" spans="1:7" ht="45" customHeight="1">
      <c r="A16" s="80"/>
      <c r="B16" s="81" t="s">
        <v>193</v>
      </c>
      <c r="C16" s="81"/>
      <c r="D16" s="81"/>
      <c r="E16" s="81"/>
      <c r="F16" s="81">
        <f>SUM(F6:F15)</f>
        <v>0</v>
      </c>
      <c r="G16" s="82"/>
    </row>
    <row r="17" ht="30" customHeight="1"/>
    <row r="18" ht="30" customHeight="1"/>
    <row r="19" ht="30" customHeight="1"/>
    <row r="20" ht="30" customHeight="1"/>
    <row r="21" ht="30" customHeight="1"/>
  </sheetData>
  <sheetProtection password="E848" sheet="1" formatColumns="0" formatRows="0" selectLockedCells="1"/>
  <customSheetViews>
    <customSheetView guid="{B85D7887-A299-45C0-BD97-6C28577A6A5C}" state="hidden" topLeftCell="A5">
      <selection activeCell="D11" sqref="D11"/>
      <pageMargins left="0.75" right="0.62" top="0.65" bottom="1" header="0.5" footer="0.5"/>
      <pageSetup orientation="portrait" r:id="rId1"/>
      <headerFooter alignWithMargins="0"/>
    </customSheetView>
    <customSheetView guid="{CA9345C4-09FE-4F27-BFD9-3D9BCD2DED09}" state="hidden" topLeftCell="A5">
      <selection activeCell="D11" sqref="D11"/>
      <pageMargins left="0.75" right="0.62" top="0.65" bottom="1" header="0.5" footer="0.5"/>
      <pageSetup orientation="portrait" r:id="rId2"/>
      <headerFooter alignWithMargins="0"/>
    </customSheetView>
    <customSheetView guid="{7AB1F867-F01E-4EB9-A93D-DDCFDB9AA444}" state="hidden" topLeftCell="A5">
      <selection activeCell="D11" sqref="D11"/>
      <pageMargins left="0.75" right="0.62" top="0.65" bottom="1" header="0.5" footer="0.5"/>
      <pageSetup orientation="portrait" r:id="rId3"/>
      <headerFooter alignWithMargins="0"/>
    </customSheetView>
    <customSheetView guid="{B96E710B-6DD7-4DE1-95AB-C9EE060CD030}"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497EA202-A8B8-45C5-9E6C-C3CD104F3979}"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D5521983-A70D-48A3-9506-C0263CBBC57D}" state="hidden" topLeftCell="A5">
      <selection activeCell="D11" sqref="D11"/>
      <pageMargins left="0.75" right="0.62" top="0.65" bottom="1" header="0.5" footer="0.5"/>
      <pageSetup orientation="portrait" r:id="rId10"/>
      <headerFooter alignWithMargins="0"/>
    </customSheetView>
    <customSheetView guid="{12A89170-4F84-482D-A3C5-7890082E7B73}" state="hidden" topLeftCell="A5">
      <selection activeCell="D11" sqref="D11"/>
      <pageMargins left="0.75" right="0.62" top="0.65" bottom="1" header="0.5" footer="0.5"/>
      <pageSetup orientation="portrait" r:id="rId11"/>
      <headerFooter alignWithMargins="0"/>
    </customSheetView>
    <customSheetView guid="{CCA37BAE-906F-43D5-9FD9-B13563E4B9D7}"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zoomScaleNormal="100" zoomScaleSheetLayoutView="100" workbookViewId="0">
      <selection activeCell="F51" sqref="F51"/>
    </sheetView>
  </sheetViews>
  <sheetFormatPr defaultColWidth="9.109375" defaultRowHeight="14.4"/>
  <cols>
    <col min="1" max="1" width="10.6640625" style="719" customWidth="1"/>
    <col min="2" max="2" width="15.33203125" style="724" customWidth="1"/>
    <col min="3" max="3" width="16.33203125" style="719" customWidth="1"/>
    <col min="4" max="4" width="20.6640625" style="719" customWidth="1"/>
    <col min="5" max="5" width="12.6640625" style="719" customWidth="1"/>
    <col min="6" max="6" width="34.109375" style="719" customWidth="1"/>
    <col min="7" max="7" width="9.109375" style="719" customWidth="1"/>
    <col min="8" max="8" width="12" style="719" hidden="1" customWidth="1"/>
    <col min="9" max="18" width="9.109375" style="720" hidden="1" customWidth="1"/>
    <col min="19" max="19" width="8" style="720" hidden="1" customWidth="1"/>
    <col min="20" max="20" width="9.109375" style="720" hidden="1" customWidth="1"/>
    <col min="21" max="21" width="7.6640625" style="720" hidden="1" customWidth="1"/>
    <col min="22" max="22" width="9.109375" style="720" hidden="1" customWidth="1"/>
    <col min="23" max="23" width="5.5546875" style="720" hidden="1" customWidth="1"/>
    <col min="24" max="24" width="4.88671875" style="720" hidden="1" customWidth="1"/>
    <col min="25" max="25" width="9.109375" style="720" hidden="1" customWidth="1"/>
    <col min="26" max="26" width="66.6640625" style="720" hidden="1" customWidth="1"/>
    <col min="27" max="27" width="17.5546875" style="720" hidden="1" customWidth="1"/>
    <col min="28" max="28" width="20" style="720" hidden="1" customWidth="1"/>
    <col min="29" max="29" width="13.88671875" style="720" hidden="1" customWidth="1"/>
    <col min="30" max="30" width="9.109375" style="721" hidden="1" customWidth="1"/>
    <col min="31" max="31" width="9.109375" style="722" hidden="1" customWidth="1"/>
    <col min="32" max="32" width="13.6640625" style="722" hidden="1" customWidth="1"/>
    <col min="33" max="35" width="9.109375" style="721" hidden="1" customWidth="1"/>
    <col min="36" max="36" width="10.44140625" style="721" hidden="1" customWidth="1"/>
    <col min="37" max="41" width="9.109375" style="721" hidden="1" customWidth="1"/>
    <col min="42" max="16384" width="9.109375" style="720"/>
  </cols>
  <sheetData>
    <row r="1" spans="1:36" ht="24.75" customHeight="1">
      <c r="A1" s="716" t="str">
        <f>Cover!B3</f>
        <v>Spec. No.:CC/NT/W-GIS/DOM/A04/24/01196</v>
      </c>
      <c r="B1" s="716"/>
      <c r="C1" s="717"/>
      <c r="D1" s="717"/>
      <c r="E1" s="717"/>
      <c r="F1" s="718" t="s">
        <v>826</v>
      </c>
      <c r="Z1" s="720" t="str">
        <f>'[6]Names of Bidder'!D6</f>
        <v>Sole Bidder</v>
      </c>
      <c r="AE1" s="722">
        <v>1</v>
      </c>
      <c r="AF1" s="722" t="s">
        <v>205</v>
      </c>
      <c r="AI1" s="722">
        <v>1</v>
      </c>
      <c r="AJ1" s="721" t="s">
        <v>206</v>
      </c>
    </row>
    <row r="2" spans="1:36">
      <c r="B2" s="719"/>
      <c r="Z2" s="720">
        <f>'[6]Names of Bidder'!AA6</f>
        <v>0</v>
      </c>
      <c r="AE2" s="722">
        <v>2</v>
      </c>
      <c r="AF2" s="722" t="s">
        <v>207</v>
      </c>
      <c r="AI2" s="722">
        <v>2</v>
      </c>
      <c r="AJ2" s="721" t="s">
        <v>208</v>
      </c>
    </row>
    <row r="3" spans="1:36" ht="17.399999999999999">
      <c r="A3" s="968" t="s">
        <v>209</v>
      </c>
      <c r="B3" s="968"/>
      <c r="C3" s="968"/>
      <c r="D3" s="968"/>
      <c r="E3" s="968"/>
      <c r="F3" s="968"/>
      <c r="AE3" s="722">
        <v>3</v>
      </c>
      <c r="AF3" s="722" t="s">
        <v>210</v>
      </c>
      <c r="AI3" s="722">
        <v>3</v>
      </c>
      <c r="AJ3" s="721" t="s">
        <v>211</v>
      </c>
    </row>
    <row r="4" spans="1:36">
      <c r="A4" s="723"/>
      <c r="B4" s="723"/>
      <c r="C4" s="723"/>
      <c r="D4" s="723"/>
      <c r="E4" s="723"/>
      <c r="F4" s="723"/>
      <c r="AE4" s="722">
        <v>4</v>
      </c>
      <c r="AF4" s="722" t="s">
        <v>212</v>
      </c>
      <c r="AI4" s="722">
        <v>4</v>
      </c>
      <c r="AJ4" s="721" t="s">
        <v>213</v>
      </c>
    </row>
    <row r="5" spans="1:36">
      <c r="A5" s="724" t="s">
        <v>214</v>
      </c>
      <c r="C5" s="969"/>
      <c r="D5" s="969"/>
      <c r="E5" s="969"/>
      <c r="F5" s="969"/>
      <c r="AE5" s="722">
        <v>5</v>
      </c>
      <c r="AF5" s="722" t="s">
        <v>212</v>
      </c>
      <c r="AI5" s="722">
        <v>5</v>
      </c>
      <c r="AJ5" s="721" t="s">
        <v>215</v>
      </c>
    </row>
    <row r="6" spans="1:36">
      <c r="A6" s="724" t="s">
        <v>216</v>
      </c>
      <c r="B6" s="959" t="str">
        <f>'Names of Bidder'!D27&amp;'Names of Bidder'!E27&amp;'Names of Bidder'!F27</f>
        <v/>
      </c>
      <c r="C6" s="959"/>
      <c r="AE6" s="722">
        <v>6</v>
      </c>
      <c r="AF6" s="722" t="s">
        <v>212</v>
      </c>
      <c r="AG6" s="725" t="e">
        <f>DAY(B6)</f>
        <v>#VALUE!</v>
      </c>
      <c r="AI6" s="722">
        <v>6</v>
      </c>
      <c r="AJ6" s="721" t="s">
        <v>217</v>
      </c>
    </row>
    <row r="7" spans="1:36">
      <c r="A7" s="724"/>
      <c r="B7" s="726"/>
      <c r="C7" s="726"/>
      <c r="AE7" s="722">
        <v>7</v>
      </c>
      <c r="AF7" s="722" t="s">
        <v>212</v>
      </c>
      <c r="AG7" s="725" t="e">
        <f>MONTH(B6)</f>
        <v>#VALUE!</v>
      </c>
      <c r="AI7" s="722">
        <v>7</v>
      </c>
      <c r="AJ7" s="721" t="s">
        <v>218</v>
      </c>
    </row>
    <row r="8" spans="1:36">
      <c r="A8" s="727" t="s">
        <v>1</v>
      </c>
      <c r="B8" s="728"/>
      <c r="F8" s="729"/>
      <c r="AE8" s="722">
        <v>8</v>
      </c>
      <c r="AF8" s="722" t="s">
        <v>212</v>
      </c>
      <c r="AG8" s="725" t="e">
        <f>LOOKUP(AG7,AI1:AI12,AJ1:AJ12)</f>
        <v>#VALUE!</v>
      </c>
      <c r="AI8" s="722">
        <v>8</v>
      </c>
      <c r="AJ8" s="721" t="s">
        <v>219</v>
      </c>
    </row>
    <row r="9" spans="1:36">
      <c r="A9" s="730">
        <f>'Sch-1'!L8</f>
        <v>0</v>
      </c>
      <c r="B9" s="730"/>
      <c r="F9" s="729"/>
      <c r="AE9" s="722">
        <v>9</v>
      </c>
      <c r="AF9" s="722" t="s">
        <v>212</v>
      </c>
      <c r="AG9" s="725" t="e">
        <f>YEAR(B6)</f>
        <v>#VALUE!</v>
      </c>
      <c r="AI9" s="722">
        <v>9</v>
      </c>
      <c r="AJ9" s="721" t="s">
        <v>220</v>
      </c>
    </row>
    <row r="10" spans="1:36">
      <c r="A10" s="730" t="str">
        <f>'Sch-1'!K9</f>
        <v>Power Grid Corporation of India Ltd.,</v>
      </c>
      <c r="B10" s="730"/>
      <c r="F10" s="729"/>
      <c r="AE10" s="722">
        <v>10</v>
      </c>
      <c r="AF10" s="722" t="s">
        <v>212</v>
      </c>
      <c r="AI10" s="722">
        <v>10</v>
      </c>
      <c r="AJ10" s="721" t="s">
        <v>221</v>
      </c>
    </row>
    <row r="11" spans="1:36">
      <c r="A11" s="730" t="str">
        <f>'Sch-1'!K10</f>
        <v>"Saudamini", Plot No.-2</v>
      </c>
      <c r="B11" s="730"/>
      <c r="F11" s="729"/>
      <c r="AE11" s="722">
        <v>11</v>
      </c>
      <c r="AF11" s="722" t="s">
        <v>212</v>
      </c>
      <c r="AI11" s="722">
        <v>11</v>
      </c>
      <c r="AJ11" s="721" t="s">
        <v>222</v>
      </c>
    </row>
    <row r="12" spans="1:36">
      <c r="A12" s="730" t="str">
        <f>'Sch-1'!K11</f>
        <v xml:space="preserve">Sector-29, </v>
      </c>
      <c r="B12" s="730"/>
      <c r="F12" s="729"/>
      <c r="AE12" s="722">
        <v>12</v>
      </c>
      <c r="AF12" s="722" t="s">
        <v>212</v>
      </c>
      <c r="AI12" s="722">
        <v>12</v>
      </c>
      <c r="AJ12" s="721" t="s">
        <v>223</v>
      </c>
    </row>
    <row r="13" spans="1:36">
      <c r="A13" s="730" t="str">
        <f>'Sch-1'!K12</f>
        <v>Gurgaon (Haryana) - 122001</v>
      </c>
      <c r="B13" s="730"/>
      <c r="F13" s="729"/>
      <c r="AE13" s="722">
        <v>13</v>
      </c>
      <c r="AF13" s="722" t="s">
        <v>212</v>
      </c>
    </row>
    <row r="14" spans="1:36" ht="22.5" customHeight="1">
      <c r="A14" s="724"/>
      <c r="F14" s="729"/>
      <c r="AE14" s="722">
        <v>14</v>
      </c>
      <c r="AF14" s="722" t="s">
        <v>212</v>
      </c>
    </row>
    <row r="15" spans="1:36" ht="91.8" customHeight="1">
      <c r="A15" s="731" t="s">
        <v>224</v>
      </c>
      <c r="B15" s="732"/>
      <c r="C15" s="970"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D15" s="970"/>
      <c r="E15" s="970"/>
      <c r="F15" s="970"/>
      <c r="AE15" s="722">
        <v>15</v>
      </c>
      <c r="AF15" s="722" t="s">
        <v>212</v>
      </c>
    </row>
    <row r="16" spans="1:36" ht="27.75" customHeight="1">
      <c r="A16" s="719" t="s">
        <v>225</v>
      </c>
      <c r="B16" s="719"/>
      <c r="C16" s="729"/>
      <c r="D16" s="729"/>
      <c r="E16" s="729"/>
      <c r="F16" s="729"/>
      <c r="AE16" s="722">
        <v>16</v>
      </c>
      <c r="AF16" s="722" t="s">
        <v>212</v>
      </c>
    </row>
    <row r="17" spans="1:41" ht="99.75" customHeight="1">
      <c r="A17" s="733">
        <v>1</v>
      </c>
      <c r="B17" s="966"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6"/>
      <c r="D17" s="966"/>
      <c r="E17" s="966"/>
      <c r="F17" s="966"/>
      <c r="H17" s="734" t="s">
        <v>301</v>
      </c>
      <c r="Z17" s="735"/>
      <c r="AA17" s="736"/>
      <c r="AB17" s="737"/>
      <c r="AC17" s="738"/>
      <c r="AE17" s="722">
        <v>17</v>
      </c>
      <c r="AF17" s="722" t="s">
        <v>212</v>
      </c>
    </row>
    <row r="18" spans="1:41" ht="24.75" customHeight="1">
      <c r="A18" s="733"/>
      <c r="B18" s="966"/>
      <c r="C18" s="966"/>
      <c r="D18" s="966"/>
      <c r="E18" s="966"/>
      <c r="F18" s="966"/>
      <c r="H18" s="737">
        <f>ROUND('Sch-6 (After Discount)'!D28,2)</f>
        <v>0</v>
      </c>
      <c r="I18" s="720" t="s">
        <v>467</v>
      </c>
      <c r="Z18" s="735"/>
      <c r="AA18" s="736"/>
      <c r="AB18" s="737"/>
      <c r="AC18" s="738"/>
    </row>
    <row r="19" spans="1:41" ht="21.75" customHeight="1">
      <c r="A19" s="733"/>
      <c r="B19" s="966"/>
      <c r="C19" s="966"/>
      <c r="D19" s="966"/>
      <c r="E19" s="966"/>
      <c r="F19" s="966"/>
      <c r="H19" s="739" t="str">
        <f>'N-W (Cr.)'!P4</f>
        <v/>
      </c>
      <c r="N19" s="720" t="s">
        <v>466</v>
      </c>
      <c r="Z19" s="735"/>
      <c r="AA19" s="736"/>
      <c r="AB19" s="737"/>
      <c r="AC19" s="738"/>
    </row>
    <row r="20" spans="1:41" ht="39" customHeight="1">
      <c r="B20" s="967" t="s">
        <v>226</v>
      </c>
      <c r="C20" s="967"/>
      <c r="D20" s="967"/>
      <c r="E20" s="967"/>
      <c r="F20" s="967"/>
      <c r="H20" s="719" t="s">
        <v>300</v>
      </c>
      <c r="AE20" s="722">
        <v>18</v>
      </c>
      <c r="AF20" s="722" t="s">
        <v>212</v>
      </c>
    </row>
    <row r="21" spans="1:41" s="719" customFormat="1" ht="27.75" customHeight="1">
      <c r="A21" s="740">
        <v>2</v>
      </c>
      <c r="B21" s="965" t="s">
        <v>227</v>
      </c>
      <c r="C21" s="965"/>
      <c r="D21" s="965"/>
      <c r="E21" s="965"/>
      <c r="F21" s="965"/>
      <c r="AD21" s="741"/>
      <c r="AE21" s="722">
        <v>19</v>
      </c>
      <c r="AF21" s="722" t="s">
        <v>212</v>
      </c>
      <c r="AG21" s="741"/>
      <c r="AH21" s="741"/>
      <c r="AI21" s="741"/>
      <c r="AJ21" s="741"/>
      <c r="AK21" s="741"/>
      <c r="AL21" s="741"/>
      <c r="AM21" s="741"/>
      <c r="AN21" s="741"/>
      <c r="AO21" s="741"/>
    </row>
    <row r="22" spans="1:41" ht="39.75" customHeight="1">
      <c r="A22" s="733">
        <v>2.1</v>
      </c>
      <c r="B22" s="960" t="s">
        <v>228</v>
      </c>
      <c r="C22" s="960"/>
      <c r="D22" s="960"/>
      <c r="E22" s="960"/>
      <c r="F22" s="960"/>
      <c r="AE22" s="722">
        <v>20</v>
      </c>
      <c r="AF22" s="722" t="s">
        <v>212</v>
      </c>
    </row>
    <row r="23" spans="1:41" ht="36.75" customHeight="1">
      <c r="B23" s="964" t="s">
        <v>229</v>
      </c>
      <c r="C23" s="964"/>
      <c r="D23" s="960" t="s">
        <v>230</v>
      </c>
      <c r="E23" s="960"/>
      <c r="F23" s="960"/>
      <c r="AE23" s="722">
        <v>21</v>
      </c>
      <c r="AF23" s="722" t="s">
        <v>205</v>
      </c>
    </row>
    <row r="24" spans="1:41" ht="33" customHeight="1">
      <c r="B24" s="964" t="s">
        <v>231</v>
      </c>
      <c r="C24" s="964"/>
      <c r="D24" s="743" t="s">
        <v>302</v>
      </c>
      <c r="E24" s="743"/>
      <c r="F24" s="743"/>
      <c r="AE24" s="722">
        <v>22</v>
      </c>
      <c r="AF24" s="722" t="s">
        <v>212</v>
      </c>
    </row>
    <row r="25" spans="1:41" ht="27.9" customHeight="1">
      <c r="B25" s="964" t="s">
        <v>232</v>
      </c>
      <c r="C25" s="964"/>
      <c r="D25" s="743" t="s">
        <v>233</v>
      </c>
      <c r="E25" s="743"/>
      <c r="F25" s="743"/>
      <c r="H25" s="741" t="str">
        <f>'[6]Names of Bidder'!D6</f>
        <v>Sole Bidder</v>
      </c>
      <c r="AE25" s="722">
        <v>23</v>
      </c>
      <c r="AF25" s="722" t="s">
        <v>212</v>
      </c>
    </row>
    <row r="26" spans="1:41" ht="27.9" customHeight="1">
      <c r="B26" s="964" t="s">
        <v>234</v>
      </c>
      <c r="C26" s="964"/>
      <c r="D26" s="743" t="s">
        <v>235</v>
      </c>
      <c r="E26" s="743"/>
      <c r="F26" s="743"/>
      <c r="AE26" s="722">
        <v>24</v>
      </c>
      <c r="AF26" s="722" t="s">
        <v>212</v>
      </c>
    </row>
    <row r="27" spans="1:41" ht="27.9" customHeight="1">
      <c r="B27" s="964" t="s">
        <v>236</v>
      </c>
      <c r="C27" s="964"/>
      <c r="D27" s="743" t="s">
        <v>237</v>
      </c>
      <c r="E27" s="743"/>
      <c r="F27" s="743"/>
      <c r="AE27" s="722">
        <v>25</v>
      </c>
      <c r="AF27" s="722" t="s">
        <v>212</v>
      </c>
    </row>
    <row r="28" spans="1:41" ht="27.9" customHeight="1">
      <c r="B28" s="964" t="s">
        <v>238</v>
      </c>
      <c r="C28" s="964"/>
      <c r="D28" s="743" t="s">
        <v>239</v>
      </c>
      <c r="E28" s="743"/>
      <c r="F28" s="743"/>
      <c r="AE28" s="722">
        <v>26</v>
      </c>
      <c r="AF28" s="722" t="s">
        <v>212</v>
      </c>
    </row>
    <row r="29" spans="1:41" ht="27.9" customHeight="1">
      <c r="B29" s="964" t="s">
        <v>28</v>
      </c>
      <c r="C29" s="964"/>
      <c r="D29" s="743" t="s">
        <v>240</v>
      </c>
      <c r="E29" s="743"/>
      <c r="F29" s="743"/>
      <c r="AE29" s="722">
        <v>27</v>
      </c>
      <c r="AF29" s="722" t="s">
        <v>212</v>
      </c>
    </row>
    <row r="30" spans="1:41" ht="98.25" customHeight="1">
      <c r="A30" s="742">
        <v>2.2000000000000002</v>
      </c>
      <c r="B30" s="960" t="s">
        <v>241</v>
      </c>
      <c r="C30" s="960"/>
      <c r="D30" s="960"/>
      <c r="E30" s="960"/>
      <c r="F30" s="960"/>
      <c r="AE30" s="722">
        <v>28</v>
      </c>
      <c r="AF30" s="722" t="s">
        <v>212</v>
      </c>
    </row>
    <row r="31" spans="1:41" ht="68.25" customHeight="1">
      <c r="A31" s="742">
        <v>2.2999999999999998</v>
      </c>
      <c r="B31" s="960" t="s">
        <v>242</v>
      </c>
      <c r="C31" s="960"/>
      <c r="D31" s="960"/>
      <c r="E31" s="960"/>
      <c r="F31" s="960"/>
      <c r="AE31" s="722">
        <v>29</v>
      </c>
      <c r="AF31" s="722" t="s">
        <v>212</v>
      </c>
    </row>
    <row r="32" spans="1:41" ht="129.75" customHeight="1">
      <c r="A32" s="742">
        <v>2.4</v>
      </c>
      <c r="B32" s="960" t="s">
        <v>243</v>
      </c>
      <c r="C32" s="960"/>
      <c r="D32" s="960"/>
      <c r="E32" s="960"/>
      <c r="F32" s="960"/>
      <c r="AE32" s="722">
        <v>30</v>
      </c>
      <c r="AF32" s="722" t="s">
        <v>212</v>
      </c>
    </row>
    <row r="33" spans="1:32" ht="79.5" customHeight="1">
      <c r="A33" s="742">
        <v>2.5</v>
      </c>
      <c r="B33" s="960" t="s">
        <v>244</v>
      </c>
      <c r="C33" s="960"/>
      <c r="D33" s="960"/>
      <c r="E33" s="960"/>
      <c r="F33" s="960"/>
      <c r="AE33" s="722">
        <v>31</v>
      </c>
      <c r="AF33" s="722" t="s">
        <v>205</v>
      </c>
    </row>
    <row r="34" spans="1:32" ht="81" customHeight="1">
      <c r="A34" s="733">
        <v>3</v>
      </c>
      <c r="B34" s="960" t="s">
        <v>245</v>
      </c>
      <c r="C34" s="960"/>
      <c r="D34" s="960"/>
      <c r="E34" s="960"/>
      <c r="F34" s="960"/>
    </row>
    <row r="35" spans="1:32" ht="63" customHeight="1">
      <c r="A35" s="733">
        <v>3.1</v>
      </c>
      <c r="B35" s="961" t="s">
        <v>303</v>
      </c>
      <c r="C35" s="961"/>
      <c r="D35" s="961"/>
      <c r="E35" s="961"/>
      <c r="F35" s="961"/>
    </row>
    <row r="36" spans="1:32" ht="114" customHeight="1">
      <c r="A36" s="742">
        <v>3.2</v>
      </c>
      <c r="B36" s="960" t="s">
        <v>304</v>
      </c>
      <c r="C36" s="960"/>
      <c r="D36" s="960"/>
      <c r="E36" s="960"/>
      <c r="F36" s="960"/>
    </row>
    <row r="37" spans="1:32" ht="65.25" customHeight="1">
      <c r="A37" s="742">
        <v>3.3</v>
      </c>
      <c r="B37" s="960" t="s">
        <v>305</v>
      </c>
      <c r="C37" s="960"/>
      <c r="D37" s="960"/>
      <c r="E37" s="960"/>
      <c r="F37" s="960"/>
    </row>
    <row r="38" spans="1:32" ht="66" customHeight="1">
      <c r="A38" s="733">
        <v>4</v>
      </c>
      <c r="B38" s="960" t="s">
        <v>246</v>
      </c>
      <c r="C38" s="960"/>
      <c r="D38" s="960"/>
      <c r="E38" s="960"/>
      <c r="F38" s="960"/>
    </row>
    <row r="39" spans="1:32" ht="93" customHeight="1">
      <c r="A39" s="733">
        <v>5</v>
      </c>
      <c r="B39" s="960" t="s">
        <v>247</v>
      </c>
      <c r="C39" s="960"/>
      <c r="D39" s="960"/>
      <c r="E39" s="960"/>
      <c r="F39" s="960"/>
    </row>
    <row r="40" spans="1:32" ht="20.25" customHeight="1">
      <c r="B40" s="464" t="str">
        <f>IF(ISERROR("Dated this " &amp; AG6 &amp; LOOKUP(AG6,AE1:AE33,AF1:AF33) &amp; " day of " &amp; AG8 &amp; " " &amp;AG9), "", "Dated this " &amp; AG6 &amp; LOOKUP(AG6,AE1:AE33,AF1:AF33) &amp; " day of " &amp; AG8 &amp; " " &amp;AG9)</f>
        <v/>
      </c>
      <c r="C40" s="464"/>
      <c r="D40" s="464"/>
      <c r="E40" s="744"/>
      <c r="F40" s="744"/>
    </row>
    <row r="41" spans="1:32" ht="30" customHeight="1">
      <c r="B41" s="464" t="s">
        <v>177</v>
      </c>
      <c r="C41" s="745"/>
      <c r="D41" s="462"/>
      <c r="E41" s="462"/>
      <c r="F41" s="462"/>
    </row>
    <row r="42" spans="1:32" ht="20.25" customHeight="1">
      <c r="B42" s="746"/>
      <c r="C42" s="462"/>
      <c r="D42" s="462"/>
      <c r="E42" s="464"/>
      <c r="F42" s="747" t="s">
        <v>178</v>
      </c>
    </row>
    <row r="43" spans="1:32" ht="18" customHeight="1">
      <c r="B43" s="746"/>
      <c r="C43" s="462"/>
      <c r="D43" s="464"/>
      <c r="E43" s="464"/>
      <c r="F43" s="747" t="str">
        <f>"For and on behalf of " &amp; '[6]Sch-1'!B8</f>
        <v>For and on behalf of test</v>
      </c>
    </row>
    <row r="44" spans="1:32" ht="30" customHeight="1">
      <c r="A44" s="720"/>
      <c r="B44" s="720"/>
      <c r="C44" s="748"/>
      <c r="D44" s="720"/>
      <c r="E44" s="749" t="s">
        <v>248</v>
      </c>
      <c r="F44" s="724"/>
    </row>
    <row r="45" spans="1:32" ht="30" customHeight="1">
      <c r="A45" s="750" t="s">
        <v>179</v>
      </c>
      <c r="B45" s="963" t="str">
        <f>Discount!C39</f>
        <v xml:space="preserve">  </v>
      </c>
      <c r="C45" s="959"/>
      <c r="D45" s="720"/>
      <c r="E45" s="749" t="s">
        <v>180</v>
      </c>
      <c r="F45" s="751">
        <f>Discount!F39</f>
        <v>0</v>
      </c>
    </row>
    <row r="46" spans="1:32" ht="30" customHeight="1">
      <c r="A46" s="750" t="s">
        <v>181</v>
      </c>
      <c r="B46" s="958" t="str">
        <f>Discount!C40</f>
        <v/>
      </c>
      <c r="C46" s="959"/>
      <c r="D46" s="720"/>
      <c r="E46" s="749" t="s">
        <v>182</v>
      </c>
      <c r="F46" s="751">
        <f>Discount!F40</f>
        <v>0</v>
      </c>
    </row>
    <row r="47" spans="1:32" ht="30" customHeight="1">
      <c r="B47" s="719"/>
      <c r="D47" s="720"/>
      <c r="E47" s="749" t="s">
        <v>249</v>
      </c>
    </row>
    <row r="48" spans="1:32" ht="30" customHeight="1">
      <c r="A48" s="962" t="str">
        <f>IF(H25="Sole Bidder", "", "In case of bid from a Joint Venture, name &amp; designation of representative of JV partner is to be provided and Bid Form is also to be signed by him.")</f>
        <v/>
      </c>
      <c r="B48" s="962"/>
      <c r="C48" s="962"/>
      <c r="D48" s="962"/>
      <c r="E48" s="962"/>
      <c r="F48" s="962"/>
    </row>
    <row r="49" spans="1:41" ht="30" customHeight="1">
      <c r="A49" s="752"/>
      <c r="B49" s="752"/>
      <c r="C49" s="464" t="str">
        <f>IF(Z2="2 or More", "Other Partner-2", "")</f>
        <v/>
      </c>
      <c r="D49" s="752"/>
      <c r="E49" s="753"/>
      <c r="F49" s="753" t="str">
        <f>IF(Z2=1,"Other Partner",IF(Z2="2 or More","Other Partner-1",""))</f>
        <v/>
      </c>
    </row>
    <row r="50" spans="1:41" ht="30" customHeight="1">
      <c r="A50" s="464"/>
      <c r="B50" s="747" t="str">
        <f>IF(Z2="2 or More", "Signature :", "")</f>
        <v/>
      </c>
      <c r="C50" s="754"/>
      <c r="D50" s="464"/>
      <c r="E50" s="747"/>
      <c r="F50" s="464"/>
    </row>
    <row r="51" spans="1:41" s="719" customFormat="1" ht="30" customHeight="1">
      <c r="A51" s="464"/>
      <c r="B51" s="747" t="str">
        <f>IF(Z2="2 or More", "Printed Name :", "")</f>
        <v/>
      </c>
      <c r="C51" s="755"/>
      <c r="D51" s="464"/>
      <c r="E51" s="747" t="str">
        <f>IF(Z1="Sole Bidder", "", "Printed Name :")</f>
        <v/>
      </c>
      <c r="F51" s="756"/>
      <c r="H51" s="724"/>
      <c r="AD51" s="741"/>
      <c r="AE51" s="722"/>
      <c r="AF51" s="722"/>
      <c r="AG51" s="741"/>
      <c r="AH51" s="741"/>
      <c r="AI51" s="741"/>
      <c r="AJ51" s="741"/>
      <c r="AK51" s="741"/>
      <c r="AL51" s="741"/>
      <c r="AM51" s="741"/>
      <c r="AN51" s="741"/>
      <c r="AO51" s="741"/>
    </row>
    <row r="52" spans="1:41" s="719" customFormat="1" ht="30" customHeight="1">
      <c r="A52" s="464"/>
      <c r="B52" s="747" t="str">
        <f>IF(Z2="2 or More", "Designation :", "")</f>
        <v/>
      </c>
      <c r="C52" s="755"/>
      <c r="D52" s="464"/>
      <c r="E52" s="747" t="str">
        <f>IF(Z1="Sole Bidder", "", "Designation :")</f>
        <v/>
      </c>
      <c r="F52" s="756"/>
      <c r="H52" s="724"/>
      <c r="AD52" s="741"/>
      <c r="AE52" s="722"/>
      <c r="AF52" s="722"/>
      <c r="AG52" s="741"/>
      <c r="AH52" s="741"/>
      <c r="AI52" s="741"/>
      <c r="AJ52" s="741"/>
      <c r="AK52" s="741"/>
      <c r="AL52" s="741"/>
      <c r="AM52" s="741"/>
      <c r="AN52" s="741"/>
      <c r="AO52" s="741"/>
    </row>
    <row r="53" spans="1:41" s="719" customFormat="1" ht="30" customHeight="1">
      <c r="A53" s="464"/>
      <c r="B53" s="747" t="str">
        <f>IF(Z2=2, "Common Seal :", "")</f>
        <v/>
      </c>
      <c r="C53" s="754"/>
      <c r="D53" s="464"/>
      <c r="E53" s="747"/>
      <c r="F53" s="464"/>
      <c r="H53" s="724"/>
      <c r="AD53" s="741"/>
      <c r="AE53" s="722"/>
      <c r="AF53" s="722"/>
      <c r="AG53" s="741"/>
      <c r="AH53" s="741"/>
      <c r="AI53" s="741"/>
      <c r="AJ53" s="741"/>
      <c r="AK53" s="741"/>
      <c r="AL53" s="741"/>
      <c r="AM53" s="741"/>
      <c r="AN53" s="741"/>
      <c r="AO53" s="741"/>
    </row>
    <row r="54" spans="1:41" s="719" customFormat="1" ht="33" customHeight="1">
      <c r="A54" s="757" t="s">
        <v>250</v>
      </c>
      <c r="B54" s="758"/>
      <c r="C54" s="754"/>
      <c r="D54" s="464"/>
      <c r="E54" s="747"/>
      <c r="F54" s="464"/>
      <c r="H54" s="724"/>
      <c r="AD54" s="741"/>
      <c r="AE54" s="722"/>
      <c r="AF54" s="722"/>
      <c r="AG54" s="741"/>
      <c r="AH54" s="741"/>
      <c r="AI54" s="741"/>
      <c r="AJ54" s="741"/>
      <c r="AK54" s="741"/>
      <c r="AL54" s="741"/>
      <c r="AM54" s="741"/>
      <c r="AN54" s="741"/>
      <c r="AO54" s="741"/>
    </row>
    <row r="55" spans="1:41" s="719" customFormat="1" ht="33" customHeight="1">
      <c r="A55" s="954" t="s">
        <v>251</v>
      </c>
      <c r="B55" s="954"/>
      <c r="C55" s="954"/>
      <c r="D55" s="953"/>
      <c r="E55" s="953"/>
      <c r="F55" s="953"/>
      <c r="H55" s="724"/>
      <c r="AD55" s="741"/>
      <c r="AE55" s="722"/>
      <c r="AF55" s="722"/>
      <c r="AG55" s="741"/>
      <c r="AH55" s="741"/>
      <c r="AI55" s="741"/>
      <c r="AJ55" s="741"/>
      <c r="AK55" s="741"/>
      <c r="AL55" s="741"/>
      <c r="AM55" s="741"/>
      <c r="AN55" s="741"/>
      <c r="AO55" s="741"/>
    </row>
    <row r="56" spans="1:41" s="719" customFormat="1" ht="33" customHeight="1">
      <c r="A56" s="957"/>
      <c r="B56" s="957"/>
      <c r="C56" s="957"/>
      <c r="D56" s="759"/>
      <c r="E56" s="759"/>
      <c r="F56" s="759"/>
      <c r="H56" s="724"/>
      <c r="AD56" s="741"/>
      <c r="AE56" s="722"/>
      <c r="AF56" s="722"/>
      <c r="AG56" s="741"/>
      <c r="AH56" s="741"/>
      <c r="AI56" s="741"/>
      <c r="AJ56" s="741"/>
      <c r="AK56" s="741"/>
      <c r="AL56" s="741"/>
      <c r="AM56" s="741"/>
      <c r="AN56" s="741"/>
      <c r="AO56" s="741"/>
    </row>
    <row r="57" spans="1:41" s="719" customFormat="1" ht="33" customHeight="1">
      <c r="A57" s="955"/>
      <c r="B57" s="955"/>
      <c r="C57" s="955"/>
      <c r="D57" s="759"/>
      <c r="E57" s="759"/>
      <c r="F57" s="759"/>
      <c r="H57" s="724"/>
      <c r="AD57" s="741"/>
      <c r="AE57" s="722"/>
      <c r="AF57" s="722"/>
      <c r="AG57" s="741"/>
      <c r="AH57" s="741"/>
      <c r="AI57" s="741"/>
      <c r="AJ57" s="741"/>
      <c r="AK57" s="741"/>
      <c r="AL57" s="741"/>
      <c r="AM57" s="741"/>
      <c r="AN57" s="741"/>
      <c r="AO57" s="741"/>
    </row>
    <row r="58" spans="1:41" s="719" customFormat="1" ht="33" customHeight="1">
      <c r="A58" s="951" t="s">
        <v>252</v>
      </c>
      <c r="B58" s="951"/>
      <c r="C58" s="951"/>
      <c r="D58" s="953"/>
      <c r="E58" s="953"/>
      <c r="F58" s="953"/>
      <c r="H58" s="724"/>
      <c r="AD58" s="741"/>
      <c r="AE58" s="722"/>
      <c r="AF58" s="722"/>
      <c r="AG58" s="741"/>
      <c r="AH58" s="741"/>
      <c r="AI58" s="741"/>
      <c r="AJ58" s="741"/>
      <c r="AK58" s="741"/>
      <c r="AL58" s="741"/>
      <c r="AM58" s="741"/>
      <c r="AN58" s="741"/>
      <c r="AO58" s="741"/>
    </row>
    <row r="59" spans="1:41" s="719" customFormat="1" ht="33" customHeight="1">
      <c r="A59" s="951" t="s">
        <v>253</v>
      </c>
      <c r="B59" s="951"/>
      <c r="C59" s="951"/>
      <c r="D59" s="953"/>
      <c r="E59" s="953"/>
      <c r="F59" s="953"/>
      <c r="H59" s="724"/>
      <c r="AD59" s="741"/>
      <c r="AE59" s="722"/>
      <c r="AF59" s="722"/>
      <c r="AG59" s="741"/>
      <c r="AH59" s="741"/>
      <c r="AI59" s="741"/>
      <c r="AJ59" s="741"/>
      <c r="AK59" s="741"/>
      <c r="AL59" s="741"/>
      <c r="AM59" s="741"/>
      <c r="AN59" s="741"/>
      <c r="AO59" s="741"/>
    </row>
    <row r="60" spans="1:41" s="719" customFormat="1" ht="33" customHeight="1">
      <c r="A60" s="951" t="s">
        <v>254</v>
      </c>
      <c r="B60" s="951"/>
      <c r="C60" s="951"/>
      <c r="D60" s="953"/>
      <c r="E60" s="953"/>
      <c r="F60" s="953"/>
      <c r="H60" s="724"/>
      <c r="AD60" s="741"/>
      <c r="AE60" s="722"/>
      <c r="AF60" s="722"/>
      <c r="AG60" s="741"/>
      <c r="AH60" s="741"/>
      <c r="AI60" s="741"/>
      <c r="AJ60" s="741"/>
      <c r="AK60" s="741"/>
      <c r="AL60" s="741"/>
      <c r="AM60" s="741"/>
      <c r="AN60" s="741"/>
      <c r="AO60" s="741"/>
    </row>
    <row r="61" spans="1:41" s="719" customFormat="1" ht="33" customHeight="1">
      <c r="A61" s="954" t="s">
        <v>255</v>
      </c>
      <c r="B61" s="954"/>
      <c r="C61" s="954"/>
      <c r="D61" s="953"/>
      <c r="E61" s="953"/>
      <c r="F61" s="953"/>
      <c r="H61" s="724"/>
      <c r="AD61" s="741"/>
      <c r="AE61" s="722"/>
      <c r="AF61" s="722"/>
      <c r="AG61" s="741"/>
      <c r="AH61" s="741"/>
      <c r="AI61" s="741"/>
      <c r="AJ61" s="741"/>
      <c r="AK61" s="741"/>
      <c r="AL61" s="741"/>
      <c r="AM61" s="741"/>
      <c r="AN61" s="741"/>
      <c r="AO61" s="741"/>
    </row>
    <row r="62" spans="1:41" s="719" customFormat="1" ht="33" customHeight="1">
      <c r="A62" s="957"/>
      <c r="B62" s="957"/>
      <c r="C62" s="957"/>
      <c r="D62" s="759"/>
      <c r="E62" s="759"/>
      <c r="F62" s="759"/>
      <c r="H62" s="724"/>
      <c r="AD62" s="741"/>
      <c r="AE62" s="722"/>
      <c r="AF62" s="722"/>
      <c r="AG62" s="741"/>
      <c r="AH62" s="741"/>
      <c r="AI62" s="741"/>
      <c r="AJ62" s="741"/>
      <c r="AK62" s="741"/>
      <c r="AL62" s="741"/>
      <c r="AM62" s="741"/>
      <c r="AN62" s="741"/>
      <c r="AO62" s="741"/>
    </row>
    <row r="63" spans="1:41" s="719" customFormat="1" ht="33" customHeight="1">
      <c r="A63" s="955"/>
      <c r="B63" s="955"/>
      <c r="C63" s="955"/>
      <c r="D63" s="759"/>
      <c r="E63" s="759"/>
      <c r="F63" s="759"/>
      <c r="H63" s="724"/>
      <c r="AD63" s="741"/>
      <c r="AE63" s="722"/>
      <c r="AF63" s="722"/>
      <c r="AG63" s="741"/>
      <c r="AH63" s="741"/>
      <c r="AI63" s="741"/>
      <c r="AJ63" s="741"/>
      <c r="AK63" s="741"/>
      <c r="AL63" s="741"/>
      <c r="AM63" s="741"/>
      <c r="AN63" s="741"/>
      <c r="AO63" s="741"/>
    </row>
    <row r="64" spans="1:41" s="719" customFormat="1" ht="60.75" customHeight="1">
      <c r="A64" s="95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56"/>
      <c r="C64" s="956"/>
      <c r="D64" s="956"/>
      <c r="E64" s="956"/>
      <c r="F64" s="956"/>
      <c r="H64" s="724"/>
      <c r="AD64" s="741"/>
      <c r="AE64" s="722"/>
      <c r="AF64" s="722"/>
      <c r="AG64" s="741"/>
      <c r="AH64" s="741"/>
      <c r="AI64" s="741"/>
      <c r="AJ64" s="741"/>
      <c r="AK64" s="741"/>
      <c r="AL64" s="741"/>
      <c r="AM64" s="741"/>
      <c r="AN64" s="741"/>
      <c r="AO64" s="741"/>
    </row>
    <row r="65" spans="1:41" s="719" customFormat="1" ht="33" customHeight="1">
      <c r="A65" s="952" t="s">
        <v>113</v>
      </c>
      <c r="B65" s="952"/>
      <c r="C65" s="952"/>
      <c r="D65" s="952"/>
      <c r="E65" s="952"/>
      <c r="F65" s="952"/>
      <c r="H65" s="724"/>
      <c r="AD65" s="741"/>
      <c r="AE65" s="722"/>
      <c r="AF65" s="722"/>
      <c r="AG65" s="741"/>
      <c r="AH65" s="741"/>
      <c r="AI65" s="741"/>
      <c r="AJ65" s="741"/>
      <c r="AK65" s="741"/>
      <c r="AL65" s="741"/>
      <c r="AM65" s="741"/>
      <c r="AN65" s="741"/>
      <c r="AO65" s="741"/>
    </row>
    <row r="66" spans="1:41" s="719" customFormat="1" ht="33" customHeight="1">
      <c r="A66" s="724"/>
      <c r="B66" s="724"/>
      <c r="H66" s="724"/>
      <c r="AD66" s="741"/>
      <c r="AE66" s="722"/>
      <c r="AF66" s="722"/>
      <c r="AG66" s="741"/>
      <c r="AH66" s="741"/>
      <c r="AI66" s="741"/>
      <c r="AJ66" s="741"/>
      <c r="AK66" s="741"/>
      <c r="AL66" s="741"/>
      <c r="AM66" s="741"/>
      <c r="AN66" s="741"/>
      <c r="AO66" s="741"/>
    </row>
    <row r="67" spans="1:41" s="719" customFormat="1" ht="33" customHeight="1">
      <c r="A67" s="724"/>
      <c r="B67" s="724"/>
      <c r="H67" s="724"/>
      <c r="AD67" s="741"/>
      <c r="AE67" s="722"/>
      <c r="AF67" s="722"/>
      <c r="AG67" s="741"/>
      <c r="AH67" s="741"/>
      <c r="AI67" s="741"/>
      <c r="AJ67" s="741"/>
      <c r="AK67" s="741"/>
      <c r="AL67" s="741"/>
      <c r="AM67" s="741"/>
      <c r="AN67" s="741"/>
      <c r="AO67" s="741"/>
    </row>
    <row r="68" spans="1:41">
      <c r="A68" s="724"/>
    </row>
    <row r="69" spans="1:41">
      <c r="A69" s="724"/>
    </row>
    <row r="70" spans="1:41">
      <c r="A70" s="724"/>
    </row>
    <row r="71" spans="1:41">
      <c r="A71" s="724"/>
    </row>
    <row r="72" spans="1:41">
      <c r="A72" s="724"/>
    </row>
    <row r="73" spans="1:41">
      <c r="A73" s="724"/>
    </row>
    <row r="74" spans="1:41">
      <c r="A74" s="724"/>
    </row>
    <row r="75" spans="1:41">
      <c r="A75" s="724"/>
    </row>
    <row r="76" spans="1:41">
      <c r="A76" s="724"/>
    </row>
    <row r="77" spans="1:41">
      <c r="A77" s="724"/>
    </row>
    <row r="78" spans="1:41">
      <c r="A78" s="724"/>
    </row>
    <row r="79" spans="1:41">
      <c r="A79" s="724"/>
    </row>
  </sheetData>
  <sheetProtection algorithmName="SHA-512" hashValue="IjVRqp52RE+nlTz9PR91Nt70/65p9V/Mo9PqC7wD+IIjbtwHqnw0fHS9pn/QdVkvOIdxj30xRVUpHVyrq4Zsug==" saltValue="r/4tZhmj2bvit6QdPEkMqg==" spinCount="100000" sheet="1" formatColumns="0" formatRows="0" selectLockedCells="1"/>
  <customSheetViews>
    <customSheetView guid="{B85D7887-A299-45C0-BD97-6C28577A6A5C}" showPageBreaks="1" showGridLines="0" zeroValues="0" fitToPage="1" printArea="1" hiddenColumns="1" view="pageBreakPreview" topLeftCell="A40">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A9345C4-09FE-4F27-BFD9-3D9BCD2DED09}" showPageBreaks="1" showGridLines="0" zeroValues="0" fitToPage="1" printArea="1" hiddenColumns="1" view="pageBreakPreview" topLeftCell="A39">
      <selection activeCell="F51" sqref="F51"/>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7AB1F867-F01E-4EB9-A93D-DDCFDB9AA44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497EA202-A8B8-45C5-9E6C-C3CD104F3979}"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D5521983-A70D-48A3-9506-C0263CBBC57D}" showPageBreaks="1" showGridLines="0" zeroValues="0" fitToPage="1" printArea="1" hiddenColumns="1" view="pageBreakPreview" topLeftCell="A22">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12A89170-4F84-482D-A3C5-7890082E7B73}"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15">
      <selection activeCell="F51" sqref="F51"/>
      <rowBreaks count="1" manualBreakCount="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79" fitToHeight="3" orientation="portrait" r:id="rId13"/>
  <headerFooter alignWithMargins="0">
    <oddFooter>&amp;R&amp;"Book Antiqua,Bold"&amp;8Bid Form (1st Envelope)  / Page &amp;P of &amp;N</oddFooter>
  </headerFooter>
  <rowBreaks count="1" manualBreakCount="1">
    <brk id="53"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tabSelected="1" view="pageBreakPreview" zoomScale="115" zoomScaleNormal="100" zoomScaleSheetLayoutView="115" workbookViewId="0">
      <selection activeCell="F2" sqref="F2:F12"/>
    </sheetView>
  </sheetViews>
  <sheetFormatPr defaultColWidth="9.109375" defaultRowHeight="13.8"/>
  <cols>
    <col min="1" max="1" width="9.88671875" style="197" customWidth="1"/>
    <col min="2" max="2" width="12.6640625" style="197" customWidth="1"/>
    <col min="3" max="4" width="44.109375" style="197" customWidth="1"/>
    <col min="5" max="5" width="12.88671875" style="197" customWidth="1"/>
    <col min="6" max="6" width="9.88671875" style="197" customWidth="1"/>
    <col min="7" max="9" width="9.109375" style="197" customWidth="1"/>
    <col min="10" max="16384" width="9.109375" style="193"/>
  </cols>
  <sheetData>
    <row r="1" spans="1:10" ht="30.75" customHeight="1">
      <c r="A1" s="189"/>
      <c r="B1" s="766"/>
      <c r="C1" s="767"/>
      <c r="D1" s="767"/>
      <c r="E1" s="768"/>
      <c r="F1" s="190"/>
      <c r="G1" s="191"/>
      <c r="H1" s="191"/>
      <c r="I1" s="191"/>
      <c r="J1" s="192"/>
    </row>
    <row r="2" spans="1:10" ht="99.6" customHeight="1">
      <c r="A2" s="769" t="s">
        <v>42</v>
      </c>
      <c r="B2" s="772" t="str">
        <f>Basic!B1</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C2" s="773"/>
      <c r="D2" s="773"/>
      <c r="E2" s="774"/>
      <c r="F2" s="775" t="str">
        <f>Basic!B3</f>
        <v>SS-123</v>
      </c>
      <c r="G2" s="191"/>
      <c r="H2" s="191"/>
      <c r="I2" s="191"/>
      <c r="J2" s="192"/>
    </row>
    <row r="3" spans="1:10" ht="23.25" customHeight="1">
      <c r="A3" s="770"/>
      <c r="B3" s="778" t="str">
        <f>Basic!B5</f>
        <v>Spec. No.:CC/NT/W-GIS/DOM/A04/24/01196</v>
      </c>
      <c r="C3" s="779"/>
      <c r="D3" s="779"/>
      <c r="E3" s="780"/>
      <c r="F3" s="776"/>
      <c r="G3" s="191"/>
      <c r="H3" s="191"/>
      <c r="I3" s="191"/>
      <c r="J3" s="192"/>
    </row>
    <row r="4" spans="1:10" ht="39.9" customHeight="1">
      <c r="A4" s="770"/>
      <c r="B4" s="194">
        <v>1</v>
      </c>
      <c r="C4" s="781" t="s">
        <v>43</v>
      </c>
      <c r="D4" s="781"/>
      <c r="E4" s="782"/>
      <c r="F4" s="776"/>
      <c r="G4" s="195"/>
      <c r="H4" s="196" t="s">
        <v>44</v>
      </c>
      <c r="I4" s="191"/>
      <c r="J4" s="192"/>
    </row>
    <row r="5" spans="1:10" ht="30" customHeight="1">
      <c r="A5" s="770"/>
      <c r="B5" s="194">
        <v>2</v>
      </c>
      <c r="C5" s="781" t="s">
        <v>45</v>
      </c>
      <c r="D5" s="781"/>
      <c r="E5" s="782"/>
      <c r="F5" s="776"/>
      <c r="G5" s="191"/>
      <c r="H5" s="191"/>
      <c r="I5" s="191"/>
      <c r="J5" s="192"/>
    </row>
    <row r="6" spans="1:10" s="197" customFormat="1" ht="30" customHeight="1">
      <c r="A6" s="770"/>
      <c r="B6" s="194">
        <v>3</v>
      </c>
      <c r="C6" s="781" t="s">
        <v>46</v>
      </c>
      <c r="D6" s="781"/>
      <c r="E6" s="782"/>
      <c r="F6" s="776"/>
      <c r="G6" s="191"/>
      <c r="H6" s="191"/>
      <c r="I6" s="191"/>
      <c r="J6" s="191"/>
    </row>
    <row r="7" spans="1:10" ht="52.5" hidden="1" customHeight="1">
      <c r="A7" s="770"/>
      <c r="B7" s="194">
        <v>4</v>
      </c>
      <c r="C7" s="781" t="s">
        <v>47</v>
      </c>
      <c r="D7" s="781"/>
      <c r="E7" s="782"/>
      <c r="F7" s="776"/>
      <c r="G7" s="191"/>
      <c r="H7" s="191"/>
      <c r="I7" s="191"/>
      <c r="J7" s="192"/>
    </row>
    <row r="8" spans="1:10" ht="9.75" customHeight="1">
      <c r="A8" s="770"/>
      <c r="B8" s="198"/>
      <c r="C8" s="191"/>
      <c r="D8" s="191"/>
      <c r="E8" s="199"/>
      <c r="F8" s="776"/>
      <c r="G8" s="191"/>
      <c r="H8" s="191"/>
      <c r="I8" s="191"/>
      <c r="J8" s="192"/>
    </row>
    <row r="9" spans="1:10" ht="23.25" customHeight="1">
      <c r="A9" s="770"/>
      <c r="B9" s="783"/>
      <c r="C9" s="784"/>
      <c r="D9" s="784"/>
      <c r="E9" s="785"/>
      <c r="F9" s="776"/>
      <c r="G9" s="191"/>
      <c r="H9" s="191"/>
      <c r="I9" s="191"/>
      <c r="J9" s="192"/>
    </row>
    <row r="10" spans="1:10" ht="10.5" customHeight="1">
      <c r="A10" s="770"/>
      <c r="B10" s="200"/>
      <c r="C10" s="201"/>
      <c r="D10" s="201"/>
      <c r="E10" s="202"/>
      <c r="F10" s="776"/>
      <c r="G10" s="191"/>
      <c r="H10" s="191"/>
      <c r="I10" s="191"/>
      <c r="J10" s="192"/>
    </row>
    <row r="11" spans="1:10" ht="24" customHeight="1">
      <c r="A11" s="770"/>
      <c r="B11" s="786" t="s">
        <v>48</v>
      </c>
      <c r="C11" s="787"/>
      <c r="D11" s="787"/>
      <c r="E11" s="203"/>
      <c r="F11" s="776"/>
    </row>
    <row r="12" spans="1:10" ht="15.9" customHeight="1">
      <c r="A12" s="771"/>
      <c r="B12" s="788" t="s">
        <v>49</v>
      </c>
      <c r="C12" s="789"/>
      <c r="D12" s="789"/>
      <c r="E12" s="204"/>
      <c r="F12" s="777"/>
      <c r="G12" s="191"/>
      <c r="H12" s="191"/>
      <c r="I12" s="191"/>
      <c r="J12" s="192"/>
    </row>
    <row r="13" spans="1:10" ht="24" customHeight="1">
      <c r="A13" s="760"/>
      <c r="B13" s="761" t="s">
        <v>50</v>
      </c>
      <c r="C13" s="762"/>
      <c r="D13" s="762"/>
      <c r="E13" s="203"/>
      <c r="F13" s="763"/>
      <c r="G13" s="205"/>
      <c r="H13" s="205"/>
      <c r="I13" s="205"/>
      <c r="J13" s="205"/>
    </row>
    <row r="14" spans="1:10" ht="15.9" customHeight="1">
      <c r="A14" s="760"/>
      <c r="B14" s="764" t="s">
        <v>51</v>
      </c>
      <c r="C14" s="765"/>
      <c r="D14" s="765"/>
      <c r="E14" s="206"/>
      <c r="F14" s="763"/>
      <c r="G14" s="205"/>
      <c r="H14" s="205"/>
      <c r="I14" s="205"/>
      <c r="J14" s="205"/>
    </row>
    <row r="15" spans="1:10" ht="15.6">
      <c r="A15" s="191"/>
      <c r="B15" s="207"/>
      <c r="C15" s="207"/>
      <c r="D15" s="207"/>
      <c r="E15" s="207"/>
      <c r="F15" s="191"/>
      <c r="G15" s="191"/>
      <c r="H15" s="191"/>
      <c r="I15" s="191"/>
      <c r="J15" s="192"/>
    </row>
    <row r="16" spans="1:10" ht="15.6">
      <c r="A16" s="191"/>
      <c r="B16" s="191"/>
      <c r="C16" s="191"/>
      <c r="D16" s="191"/>
      <c r="E16" s="191"/>
      <c r="F16" s="191"/>
      <c r="G16" s="191"/>
      <c r="H16" s="191"/>
      <c r="I16" s="191"/>
      <c r="J16" s="192"/>
    </row>
    <row r="17" spans="1:10" ht="15.6">
      <c r="A17" s="191"/>
      <c r="B17" s="191"/>
      <c r="C17" s="191"/>
      <c r="D17" s="191"/>
      <c r="E17" s="191"/>
      <c r="F17" s="191"/>
      <c r="G17" s="191"/>
      <c r="H17" s="191"/>
      <c r="I17" s="191"/>
      <c r="J17" s="192"/>
    </row>
  </sheetData>
  <sheetProtection algorithmName="SHA-512" hashValue="Ancdqc52fx29CR/jntND3VEwnW5W9TxYqL7nSis+jy3NL3eJLguKrpSNvJOi9BYJc3tyfBMWUccbXRMGPPD02A==" saltValue="V88UoDjwy6yMvog2OGDU4Q==" spinCount="100000" sheet="1" formatColumns="0" formatRows="0" selectLockedCells="1"/>
  <customSheetViews>
    <customSheetView guid="{B85D7887-A299-45C0-BD97-6C28577A6A5C}" showGridLines="0" hiddenRows="1">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A9345C4-09FE-4F27-BFD9-3D9BCD2DED09}" scale="115" showPageBreaks="1" showGridLines="0" printArea="1" hiddenRows="1" view="pageBreakPreview">
      <selection activeCell="B2" sqref="B2:E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AB1F867-F01E-4EB9-A93D-DDCFDB9AA44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97EA202-A8B8-45C5-9E6C-C3CD104F3979}"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5" sqref="C5:E5"/>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D5521983-A70D-48A3-9506-C0263CBBC57D}"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12A89170-4F84-482D-A3C5-7890082E7B73}" showGridLines="0" hiddenRows="1">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CCA37BAE-906F-43D5-9FD9-B13563E4B9D7}" showGridLines="0" hiddenRows="1">
      <selection activeCell="B3" sqref="B3:E3"/>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277</v>
      </c>
    </row>
    <row r="2" spans="1:9" ht="15.6">
      <c r="A2" s="110"/>
      <c r="B2" s="111"/>
      <c r="C2" s="112"/>
      <c r="D2" s="113"/>
      <c r="E2" s="114"/>
      <c r="F2" s="157"/>
      <c r="G2" s="157"/>
      <c r="H2" s="95"/>
      <c r="I2" s="115"/>
    </row>
    <row r="3" spans="1:9" ht="15.6">
      <c r="A3" s="84"/>
      <c r="B3" s="85" t="s">
        <v>264</v>
      </c>
      <c r="C3" s="86"/>
      <c r="D3" s="87"/>
      <c r="E3" s="116"/>
      <c r="F3" s="157"/>
      <c r="G3" s="157"/>
      <c r="H3" s="117">
        <f>SUMIF(I1:I2,"Direct",H1:H2)</f>
        <v>0</v>
      </c>
      <c r="I3" s="88"/>
    </row>
    <row r="4" spans="1:9" ht="31.2">
      <c r="A4" s="84"/>
      <c r="B4" s="85" t="s">
        <v>265</v>
      </c>
      <c r="C4" s="86"/>
      <c r="D4" s="87"/>
      <c r="E4" s="116"/>
      <c r="F4" s="157"/>
      <c r="G4" s="157"/>
      <c r="H4" s="117">
        <f>SUMIF(J1:J2,"Bought-Out",H1:H2)</f>
        <v>0</v>
      </c>
      <c r="I4" s="88"/>
    </row>
    <row r="5" spans="1:9" ht="15.6">
      <c r="A5" s="89"/>
      <c r="B5" s="85" t="s">
        <v>266</v>
      </c>
      <c r="C5" s="90"/>
      <c r="D5" s="91"/>
      <c r="E5" s="92"/>
      <c r="F5" s="92"/>
      <c r="G5" s="92"/>
      <c r="H5" s="118">
        <f>H3+H4</f>
        <v>0</v>
      </c>
      <c r="I5" s="93"/>
    </row>
    <row r="6" spans="1:9" ht="15.6">
      <c r="A6" s="94"/>
      <c r="B6" s="971" t="s">
        <v>267</v>
      </c>
      <c r="C6" s="971"/>
      <c r="D6" s="971"/>
      <c r="E6" s="95"/>
      <c r="F6" s="157"/>
      <c r="G6" s="157"/>
      <c r="H6" s="117" t="e">
        <f>'Sch-7'!#REF!</f>
        <v>#REF!</v>
      </c>
      <c r="I6" s="96"/>
    </row>
    <row r="7" spans="1:9" ht="16.2" thickBot="1">
      <c r="A7" s="97"/>
      <c r="B7" s="972" t="s">
        <v>268</v>
      </c>
      <c r="C7" s="972"/>
      <c r="D7" s="972"/>
      <c r="E7" s="98"/>
      <c r="F7" s="98"/>
      <c r="G7" s="98"/>
      <c r="H7" s="119" t="e">
        <f>H5+H6</f>
        <v>#REF!</v>
      </c>
      <c r="I7" s="99"/>
    </row>
    <row r="8" spans="1:9" ht="15.6">
      <c r="A8" s="973"/>
      <c r="B8" s="973"/>
      <c r="C8" s="973"/>
      <c r="D8" s="973"/>
      <c r="E8" s="973"/>
      <c r="F8" s="973"/>
      <c r="G8" s="973"/>
    </row>
    <row r="9" spans="1:9" ht="15.6">
      <c r="A9" s="2"/>
      <c r="B9" s="974"/>
      <c r="C9" s="974"/>
      <c r="D9" s="974"/>
      <c r="E9" s="974"/>
      <c r="F9" s="974"/>
      <c r="G9" s="974"/>
    </row>
    <row r="10" spans="1:9" ht="15.6">
      <c r="A10" s="100"/>
      <c r="B10" s="100"/>
      <c r="C10" s="100"/>
      <c r="D10" s="100"/>
      <c r="E10" s="100"/>
      <c r="F10" s="100"/>
      <c r="G10" s="100"/>
    </row>
    <row r="11" spans="1:9" ht="90" customHeight="1">
      <c r="A11" s="101" t="s">
        <v>269</v>
      </c>
      <c r="B11" s="975" t="s">
        <v>270</v>
      </c>
      <c r="C11" s="975"/>
      <c r="D11" s="975"/>
      <c r="E11" s="975"/>
      <c r="F11" s="975"/>
      <c r="G11" s="975"/>
      <c r="H11" s="975"/>
      <c r="I11" s="975"/>
    </row>
    <row r="12" spans="1:9" ht="116.25" customHeight="1">
      <c r="A12" s="102" t="s">
        <v>271</v>
      </c>
      <c r="B12" s="976" t="s">
        <v>272</v>
      </c>
      <c r="C12" s="976"/>
      <c r="D12" s="976"/>
      <c r="E12" s="976"/>
      <c r="F12" s="976"/>
      <c r="G12" s="976"/>
      <c r="H12" s="976"/>
      <c r="I12" s="976"/>
    </row>
    <row r="13" spans="1:9" ht="15.6">
      <c r="A13" s="102"/>
      <c r="B13" s="976"/>
      <c r="C13" s="976"/>
      <c r="D13" s="976"/>
      <c r="E13" s="976"/>
      <c r="F13" s="976"/>
      <c r="G13" s="976"/>
    </row>
    <row r="14" spans="1:9" ht="15.6">
      <c r="A14" s="103" t="s">
        <v>160</v>
      </c>
      <c r="B14" s="104" t="str">
        <f>'Names of Bidder'!D$27&amp;"-"&amp; 'Names of Bidder'!E$27&amp;"-" &amp;'Names of Bidder'!F$27</f>
        <v>--</v>
      </c>
      <c r="C14" s="105"/>
      <c r="D14" s="106"/>
      <c r="E14" s="1"/>
      <c r="F14" s="1"/>
      <c r="G14" s="107"/>
    </row>
    <row r="15" spans="1:9" ht="15.6">
      <c r="A15" s="103" t="s">
        <v>161</v>
      </c>
      <c r="B15" s="104" t="str">
        <f>IF('Names of Bidder'!D$28=0, "", 'Names of Bidder'!D$28)</f>
        <v/>
      </c>
      <c r="C15" s="1"/>
      <c r="D15" s="106" t="s">
        <v>142</v>
      </c>
      <c r="E15" s="107" t="str">
        <f>IF('Names of Bidder'!D$24=0, "", 'Names of Bidder'!D$24)</f>
        <v/>
      </c>
      <c r="F15" s="1"/>
      <c r="G15" s="104" t="str">
        <f>'[6]Names of Bidder'!I14&amp;"-"&amp; '[6]Names of Bidder'!J14&amp;"-" &amp;'[6]Names of Bidder'!K14</f>
        <v>--</v>
      </c>
    </row>
    <row r="16" spans="1:9" ht="15.6">
      <c r="A16" s="108"/>
      <c r="B16" s="109"/>
      <c r="C16" s="3"/>
      <c r="D16" s="106" t="s">
        <v>144</v>
      </c>
      <c r="E16" s="107" t="str">
        <f>IF('Names of Bidder'!D$25=0, "", 'Names of Bidder'!D$25)</f>
        <v/>
      </c>
      <c r="F16" s="3"/>
      <c r="G16" s="3"/>
    </row>
    <row r="18" spans="1:11">
      <c r="A18" t="s">
        <v>278</v>
      </c>
    </row>
    <row r="20" spans="1:11" ht="16.2" thickBot="1">
      <c r="A20" s="120"/>
      <c r="B20" s="121" t="s">
        <v>279</v>
      </c>
      <c r="C20" s="122"/>
      <c r="D20" s="121"/>
      <c r="E20" s="98"/>
      <c r="F20" s="98"/>
      <c r="G20" s="98"/>
      <c r="H20" s="123" t="s">
        <v>293</v>
      </c>
    </row>
    <row r="21" spans="1:11" ht="16.2" thickBot="1">
      <c r="A21" s="124"/>
      <c r="B21" s="977"/>
      <c r="C21" s="977"/>
      <c r="D21" s="977"/>
      <c r="E21" s="977"/>
      <c r="F21" s="977"/>
    </row>
    <row r="22" spans="1:11" ht="15.6">
      <c r="A22" s="125"/>
      <c r="B22" s="978"/>
      <c r="C22" s="978"/>
      <c r="D22" s="978"/>
      <c r="E22" s="978"/>
      <c r="F22" s="978"/>
    </row>
    <row r="23" spans="1:11" ht="15.6">
      <c r="A23" s="103" t="s">
        <v>160</v>
      </c>
      <c r="B23" s="104" t="s">
        <v>258</v>
      </c>
      <c r="C23" s="126"/>
      <c r="D23" s="106"/>
      <c r="E23" s="1"/>
      <c r="F23" s="1"/>
    </row>
    <row r="24" spans="1:11" ht="15.6">
      <c r="A24" s="103" t="s">
        <v>161</v>
      </c>
      <c r="B24" s="104" t="s">
        <v>259</v>
      </c>
      <c r="C24" s="2"/>
      <c r="D24" s="106" t="s">
        <v>142</v>
      </c>
      <c r="E24" s="107" t="s">
        <v>280</v>
      </c>
      <c r="F24" s="1"/>
    </row>
    <row r="25" spans="1:11" ht="15.6">
      <c r="A25" s="108"/>
      <c r="B25" s="109"/>
      <c r="C25" s="108"/>
      <c r="D25" s="106" t="s">
        <v>144</v>
      </c>
      <c r="E25" s="107" t="s">
        <v>281</v>
      </c>
      <c r="F25" s="3"/>
    </row>
    <row r="27" spans="1:11">
      <c r="A27" t="s">
        <v>282</v>
      </c>
    </row>
    <row r="29" spans="1:11" ht="15.6">
      <c r="A29" s="127"/>
      <c r="B29" s="128" t="s">
        <v>283</v>
      </c>
      <c r="C29" s="128"/>
      <c r="D29" s="128"/>
      <c r="E29" s="129"/>
      <c r="F29" s="129"/>
      <c r="G29" s="129"/>
      <c r="H29" s="129"/>
      <c r="I29" s="129"/>
      <c r="J29" s="129"/>
      <c r="K29" s="130" t="e">
        <f>SUM(#REF!)</f>
        <v>#REF!</v>
      </c>
    </row>
    <row r="30" spans="1:11" ht="15.6">
      <c r="A30" s="125"/>
      <c r="B30" s="979"/>
      <c r="C30" s="974"/>
      <c r="D30" s="974"/>
      <c r="E30" s="974"/>
      <c r="F30" s="974"/>
      <c r="G30" s="974"/>
    </row>
    <row r="31" spans="1:11" ht="15.6">
      <c r="A31" s="131" t="s">
        <v>160</v>
      </c>
      <c r="B31" s="132" t="s">
        <v>258</v>
      </c>
      <c r="C31" s="133"/>
      <c r="D31" s="134"/>
      <c r="E31" s="135"/>
      <c r="F31" s="135"/>
      <c r="G31" s="3"/>
    </row>
    <row r="32" spans="1:11" ht="15.6">
      <c r="A32" s="131" t="s">
        <v>161</v>
      </c>
      <c r="B32" s="132" t="s">
        <v>259</v>
      </c>
      <c r="C32" s="135"/>
      <c r="D32" s="134" t="s">
        <v>142</v>
      </c>
      <c r="E32" s="136" t="s">
        <v>280</v>
      </c>
      <c r="F32" s="135"/>
      <c r="G32" s="3"/>
    </row>
    <row r="33" spans="1:8" ht="15.6">
      <c r="A33" s="137"/>
      <c r="B33" s="138"/>
      <c r="C33" s="139"/>
      <c r="D33" s="134" t="s">
        <v>144</v>
      </c>
      <c r="E33" s="136" t="s">
        <v>281</v>
      </c>
      <c r="F33" s="139"/>
      <c r="G33" s="3"/>
    </row>
    <row r="35" spans="1:8">
      <c r="A35" t="s">
        <v>286</v>
      </c>
    </row>
    <row r="37" spans="1:8">
      <c r="A37" s="140" t="s">
        <v>160</v>
      </c>
      <c r="B37" s="141" t="s">
        <v>256</v>
      </c>
      <c r="C37" s="142"/>
      <c r="D37" s="980" t="s">
        <v>284</v>
      </c>
      <c r="E37" s="980"/>
      <c r="F37" s="982"/>
    </row>
    <row r="38" spans="1:8">
      <c r="A38" s="140" t="s">
        <v>161</v>
      </c>
      <c r="B38" s="141" t="s">
        <v>257</v>
      </c>
      <c r="C38" s="6"/>
      <c r="D38" s="980" t="s">
        <v>285</v>
      </c>
      <c r="E38" s="980"/>
      <c r="F38" s="982"/>
    </row>
    <row r="40" spans="1:8">
      <c r="A40" t="s">
        <v>287</v>
      </c>
    </row>
    <row r="42" spans="1:8" ht="15.6">
      <c r="A42" s="143"/>
      <c r="B42" s="144" t="s">
        <v>288</v>
      </c>
      <c r="C42" s="144"/>
      <c r="D42" s="144"/>
      <c r="E42" s="144"/>
      <c r="F42" s="144"/>
      <c r="G42" s="144"/>
      <c r="H42" s="145" t="s">
        <v>294</v>
      </c>
    </row>
    <row r="43" spans="1:8">
      <c r="A43" s="146"/>
      <c r="B43" s="147"/>
      <c r="C43" s="147"/>
      <c r="D43" s="147"/>
      <c r="E43" s="147"/>
      <c r="F43" s="147"/>
      <c r="G43" s="148"/>
    </row>
    <row r="44" spans="1:8">
      <c r="A44" s="147"/>
      <c r="B44" s="147"/>
      <c r="C44" s="147"/>
      <c r="D44" s="147"/>
      <c r="E44" s="147"/>
      <c r="F44" s="147"/>
      <c r="G44" s="149"/>
    </row>
    <row r="45" spans="1:8">
      <c r="A45" s="983"/>
      <c r="B45" s="983"/>
      <c r="C45" s="983"/>
      <c r="D45" s="983"/>
      <c r="E45" s="983"/>
      <c r="F45" s="983"/>
      <c r="G45" s="983"/>
    </row>
    <row r="46" spans="1:8">
      <c r="A46" s="150"/>
      <c r="B46" s="150"/>
      <c r="C46" s="980"/>
      <c r="D46" s="980"/>
      <c r="E46" s="980"/>
      <c r="F46" s="980"/>
      <c r="G46" s="980"/>
    </row>
    <row r="47" spans="1:8">
      <c r="A47" s="151" t="s">
        <v>160</v>
      </c>
      <c r="B47" s="152" t="s">
        <v>258</v>
      </c>
      <c r="C47" s="980" t="s">
        <v>289</v>
      </c>
      <c r="D47" s="980"/>
      <c r="E47" s="980"/>
      <c r="F47" s="980"/>
      <c r="G47" s="980"/>
    </row>
    <row r="48" spans="1:8">
      <c r="A48" s="151" t="s">
        <v>161</v>
      </c>
      <c r="B48" s="153" t="s">
        <v>259</v>
      </c>
      <c r="C48" s="980" t="s">
        <v>290</v>
      </c>
      <c r="D48" s="980"/>
      <c r="E48" s="980"/>
      <c r="F48" s="980"/>
      <c r="G48" s="980"/>
    </row>
    <row r="49" spans="1:7">
      <c r="A49" s="5"/>
      <c r="B49" s="4"/>
      <c r="C49" s="980"/>
      <c r="D49" s="980"/>
      <c r="E49" s="980"/>
      <c r="F49" s="980"/>
      <c r="G49" s="980"/>
    </row>
    <row r="50" spans="1:7">
      <c r="A50" s="5"/>
      <c r="B50" s="4"/>
      <c r="C50" s="147"/>
      <c r="D50" s="147"/>
      <c r="E50" s="147"/>
      <c r="F50" s="147"/>
      <c r="G50" s="147"/>
    </row>
    <row r="51" spans="1:7">
      <c r="A51" s="154" t="s">
        <v>291</v>
      </c>
      <c r="B51" s="981" t="s">
        <v>292</v>
      </c>
      <c r="C51" s="981"/>
      <c r="D51" s="981"/>
      <c r="E51" s="981"/>
      <c r="F51" s="981"/>
      <c r="G51" s="155"/>
    </row>
    <row r="52" spans="1:7">
      <c r="A52" s="156"/>
      <c r="B52" s="8"/>
      <c r="C52" s="8"/>
      <c r="D52" s="8"/>
      <c r="E52" s="8"/>
      <c r="F52" s="8"/>
      <c r="G52" s="8"/>
    </row>
    <row r="60" spans="1:7">
      <c r="B60" t="s">
        <v>260</v>
      </c>
    </row>
    <row r="61" spans="1:7">
      <c r="B61" t="s">
        <v>261</v>
      </c>
    </row>
  </sheetData>
  <customSheetViews>
    <customSheetView guid="{B85D7887-A299-45C0-BD97-6C28577A6A5C}" state="hidden">
      <selection activeCell="H42" sqref="H42"/>
      <pageMargins left="0.7" right="0.7" top="0.75" bottom="0.75" header="0.3" footer="0.3"/>
    </customSheetView>
    <customSheetView guid="{CA9345C4-09FE-4F27-BFD9-3D9BCD2DED09}" state="hidden">
      <selection activeCell="H42" sqref="H42"/>
      <pageMargins left="0.7" right="0.7" top="0.75" bottom="0.75" header="0.3" footer="0.3"/>
    </customSheetView>
    <customSheetView guid="{7AB1F867-F01E-4EB9-A93D-DDCFDB9AA444}"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497EA202-A8B8-45C5-9E6C-C3CD104F3979}"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D5521983-A70D-48A3-9506-C0263CBBC57D}" state="hidden">
      <selection activeCell="H42" sqref="H42"/>
      <pageMargins left="0.7" right="0.7" top="0.75" bottom="0.75" header="0.3" footer="0.3"/>
    </customSheetView>
    <customSheetView guid="{12A89170-4F84-482D-A3C5-7890082E7B73}"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B85D7887-A299-45C0-BD97-6C28577A6A5C}" state="hidden">
      <pageMargins left="0.7" right="0.7" top="0.75" bottom="0.75" header="0.3" footer="0.3"/>
    </customSheetView>
    <customSheetView guid="{CA9345C4-09FE-4F27-BFD9-3D9BCD2DED09}" state="hidden">
      <pageMargins left="0.7" right="0.7" top="0.75" bottom="0.75" header="0.3" footer="0.3"/>
    </customSheetView>
    <customSheetView guid="{7AB1F867-F01E-4EB9-A93D-DDCFDB9AA444}"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497EA202-A8B8-45C5-9E6C-C3CD104F3979}" state="hidden">
      <pageMargins left="0.7" right="0.7" top="0.75" bottom="0.75" header="0.3" footer="0.3"/>
    </customSheetView>
    <customSheetView guid="{63D51328-7CBC-4A1E-B96D-BAE91416501B}" state="hidden">
      <pageMargins left="0.7" right="0.7" top="0.75" bottom="0.75" header="0.3" footer="0.3"/>
    </customSheetView>
    <customSheetView guid="{D5521983-A70D-48A3-9506-C0263CBBC57D}" state="hidden">
      <pageMargins left="0.7" right="0.7" top="0.75" bottom="0.75" header="0.3" footer="0.3"/>
    </customSheetView>
    <customSheetView guid="{12A89170-4F84-482D-A3C5-7890082E7B73}" state="hidden">
      <pageMargins left="0.7" right="0.7" top="0.75" bottom="0.75" header="0.3" footer="0.3"/>
    </customSheetView>
    <customSheetView guid="{CCA37BAE-906F-43D5-9FD9-B13563E4B9D7}"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179" hidden="1" customWidth="1"/>
    <col min="2" max="2" width="13.33203125" style="179" hidden="1" customWidth="1"/>
    <col min="3" max="3" width="0" style="179" hidden="1" customWidth="1"/>
    <col min="4" max="4" width="10.33203125" style="179" hidden="1" customWidth="1"/>
    <col min="5" max="5" width="3.44140625" style="179" hidden="1" customWidth="1"/>
    <col min="6" max="6" width="5.5546875" style="179" hidden="1" customWidth="1"/>
    <col min="7" max="7" width="11.44140625" style="179" hidden="1" customWidth="1"/>
    <col min="8" max="8" width="0" style="179" hidden="1" customWidth="1"/>
    <col min="9" max="9" width="10" style="179" hidden="1" customWidth="1"/>
    <col min="10" max="10" width="3.33203125" style="179" hidden="1" customWidth="1"/>
    <col min="11" max="11" width="5" style="179" hidden="1" customWidth="1"/>
    <col min="12" max="12" width="11.33203125" style="179" hidden="1" customWidth="1"/>
    <col min="13" max="13" width="0" style="179" hidden="1" customWidth="1"/>
    <col min="14" max="14" width="10.33203125" style="179" hidden="1" customWidth="1"/>
    <col min="15" max="15" width="3.6640625" style="179" hidden="1" customWidth="1"/>
    <col min="16" max="16" width="6.44140625" style="179" customWidth="1"/>
    <col min="17" max="17" width="14.88671875" style="179" customWidth="1"/>
    <col min="18" max="18" width="9.109375" style="179" customWidth="1"/>
    <col min="19" max="19" width="12" style="179" customWidth="1"/>
    <col min="20" max="20" width="3.33203125" style="179" hidden="1" customWidth="1"/>
    <col min="21" max="21" width="6.109375" style="179" hidden="1" customWidth="1"/>
    <col min="22" max="22" width="8.5546875" style="179" hidden="1" customWidth="1"/>
    <col min="23" max="23" width="8.44140625" style="179" hidden="1" customWidth="1"/>
    <col min="24" max="24" width="8.88671875" style="179" hidden="1" customWidth="1"/>
    <col min="25" max="116" width="0" style="179" hidden="1" customWidth="1"/>
    <col min="117" max="16384" width="9.109375" style="179"/>
  </cols>
  <sheetData>
    <row r="1" spans="1:27" ht="13.8" thickBot="1">
      <c r="A1" s="995" t="e">
        <v>#REF!</v>
      </c>
      <c r="B1" s="996"/>
      <c r="C1" s="160"/>
      <c r="D1" s="161"/>
      <c r="E1" s="160"/>
      <c r="F1" s="995">
        <v>0</v>
      </c>
      <c r="G1" s="996"/>
      <c r="H1" s="160"/>
      <c r="I1" s="161"/>
      <c r="K1" s="995" t="e">
        <v>#REF!</v>
      </c>
      <c r="L1" s="996"/>
      <c r="M1" s="160"/>
      <c r="N1" s="161"/>
      <c r="P1" s="995">
        <f>'Sch-6 (After Discount)'!D28</f>
        <v>0</v>
      </c>
      <c r="Q1" s="996"/>
      <c r="R1" s="160"/>
      <c r="S1" s="161"/>
      <c r="U1" s="182" t="e">
        <v>#REF!</v>
      </c>
    </row>
    <row r="2" spans="1:27">
      <c r="A2" s="990"/>
      <c r="B2" s="991"/>
      <c r="C2" s="160"/>
      <c r="D2" s="161"/>
      <c r="E2" s="160"/>
      <c r="F2" s="162"/>
      <c r="G2" s="160"/>
      <c r="H2" s="160"/>
      <c r="I2" s="161"/>
      <c r="K2" s="162"/>
      <c r="L2" s="160"/>
      <c r="M2" s="160"/>
      <c r="N2" s="161"/>
      <c r="P2" s="162"/>
      <c r="Q2" s="160"/>
      <c r="R2" s="160"/>
      <c r="S2" s="161"/>
      <c r="U2" s="182" t="e">
        <v>#REF!</v>
      </c>
    </row>
    <row r="3" spans="1:27">
      <c r="A3" s="162"/>
      <c r="B3" s="163"/>
      <c r="C3" s="163"/>
      <c r="D3" s="164"/>
      <c r="E3" s="163"/>
      <c r="F3" s="162"/>
      <c r="G3" s="163"/>
      <c r="H3" s="163"/>
      <c r="I3" s="164"/>
      <c r="K3" s="162"/>
      <c r="L3" s="163"/>
      <c r="M3" s="163"/>
      <c r="N3" s="164"/>
      <c r="P3" s="162"/>
      <c r="Q3" s="163"/>
      <c r="R3" s="163"/>
      <c r="S3" s="164"/>
      <c r="U3" s="182" t="s">
        <v>460</v>
      </c>
    </row>
    <row r="4" spans="1:27" ht="66.75" customHeight="1" thickBot="1">
      <c r="A4" s="992" t="e">
        <f>IF(OR((A1&gt;9999999999),(A1&lt;0)),"Invalid Entry - More than 1000 crore OR -ve value",IF(A1=0, "",+CONCATENATE(#REF!,B11,D11,B10,D10,B9,D9,B8,D8,B7,D7,B6," Only")))</f>
        <v>#REF!</v>
      </c>
      <c r="B4" s="993"/>
      <c r="C4" s="993"/>
      <c r="D4" s="994"/>
      <c r="E4" s="160"/>
      <c r="F4" s="992" t="str">
        <f>IF(OR((F1&gt;9999999999),(F1&lt;0)),"Invalid Entry - More than 1000 crore OR -ve value",IF(F1=0, "",+CONCATENATE(U1, G11,I11,G10,I10,G9,I9,G8,I8,G7,I7,G6," Only")))</f>
        <v/>
      </c>
      <c r="G4" s="993"/>
      <c r="H4" s="993"/>
      <c r="I4" s="994"/>
      <c r="J4" s="160"/>
      <c r="K4" s="992" t="e">
        <f>IF(OR((K1&gt;9999999999),(K1&lt;0)),"Invalid Entry - More than 1000 crore OR -ve value",IF(K1=0, "",+CONCATENATE(U2, L11,N11,L10,N10,L9,N9,L8,N8,L7,N7,L6," Only")))</f>
        <v>#REF!</v>
      </c>
      <c r="L4" s="993"/>
      <c r="M4" s="993"/>
      <c r="N4" s="994"/>
      <c r="P4" s="992" t="str">
        <f>IF(OR((P1&gt;9999999999),(P1&lt;0)),"Invalid Entry - More than 1000 crore OR -ve value",IF(P1=0, "",+CONCATENATE(U3, Q11,S11,Q10,S10,Q9,S9,Q8,S8,Q7,S7,Q6," Only")))</f>
        <v/>
      </c>
      <c r="Q4" s="993"/>
      <c r="R4" s="993"/>
      <c r="S4" s="994"/>
      <c r="U4" s="984" t="e">
        <f>VLOOKUP(1,T28:Y43,6,FALSE)</f>
        <v>#N/A</v>
      </c>
      <c r="V4" s="984"/>
      <c r="W4" s="984"/>
      <c r="X4" s="984"/>
      <c r="Y4" s="984"/>
      <c r="Z4" s="984"/>
      <c r="AA4" s="984"/>
    </row>
    <row r="5" spans="1:27" ht="18.75" customHeight="1" thickBot="1">
      <c r="A5" s="162"/>
      <c r="B5" s="163"/>
      <c r="C5" s="163"/>
      <c r="D5" s="164"/>
      <c r="E5" s="163"/>
      <c r="F5" s="162"/>
      <c r="G5" s="163"/>
      <c r="H5" s="163"/>
      <c r="I5" s="164"/>
      <c r="K5" s="162"/>
      <c r="L5" s="163"/>
      <c r="M5" s="163"/>
      <c r="N5" s="164"/>
      <c r="P5" s="162"/>
      <c r="Q5" s="163"/>
      <c r="R5" s="163"/>
      <c r="S5" s="164"/>
      <c r="U5" s="985" t="e">
        <f>VLOOKUP(1,T8:Y23,6,FALSE)</f>
        <v>#N/A</v>
      </c>
      <c r="V5" s="986"/>
      <c r="W5" s="986"/>
      <c r="X5" s="986"/>
      <c r="Y5" s="986"/>
      <c r="Z5" s="986"/>
      <c r="AA5" s="987"/>
    </row>
    <row r="6" spans="1:27">
      <c r="A6" s="165" t="e">
        <f>-INT(A1/100)*100+ROUND(A1,0)</f>
        <v>#REF!</v>
      </c>
      <c r="B6" s="163" t="e">
        <f t="shared" ref="B6:B11" si="0">IF(A6=0,"",LOOKUP(A6,$A$13:$A$112,$B$13:$B$112))</f>
        <v>#REF!</v>
      </c>
      <c r="C6" s="163"/>
      <c r="D6" s="166"/>
      <c r="E6" s="163"/>
      <c r="F6" s="165">
        <f>-INT(F1/100)*100+ROUND(F1,0)</f>
        <v>0</v>
      </c>
      <c r="G6" s="163" t="str">
        <f t="shared" ref="G6:G11" si="1">IF(F6=0,"",LOOKUP(F6,$A$13:$A$112,$B$13:$B$112))</f>
        <v/>
      </c>
      <c r="H6" s="163"/>
      <c r="I6" s="166"/>
      <c r="K6" s="165" t="e">
        <f>-INT(K1/100)*100+ROUND(K1,0)</f>
        <v>#REF!</v>
      </c>
      <c r="L6" s="163" t="e">
        <f t="shared" ref="L6:L11" si="2">IF(K6=0,"",LOOKUP(K6,$A$13:$A$112,$B$13:$B$112))</f>
        <v>#REF!</v>
      </c>
      <c r="M6" s="163"/>
      <c r="N6" s="166"/>
      <c r="P6" s="165">
        <f>-INT(P1/100)*100+ROUND(P1,0)</f>
        <v>0</v>
      </c>
      <c r="Q6" s="163" t="str">
        <f t="shared" ref="Q6:Q11" si="3">IF(P6=0,"",LOOKUP(P6,$A$13:$A$112,$B$13:$B$112))</f>
        <v/>
      </c>
      <c r="R6" s="163"/>
      <c r="S6" s="166"/>
    </row>
    <row r="7" spans="1:27">
      <c r="A7" s="165" t="e">
        <f>-INT(A1/1000)*10+INT(A1/100)</f>
        <v>#REF!</v>
      </c>
      <c r="B7" s="163" t="e">
        <f t="shared" si="0"/>
        <v>#REF!</v>
      </c>
      <c r="C7" s="163"/>
      <c r="D7" s="166" t="e">
        <f>+IF(B7="",""," Hundred ")</f>
        <v>#REF!</v>
      </c>
      <c r="E7" s="163"/>
      <c r="F7" s="165">
        <f>-INT(F1/1000)*10+INT(F1/100)</f>
        <v>0</v>
      </c>
      <c r="G7" s="163" t="str">
        <f t="shared" si="1"/>
        <v/>
      </c>
      <c r="H7" s="163"/>
      <c r="I7" s="166" t="str">
        <f>+IF(G7="",""," Hundred ")</f>
        <v/>
      </c>
      <c r="K7" s="165" t="e">
        <f>-INT(K1/1000)*10+INT(K1/100)</f>
        <v>#REF!</v>
      </c>
      <c r="L7" s="163" t="e">
        <f t="shared" si="2"/>
        <v>#REF!</v>
      </c>
      <c r="M7" s="163"/>
      <c r="N7" s="166" t="e">
        <f>+IF(L7="",""," Hundred ")</f>
        <v>#REF!</v>
      </c>
      <c r="P7" s="165">
        <f>-INT(P1/1000)*10+INT(P1/100)</f>
        <v>0</v>
      </c>
      <c r="Q7" s="163" t="str">
        <f t="shared" si="3"/>
        <v/>
      </c>
      <c r="R7" s="163"/>
      <c r="S7" s="166" t="str">
        <f>+IF(Q7="",""," Hundred ")</f>
        <v/>
      </c>
    </row>
    <row r="8" spans="1:27">
      <c r="A8" s="165" t="e">
        <f>-INT(A1/100000)*100+INT(A1/1000)</f>
        <v>#REF!</v>
      </c>
      <c r="B8" s="163" t="e">
        <f t="shared" si="0"/>
        <v>#REF!</v>
      </c>
      <c r="C8" s="163"/>
      <c r="D8" s="166" t="e">
        <f>IF((B8=""),IF(C8="",""," Thousand ")," Thousand ")</f>
        <v>#REF!</v>
      </c>
      <c r="E8" s="163"/>
      <c r="F8" s="165">
        <f>-INT(F1/100000)*100+INT(F1/1000)</f>
        <v>0</v>
      </c>
      <c r="G8" s="163" t="str">
        <f t="shared" si="1"/>
        <v/>
      </c>
      <c r="H8" s="163"/>
      <c r="I8" s="166" t="str">
        <f>IF((G8=""),IF(H8="",""," Thousand ")," Thousand ")</f>
        <v/>
      </c>
      <c r="K8" s="165" t="e">
        <f>-INT(K1/100000)*100+INT(K1/1000)</f>
        <v>#REF!</v>
      </c>
      <c r="L8" s="163" t="e">
        <f t="shared" si="2"/>
        <v>#REF!</v>
      </c>
      <c r="M8" s="163"/>
      <c r="N8" s="166" t="e">
        <f>IF((L8=""),IF(M8="",""," Thousand ")," Thousand ")</f>
        <v>#REF!</v>
      </c>
      <c r="P8" s="165">
        <f>-INT(P1/100000)*100+INT(P1/1000)</f>
        <v>0</v>
      </c>
      <c r="Q8" s="163" t="str">
        <f t="shared" si="3"/>
        <v/>
      </c>
      <c r="R8" s="163"/>
      <c r="S8" s="166" t="str">
        <f>IF((Q8=""),IF(R8="",""," Thousand ")," Thousand ")</f>
        <v/>
      </c>
      <c r="T8" s="183" t="e">
        <f>IF(Y8="",0, 1)</f>
        <v>#REF!</v>
      </c>
      <c r="U8" s="179">
        <v>0</v>
      </c>
      <c r="V8" s="179">
        <v>0</v>
      </c>
      <c r="W8" s="179">
        <v>0</v>
      </c>
      <c r="X8" s="179">
        <v>0</v>
      </c>
      <c r="Y8" s="184" t="e">
        <f>IF(AND($A$1=0,$F$1=0,$K$1=0,$P$1=0)," Zero only", "")</f>
        <v>#REF!</v>
      </c>
      <c r="AA8" s="179" t="s">
        <v>461</v>
      </c>
    </row>
    <row r="9" spans="1:27">
      <c r="A9" s="165" t="e">
        <f>-INT(A1/10000000)*100+INT(A1/100000)</f>
        <v>#REF!</v>
      </c>
      <c r="B9" s="163" t="e">
        <f t="shared" si="0"/>
        <v>#REF!</v>
      </c>
      <c r="C9" s="163"/>
      <c r="D9" s="166" t="e">
        <f>IF((B9=""),IF(C9="",""," Lac ")," Lac ")</f>
        <v>#REF!</v>
      </c>
      <c r="E9" s="163"/>
      <c r="F9" s="165">
        <f>-INT(F1/10000000)*100+INT(F1/100000)</f>
        <v>0</v>
      </c>
      <c r="G9" s="163" t="str">
        <f t="shared" si="1"/>
        <v/>
      </c>
      <c r="H9" s="163"/>
      <c r="I9" s="166" t="str">
        <f>IF((G9=""),IF(H9="",""," Lac ")," Lac ")</f>
        <v/>
      </c>
      <c r="K9" s="165" t="e">
        <f>-INT(K1/10000000)*100+INT(K1/100000)</f>
        <v>#REF!</v>
      </c>
      <c r="L9" s="163" t="e">
        <f t="shared" si="2"/>
        <v>#REF!</v>
      </c>
      <c r="M9" s="163"/>
      <c r="N9" s="166" t="e">
        <f>IF((L9=""),IF(M9="",""," Lac ")," Lac ")</f>
        <v>#REF!</v>
      </c>
      <c r="P9" s="165">
        <f>-INT(P1/10000000)*100+INT(P1/100000)</f>
        <v>0</v>
      </c>
      <c r="Q9" s="163" t="str">
        <f t="shared" si="3"/>
        <v/>
      </c>
      <c r="R9" s="163"/>
      <c r="S9" s="166" t="str">
        <f>IF((Q9=""),IF(R9="",""," Lac ")," Lac ")</f>
        <v/>
      </c>
      <c r="T9" s="183" t="e">
        <f t="shared" ref="T9:T23" si="4">IF(Y9="",0, 1)</f>
        <v>#REF!</v>
      </c>
      <c r="U9" s="179">
        <v>0</v>
      </c>
      <c r="V9" s="179">
        <v>0</v>
      </c>
      <c r="W9" s="179">
        <v>0</v>
      </c>
      <c r="X9" s="179">
        <v>1</v>
      </c>
      <c r="Y9" s="185" t="e">
        <f>IF(AND($A$1=0,$F$1=0,$K$1=0,$P$1&gt;0),$P$4, "")</f>
        <v>#REF!</v>
      </c>
    </row>
    <row r="10" spans="1:27">
      <c r="A10" s="165" t="e">
        <f>-INT(A1/1000000000)*100+INT(A1/10000000)</f>
        <v>#REF!</v>
      </c>
      <c r="B10" s="167" t="e">
        <f t="shared" si="0"/>
        <v>#REF!</v>
      </c>
      <c r="C10" s="163"/>
      <c r="D10" s="166" t="e">
        <f>IF((B10=""),IF(C10="",""," Crore ")," Crore ")</f>
        <v>#REF!</v>
      </c>
      <c r="E10" s="163"/>
      <c r="F10" s="165">
        <f>-INT(F1/1000000000)*100+INT(F1/10000000)</f>
        <v>0</v>
      </c>
      <c r="G10" s="167" t="str">
        <f t="shared" si="1"/>
        <v/>
      </c>
      <c r="H10" s="163"/>
      <c r="I10" s="166" t="str">
        <f>IF((G10=""),IF(H10="",""," Crore ")," Crore ")</f>
        <v/>
      </c>
      <c r="K10" s="165" t="e">
        <f>-INT(K1/1000000000)*100+INT(K1/10000000)</f>
        <v>#REF!</v>
      </c>
      <c r="L10" s="167" t="e">
        <f t="shared" si="2"/>
        <v>#REF!</v>
      </c>
      <c r="M10" s="163"/>
      <c r="N10" s="166" t="e">
        <f>IF((L10=""),IF(M10="",""," Crore ")," Crore ")</f>
        <v>#REF!</v>
      </c>
      <c r="P10" s="165">
        <f>-INT(P1/1000000000)*100+INT(P1/10000000)</f>
        <v>0</v>
      </c>
      <c r="Q10" s="167" t="str">
        <f t="shared" si="3"/>
        <v/>
      </c>
      <c r="R10" s="163"/>
      <c r="S10" s="166" t="str">
        <f>IF((Q10=""),IF(R10="",""," Crore ")," Crore ")</f>
        <v/>
      </c>
      <c r="T10" s="183" t="e">
        <f t="shared" si="4"/>
        <v>#REF!</v>
      </c>
      <c r="U10" s="179">
        <v>0</v>
      </c>
      <c r="V10" s="179">
        <v>0</v>
      </c>
      <c r="W10" s="179">
        <v>1</v>
      </c>
      <c r="X10" s="179">
        <v>0</v>
      </c>
      <c r="Y10" s="185" t="e">
        <f>IF(AND($A$1=0,$F$1=0,$K$1&gt;0,$P$1=0),$K$4, "")</f>
        <v>#REF!</v>
      </c>
    </row>
    <row r="11" spans="1:27">
      <c r="A11" s="168" t="e">
        <f>-INT(A1/10000000000)*1000+INT(A1/1000000000)</f>
        <v>#REF!</v>
      </c>
      <c r="B11" s="167" t="e">
        <f t="shared" si="0"/>
        <v>#REF!</v>
      </c>
      <c r="C11" s="163"/>
      <c r="D11" s="166" t="e">
        <f>IF((B11=""),IF(C11="",""," Hundred ")," Hundred ")</f>
        <v>#REF!</v>
      </c>
      <c r="E11" s="163"/>
      <c r="F11" s="168">
        <f>-INT(F1/10000000000)*1000+INT(F1/1000000000)</f>
        <v>0</v>
      </c>
      <c r="G11" s="167" t="str">
        <f t="shared" si="1"/>
        <v/>
      </c>
      <c r="H11" s="163"/>
      <c r="I11" s="166" t="str">
        <f>IF((G11=""),IF(H11="",""," Hundred ")," Hundred ")</f>
        <v/>
      </c>
      <c r="K11" s="168" t="e">
        <f>-INT(K1/10000000000)*1000+INT(K1/1000000000)</f>
        <v>#REF!</v>
      </c>
      <c r="L11" s="167" t="e">
        <f t="shared" si="2"/>
        <v>#REF!</v>
      </c>
      <c r="M11" s="163"/>
      <c r="N11" s="166" t="e">
        <f>IF((L11=""),IF(M11="",""," Hundred ")," Hundred ")</f>
        <v>#REF!</v>
      </c>
      <c r="P11" s="168">
        <f>-INT(P1/10000000000)*1000+INT(P1/1000000000)</f>
        <v>0</v>
      </c>
      <c r="Q11" s="167" t="str">
        <f t="shared" si="3"/>
        <v/>
      </c>
      <c r="R11" s="163"/>
      <c r="S11" s="166" t="str">
        <f>IF((Q11=""),IF(R11="",""," Hundred ")," Hundred ")</f>
        <v/>
      </c>
      <c r="T11" s="183" t="e">
        <f t="shared" si="4"/>
        <v>#REF!</v>
      </c>
      <c r="U11" s="179">
        <v>0</v>
      </c>
      <c r="V11" s="179">
        <v>0</v>
      </c>
      <c r="W11" s="179">
        <v>1</v>
      </c>
      <c r="X11" s="179">
        <v>1</v>
      </c>
      <c r="Y11" s="185" t="e">
        <f>IF(AND($A$1=0,$F$1=0,$K$1&gt;0,$P$1&gt;0),$K$4&amp;$AA$8&amp;$P$4, "")</f>
        <v>#REF!</v>
      </c>
    </row>
    <row r="12" spans="1:27">
      <c r="A12" s="169"/>
      <c r="B12" s="163"/>
      <c r="C12" s="163"/>
      <c r="D12" s="164"/>
      <c r="E12" s="163"/>
      <c r="F12" s="169"/>
      <c r="G12" s="163"/>
      <c r="H12" s="163"/>
      <c r="I12" s="164"/>
      <c r="K12" s="169"/>
      <c r="L12" s="163"/>
      <c r="M12" s="163"/>
      <c r="N12" s="164"/>
      <c r="P12" s="169"/>
      <c r="Q12" s="163"/>
      <c r="R12" s="163"/>
      <c r="S12" s="164"/>
      <c r="T12" s="183" t="e">
        <f t="shared" si="4"/>
        <v>#REF!</v>
      </c>
      <c r="U12" s="179">
        <v>0</v>
      </c>
      <c r="V12" s="179">
        <v>1</v>
      </c>
      <c r="W12" s="179">
        <v>0</v>
      </c>
      <c r="X12" s="179">
        <v>0</v>
      </c>
      <c r="Y12" s="185" t="e">
        <f>IF(AND($A$1=0,$F$1&gt;0,$K$1=0,$P$1=0),$F$4, "")</f>
        <v>#REF!</v>
      </c>
    </row>
    <row r="13" spans="1:27">
      <c r="A13" s="170">
        <v>1</v>
      </c>
      <c r="B13" s="171" t="s">
        <v>360</v>
      </c>
      <c r="C13" s="163"/>
      <c r="D13" s="164"/>
      <c r="E13" s="163"/>
      <c r="F13" s="170">
        <v>1</v>
      </c>
      <c r="G13" s="171" t="s">
        <v>360</v>
      </c>
      <c r="H13" s="163"/>
      <c r="I13" s="164"/>
      <c r="K13" s="170">
        <v>1</v>
      </c>
      <c r="L13" s="171" t="s">
        <v>360</v>
      </c>
      <c r="M13" s="163"/>
      <c r="N13" s="164"/>
      <c r="P13" s="170">
        <v>1</v>
      </c>
      <c r="Q13" s="171" t="s">
        <v>360</v>
      </c>
      <c r="R13" s="163"/>
      <c r="S13" s="164"/>
      <c r="T13" s="183" t="e">
        <f t="shared" si="4"/>
        <v>#REF!</v>
      </c>
      <c r="U13" s="179">
        <v>0</v>
      </c>
      <c r="V13" s="179">
        <v>1</v>
      </c>
      <c r="W13" s="179">
        <v>0</v>
      </c>
      <c r="X13" s="179">
        <v>1</v>
      </c>
      <c r="Y13" s="185" t="e">
        <f>IF(AND($A$1=0,$F$1&gt;0,$K$1=0,$P$1&gt;0),$F$4&amp;$AA$8&amp;$P$4, "")</f>
        <v>#REF!</v>
      </c>
    </row>
    <row r="14" spans="1:27">
      <c r="A14" s="170">
        <v>2</v>
      </c>
      <c r="B14" s="171" t="s">
        <v>361</v>
      </c>
      <c r="C14" s="163"/>
      <c r="D14" s="164"/>
      <c r="E14" s="163"/>
      <c r="F14" s="170">
        <v>2</v>
      </c>
      <c r="G14" s="171" t="s">
        <v>361</v>
      </c>
      <c r="H14" s="163"/>
      <c r="I14" s="164"/>
      <c r="K14" s="170">
        <v>2</v>
      </c>
      <c r="L14" s="171" t="s">
        <v>361</v>
      </c>
      <c r="M14" s="163"/>
      <c r="N14" s="164"/>
      <c r="P14" s="170">
        <v>2</v>
      </c>
      <c r="Q14" s="171" t="s">
        <v>361</v>
      </c>
      <c r="R14" s="163"/>
      <c r="S14" s="164"/>
      <c r="T14" s="183" t="e">
        <f t="shared" si="4"/>
        <v>#REF!</v>
      </c>
      <c r="U14" s="179">
        <v>0</v>
      </c>
      <c r="V14" s="179">
        <v>1</v>
      </c>
      <c r="W14" s="179">
        <v>1</v>
      </c>
      <c r="X14" s="179">
        <v>0</v>
      </c>
      <c r="Y14" s="185" t="e">
        <f>IF(AND($A$1=0,$F$1&gt;0,$K$1&gt;0,$P$1=0),$F$4&amp;$AA$8&amp;$K$4, "")</f>
        <v>#REF!</v>
      </c>
    </row>
    <row r="15" spans="1:27">
      <c r="A15" s="170">
        <v>3</v>
      </c>
      <c r="B15" s="171" t="s">
        <v>362</v>
      </c>
      <c r="C15" s="163"/>
      <c r="D15" s="164"/>
      <c r="E15" s="163"/>
      <c r="F15" s="170">
        <v>3</v>
      </c>
      <c r="G15" s="171" t="s">
        <v>362</v>
      </c>
      <c r="H15" s="163"/>
      <c r="I15" s="164"/>
      <c r="K15" s="170">
        <v>3</v>
      </c>
      <c r="L15" s="171" t="s">
        <v>362</v>
      </c>
      <c r="M15" s="163"/>
      <c r="N15" s="164"/>
      <c r="P15" s="170">
        <v>3</v>
      </c>
      <c r="Q15" s="171" t="s">
        <v>362</v>
      </c>
      <c r="R15" s="163"/>
      <c r="S15" s="164"/>
      <c r="T15" s="183" t="e">
        <f t="shared" si="4"/>
        <v>#REF!</v>
      </c>
      <c r="U15" s="179">
        <v>0</v>
      </c>
      <c r="V15" s="179">
        <v>1</v>
      </c>
      <c r="W15" s="179">
        <v>1</v>
      </c>
      <c r="X15" s="179">
        <v>1</v>
      </c>
      <c r="Y15" s="186" t="e">
        <f>IF(AND($A$1=0,$F$1&gt;0,$K$1&gt;0,$P$1&gt;0),$F$4&amp;$AA$8&amp;$K$4&amp;$AA$8&amp;$P$4, "")</f>
        <v>#REF!</v>
      </c>
    </row>
    <row r="16" spans="1:27">
      <c r="A16" s="170">
        <v>4</v>
      </c>
      <c r="B16" s="171" t="s">
        <v>363</v>
      </c>
      <c r="C16" s="163"/>
      <c r="D16" s="164"/>
      <c r="E16" s="163"/>
      <c r="F16" s="170">
        <v>4</v>
      </c>
      <c r="G16" s="171" t="s">
        <v>363</v>
      </c>
      <c r="H16" s="163"/>
      <c r="I16" s="164"/>
      <c r="K16" s="170">
        <v>4</v>
      </c>
      <c r="L16" s="171" t="s">
        <v>363</v>
      </c>
      <c r="M16" s="163"/>
      <c r="N16" s="164"/>
      <c r="P16" s="170">
        <v>4</v>
      </c>
      <c r="Q16" s="171" t="s">
        <v>363</v>
      </c>
      <c r="R16" s="163"/>
      <c r="S16" s="164"/>
      <c r="T16" s="183" t="e">
        <f t="shared" si="4"/>
        <v>#REF!</v>
      </c>
      <c r="U16" s="179">
        <v>1</v>
      </c>
      <c r="V16" s="179">
        <v>0</v>
      </c>
      <c r="W16" s="179">
        <v>0</v>
      </c>
      <c r="X16" s="179">
        <v>0</v>
      </c>
      <c r="Y16" s="184" t="e">
        <f>IF(AND($A$1&gt;0,$F$1=0,$K$1=0,$P$1=0), $A$4, "")</f>
        <v>#REF!</v>
      </c>
    </row>
    <row r="17" spans="1:27">
      <c r="A17" s="170">
        <v>5</v>
      </c>
      <c r="B17" s="171" t="s">
        <v>364</v>
      </c>
      <c r="C17" s="163"/>
      <c r="D17" s="164"/>
      <c r="E17" s="163"/>
      <c r="F17" s="170">
        <v>5</v>
      </c>
      <c r="G17" s="171" t="s">
        <v>364</v>
      </c>
      <c r="H17" s="163"/>
      <c r="I17" s="164"/>
      <c r="K17" s="170">
        <v>5</v>
      </c>
      <c r="L17" s="171" t="s">
        <v>364</v>
      </c>
      <c r="M17" s="163"/>
      <c r="N17" s="164"/>
      <c r="P17" s="170">
        <v>5</v>
      </c>
      <c r="Q17" s="171" t="s">
        <v>364</v>
      </c>
      <c r="R17" s="163"/>
      <c r="S17" s="164"/>
      <c r="T17" s="183" t="e">
        <f t="shared" si="4"/>
        <v>#REF!</v>
      </c>
      <c r="U17" s="179">
        <v>1</v>
      </c>
      <c r="V17" s="179">
        <v>0</v>
      </c>
      <c r="W17" s="179">
        <v>0</v>
      </c>
      <c r="X17" s="179">
        <v>1</v>
      </c>
      <c r="Y17" s="185" t="e">
        <f>IF(AND($A$1&gt;0,$F$1=0,$K$1=0,$P$1&gt;0),$A$4&amp;$AA$8&amp;$P$4, "")</f>
        <v>#REF!</v>
      </c>
    </row>
    <row r="18" spans="1:27">
      <c r="A18" s="170">
        <v>6</v>
      </c>
      <c r="B18" s="171" t="s">
        <v>365</v>
      </c>
      <c r="C18" s="163"/>
      <c r="D18" s="164"/>
      <c r="E18" s="163"/>
      <c r="F18" s="170">
        <v>6</v>
      </c>
      <c r="G18" s="171" t="s">
        <v>365</v>
      </c>
      <c r="H18" s="163"/>
      <c r="I18" s="164"/>
      <c r="K18" s="170">
        <v>6</v>
      </c>
      <c r="L18" s="171" t="s">
        <v>365</v>
      </c>
      <c r="M18" s="163"/>
      <c r="N18" s="164"/>
      <c r="P18" s="170">
        <v>6</v>
      </c>
      <c r="Q18" s="171" t="s">
        <v>365</v>
      </c>
      <c r="R18" s="163"/>
      <c r="S18" s="164"/>
      <c r="T18" s="183" t="e">
        <f t="shared" si="4"/>
        <v>#REF!</v>
      </c>
      <c r="U18" s="179">
        <v>1</v>
      </c>
      <c r="V18" s="179">
        <v>0</v>
      </c>
      <c r="W18" s="179">
        <v>1</v>
      </c>
      <c r="X18" s="179">
        <v>0</v>
      </c>
      <c r="Y18" s="185" t="e">
        <f>IF(AND($A$1&gt;0,$F$1=0,$K$1&gt;0,$P$1=0),$A$4&amp;$AA$8&amp;$K$4, "")</f>
        <v>#REF!</v>
      </c>
    </row>
    <row r="19" spans="1:27">
      <c r="A19" s="170">
        <v>7</v>
      </c>
      <c r="B19" s="171" t="s">
        <v>366</v>
      </c>
      <c r="C19" s="163"/>
      <c r="D19" s="164"/>
      <c r="E19" s="163"/>
      <c r="F19" s="170">
        <v>7</v>
      </c>
      <c r="G19" s="171" t="s">
        <v>366</v>
      </c>
      <c r="H19" s="163"/>
      <c r="I19" s="164"/>
      <c r="K19" s="170">
        <v>7</v>
      </c>
      <c r="L19" s="171" t="s">
        <v>366</v>
      </c>
      <c r="M19" s="163"/>
      <c r="N19" s="164"/>
      <c r="P19" s="170">
        <v>7</v>
      </c>
      <c r="Q19" s="171" t="s">
        <v>366</v>
      </c>
      <c r="R19" s="163"/>
      <c r="S19" s="164"/>
      <c r="T19" s="183" t="e">
        <f t="shared" si="4"/>
        <v>#REF!</v>
      </c>
      <c r="U19" s="179">
        <v>1</v>
      </c>
      <c r="V19" s="179">
        <v>0</v>
      </c>
      <c r="W19" s="179">
        <v>1</v>
      </c>
      <c r="X19" s="179">
        <v>1</v>
      </c>
      <c r="Y19" s="185" t="e">
        <f>IF(AND($A$1&gt;0,$F$1=0,$K$1&gt;0,$P$1&gt;0),$A$4&amp;$AA$8&amp;$K$4&amp;$AA$8&amp;$P$4, "")</f>
        <v>#REF!</v>
      </c>
    </row>
    <row r="20" spans="1:27">
      <c r="A20" s="170">
        <v>8</v>
      </c>
      <c r="B20" s="171" t="s">
        <v>367</v>
      </c>
      <c r="C20" s="163"/>
      <c r="D20" s="164"/>
      <c r="E20" s="163"/>
      <c r="F20" s="170">
        <v>8</v>
      </c>
      <c r="G20" s="171" t="s">
        <v>367</v>
      </c>
      <c r="H20" s="163"/>
      <c r="I20" s="164"/>
      <c r="K20" s="170">
        <v>8</v>
      </c>
      <c r="L20" s="171" t="s">
        <v>367</v>
      </c>
      <c r="M20" s="163"/>
      <c r="N20" s="164"/>
      <c r="P20" s="170">
        <v>8</v>
      </c>
      <c r="Q20" s="171" t="s">
        <v>367</v>
      </c>
      <c r="R20" s="163"/>
      <c r="S20" s="164"/>
      <c r="T20" s="183" t="e">
        <f t="shared" si="4"/>
        <v>#REF!</v>
      </c>
      <c r="U20" s="179">
        <v>1</v>
      </c>
      <c r="V20" s="179">
        <v>1</v>
      </c>
      <c r="W20" s="179">
        <v>0</v>
      </c>
      <c r="X20" s="179">
        <v>0</v>
      </c>
      <c r="Y20" s="185" t="e">
        <f>IF(AND($A$1&gt;0,$F$1&gt;0,$K$1=0,$P$1=0),$A$4&amp;$AA$8&amp;$F$4, "")</f>
        <v>#REF!</v>
      </c>
    </row>
    <row r="21" spans="1:27">
      <c r="A21" s="170">
        <v>9</v>
      </c>
      <c r="B21" s="171" t="s">
        <v>368</v>
      </c>
      <c r="C21" s="163"/>
      <c r="D21" s="164"/>
      <c r="E21" s="163"/>
      <c r="F21" s="170">
        <v>9</v>
      </c>
      <c r="G21" s="171" t="s">
        <v>368</v>
      </c>
      <c r="H21" s="163"/>
      <c r="I21" s="164"/>
      <c r="K21" s="170">
        <v>9</v>
      </c>
      <c r="L21" s="171" t="s">
        <v>368</v>
      </c>
      <c r="M21" s="163"/>
      <c r="N21" s="164"/>
      <c r="P21" s="170">
        <v>9</v>
      </c>
      <c r="Q21" s="171" t="s">
        <v>368</v>
      </c>
      <c r="R21" s="163"/>
      <c r="S21" s="164"/>
      <c r="T21" s="183" t="e">
        <f t="shared" si="4"/>
        <v>#REF!</v>
      </c>
      <c r="U21" s="179">
        <v>1</v>
      </c>
      <c r="V21" s="179">
        <v>1</v>
      </c>
      <c r="W21" s="179">
        <v>0</v>
      </c>
      <c r="X21" s="179">
        <v>1</v>
      </c>
      <c r="Y21" s="185" t="e">
        <f>IF(AND($A$1&gt;0,$F$1&gt;0,$K$1=0,$P$1&gt;0),$A$4&amp;$AA$8&amp;$F$4&amp;$AA$8&amp;$P$4, "")</f>
        <v>#REF!</v>
      </c>
    </row>
    <row r="22" spans="1:27">
      <c r="A22" s="170">
        <v>10</v>
      </c>
      <c r="B22" s="171" t="s">
        <v>369</v>
      </c>
      <c r="C22" s="163"/>
      <c r="D22" s="164"/>
      <c r="E22" s="163"/>
      <c r="F22" s="170">
        <v>10</v>
      </c>
      <c r="G22" s="171" t="s">
        <v>369</v>
      </c>
      <c r="H22" s="163"/>
      <c r="I22" s="164"/>
      <c r="K22" s="170">
        <v>10</v>
      </c>
      <c r="L22" s="171" t="s">
        <v>369</v>
      </c>
      <c r="M22" s="163"/>
      <c r="N22" s="164"/>
      <c r="P22" s="170">
        <v>10</v>
      </c>
      <c r="Q22" s="171" t="s">
        <v>369</v>
      </c>
      <c r="R22" s="163"/>
      <c r="S22" s="164"/>
      <c r="T22" s="183" t="e">
        <f t="shared" si="4"/>
        <v>#REF!</v>
      </c>
      <c r="U22" s="179">
        <v>1</v>
      </c>
      <c r="V22" s="179">
        <v>1</v>
      </c>
      <c r="W22" s="179">
        <v>1</v>
      </c>
      <c r="X22" s="179">
        <v>0</v>
      </c>
      <c r="Y22" s="185" t="e">
        <f>IF(AND($A$1&gt;0,$F$1&gt;0,$K$1&gt;0,$P$1=0),$A$4&amp;$AA$8&amp;$F$4&amp;$AA$8&amp;$K$4, "")</f>
        <v>#REF!</v>
      </c>
    </row>
    <row r="23" spans="1:27">
      <c r="A23" s="170">
        <v>11</v>
      </c>
      <c r="B23" s="171" t="s">
        <v>370</v>
      </c>
      <c r="C23" s="163"/>
      <c r="D23" s="164"/>
      <c r="E23" s="163"/>
      <c r="F23" s="170">
        <v>11</v>
      </c>
      <c r="G23" s="171" t="s">
        <v>370</v>
      </c>
      <c r="H23" s="163"/>
      <c r="I23" s="164"/>
      <c r="K23" s="170">
        <v>11</v>
      </c>
      <c r="L23" s="171" t="s">
        <v>370</v>
      </c>
      <c r="M23" s="163"/>
      <c r="N23" s="164"/>
      <c r="P23" s="170">
        <v>11</v>
      </c>
      <c r="Q23" s="171" t="s">
        <v>370</v>
      </c>
      <c r="R23" s="163"/>
      <c r="S23" s="164"/>
      <c r="T23" s="183" t="e">
        <f t="shared" si="4"/>
        <v>#REF!</v>
      </c>
      <c r="U23" s="179">
        <v>1</v>
      </c>
      <c r="V23" s="179">
        <v>1</v>
      </c>
      <c r="W23" s="179">
        <v>1</v>
      </c>
      <c r="X23" s="179">
        <v>1</v>
      </c>
      <c r="Y23" s="186" t="e">
        <f>IF(AND($A$1&gt;0,$F$1&gt;0,$K$1&gt;0,$P$1&gt;0),$A$4&amp;$AA$8&amp;$F$4&amp;$AA$8&amp;$K$4&amp;$AA$8&amp;$P$4, "")</f>
        <v>#REF!</v>
      </c>
    </row>
    <row r="24" spans="1:27">
      <c r="A24" s="170">
        <v>12</v>
      </c>
      <c r="B24" s="171" t="s">
        <v>371</v>
      </c>
      <c r="C24" s="163"/>
      <c r="D24" s="164"/>
      <c r="E24" s="163"/>
      <c r="F24" s="170">
        <v>12</v>
      </c>
      <c r="G24" s="171" t="s">
        <v>371</v>
      </c>
      <c r="H24" s="163"/>
      <c r="I24" s="164"/>
      <c r="K24" s="170">
        <v>12</v>
      </c>
      <c r="L24" s="171" t="s">
        <v>371</v>
      </c>
      <c r="M24" s="163"/>
      <c r="N24" s="164"/>
      <c r="P24" s="170">
        <v>12</v>
      </c>
      <c r="Q24" s="171" t="s">
        <v>371</v>
      </c>
      <c r="R24" s="163"/>
      <c r="S24" s="164"/>
    </row>
    <row r="25" spans="1:27">
      <c r="A25" s="170">
        <v>13</v>
      </c>
      <c r="B25" s="171" t="s">
        <v>372</v>
      </c>
      <c r="C25" s="163"/>
      <c r="D25" s="164"/>
      <c r="E25" s="163"/>
      <c r="F25" s="170">
        <v>13</v>
      </c>
      <c r="G25" s="171" t="s">
        <v>372</v>
      </c>
      <c r="H25" s="163"/>
      <c r="I25" s="164"/>
      <c r="K25" s="170">
        <v>13</v>
      </c>
      <c r="L25" s="171" t="s">
        <v>372</v>
      </c>
      <c r="M25" s="163"/>
      <c r="N25" s="164"/>
      <c r="P25" s="170">
        <v>13</v>
      </c>
      <c r="Q25" s="171" t="s">
        <v>372</v>
      </c>
      <c r="R25" s="163"/>
      <c r="S25" s="164"/>
    </row>
    <row r="26" spans="1:27">
      <c r="A26" s="170">
        <v>14</v>
      </c>
      <c r="B26" s="171" t="s">
        <v>373</v>
      </c>
      <c r="C26" s="163"/>
      <c r="D26" s="164"/>
      <c r="E26" s="163"/>
      <c r="F26" s="170">
        <v>14</v>
      </c>
      <c r="G26" s="171" t="s">
        <v>373</v>
      </c>
      <c r="H26" s="163"/>
      <c r="I26" s="164"/>
      <c r="K26" s="170">
        <v>14</v>
      </c>
      <c r="L26" s="171" t="s">
        <v>373</v>
      </c>
      <c r="M26" s="163"/>
      <c r="N26" s="164"/>
      <c r="P26" s="170">
        <v>14</v>
      </c>
      <c r="Q26" s="171" t="s">
        <v>373</v>
      </c>
      <c r="R26" s="163"/>
      <c r="S26" s="164"/>
    </row>
    <row r="27" spans="1:27">
      <c r="A27" s="170">
        <v>15</v>
      </c>
      <c r="B27" s="171" t="s">
        <v>374</v>
      </c>
      <c r="C27" s="163"/>
      <c r="D27" s="164"/>
      <c r="E27" s="163"/>
      <c r="F27" s="170">
        <v>15</v>
      </c>
      <c r="G27" s="171" t="s">
        <v>374</v>
      </c>
      <c r="H27" s="163"/>
      <c r="I27" s="164"/>
      <c r="K27" s="170">
        <v>15</v>
      </c>
      <c r="L27" s="171" t="s">
        <v>374</v>
      </c>
      <c r="M27" s="163"/>
      <c r="N27" s="164"/>
      <c r="P27" s="170">
        <v>15</v>
      </c>
      <c r="Q27" s="171" t="s">
        <v>374</v>
      </c>
      <c r="R27" s="163"/>
      <c r="S27" s="164"/>
    </row>
    <row r="28" spans="1:27">
      <c r="A28" s="170">
        <v>16</v>
      </c>
      <c r="B28" s="171" t="s">
        <v>375</v>
      </c>
      <c r="C28" s="163"/>
      <c r="D28" s="164"/>
      <c r="E28" s="163"/>
      <c r="F28" s="170">
        <v>16</v>
      </c>
      <c r="G28" s="171" t="s">
        <v>375</v>
      </c>
      <c r="H28" s="163"/>
      <c r="I28" s="164"/>
      <c r="K28" s="170">
        <v>16</v>
      </c>
      <c r="L28" s="171" t="s">
        <v>375</v>
      </c>
      <c r="M28" s="163"/>
      <c r="N28" s="164"/>
      <c r="P28" s="170">
        <v>16</v>
      </c>
      <c r="Q28" s="171" t="s">
        <v>375</v>
      </c>
      <c r="R28" s="163"/>
      <c r="S28" s="164"/>
      <c r="T28" s="183" t="e">
        <f>IF(Y28="",0, 1)</f>
        <v>#REF!</v>
      </c>
      <c r="U28" s="179">
        <v>0</v>
      </c>
      <c r="V28" s="179">
        <v>0</v>
      </c>
      <c r="W28" s="179">
        <v>0</v>
      </c>
      <c r="X28" s="179">
        <v>0</v>
      </c>
      <c r="Y28" s="184" t="e">
        <f>IF(AND($A$1=0,$F$1=0,$K$1=0,$P$1=0)," 0/-", "")</f>
        <v>#REF!</v>
      </c>
      <c r="AA28" s="179" t="s">
        <v>462</v>
      </c>
    </row>
    <row r="29" spans="1:27">
      <c r="A29" s="170">
        <v>17</v>
      </c>
      <c r="B29" s="171" t="s">
        <v>376</v>
      </c>
      <c r="C29" s="163"/>
      <c r="D29" s="164"/>
      <c r="E29" s="163"/>
      <c r="F29" s="170">
        <v>17</v>
      </c>
      <c r="G29" s="171" t="s">
        <v>376</v>
      </c>
      <c r="H29" s="163"/>
      <c r="I29" s="164"/>
      <c r="K29" s="170">
        <v>17</v>
      </c>
      <c r="L29" s="171" t="s">
        <v>376</v>
      </c>
      <c r="M29" s="163"/>
      <c r="N29" s="164"/>
      <c r="P29" s="170">
        <v>17</v>
      </c>
      <c r="Q29" s="171" t="s">
        <v>376</v>
      </c>
      <c r="R29" s="163"/>
      <c r="S29" s="164"/>
      <c r="T29" s="183" t="e">
        <f t="shared" ref="T29:T43" si="5">IF(Y29="",0, 1)</f>
        <v>#REF!</v>
      </c>
      <c r="U29" s="179">
        <v>0</v>
      </c>
      <c r="V29" s="179">
        <v>0</v>
      </c>
      <c r="W29" s="179">
        <v>0</v>
      </c>
      <c r="X29" s="179">
        <v>1</v>
      </c>
      <c r="Y29" s="185" t="e">
        <f>IF(AND($A$1=0,$F$1=0,$K$1=0,$P$1&gt;0),$U$3&amp;$P$1&amp;$AA$30, "")</f>
        <v>#REF!</v>
      </c>
      <c r="AA29" s="179" t="s">
        <v>463</v>
      </c>
    </row>
    <row r="30" spans="1:27">
      <c r="A30" s="170">
        <v>18</v>
      </c>
      <c r="B30" s="171" t="s">
        <v>377</v>
      </c>
      <c r="C30" s="163"/>
      <c r="D30" s="164"/>
      <c r="E30" s="163"/>
      <c r="F30" s="170">
        <v>18</v>
      </c>
      <c r="G30" s="171" t="s">
        <v>377</v>
      </c>
      <c r="H30" s="163"/>
      <c r="I30" s="164"/>
      <c r="K30" s="170">
        <v>18</v>
      </c>
      <c r="L30" s="171" t="s">
        <v>377</v>
      </c>
      <c r="M30" s="163"/>
      <c r="N30" s="164"/>
      <c r="P30" s="170">
        <v>18</v>
      </c>
      <c r="Q30" s="171" t="s">
        <v>377</v>
      </c>
      <c r="R30" s="163"/>
      <c r="S30" s="164"/>
      <c r="T30" s="183" t="e">
        <f t="shared" si="5"/>
        <v>#REF!</v>
      </c>
      <c r="U30" s="179">
        <v>0</v>
      </c>
      <c r="V30" s="179">
        <v>0</v>
      </c>
      <c r="W30" s="179">
        <v>1</v>
      </c>
      <c r="X30" s="179">
        <v>0</v>
      </c>
      <c r="Y30" s="185" t="e">
        <f>IF(AND($A$1=0,$F$1=0,$K$1&gt;0,$P$1=0),$U$2&amp;$K$1&amp;$AA$30, "")</f>
        <v>#REF!</v>
      </c>
      <c r="AA30" s="179" t="s">
        <v>464</v>
      </c>
    </row>
    <row r="31" spans="1:27">
      <c r="A31" s="170">
        <v>19</v>
      </c>
      <c r="B31" s="171" t="s">
        <v>378</v>
      </c>
      <c r="C31" s="163"/>
      <c r="D31" s="164"/>
      <c r="E31" s="163"/>
      <c r="F31" s="170">
        <v>19</v>
      </c>
      <c r="G31" s="171" t="s">
        <v>378</v>
      </c>
      <c r="H31" s="163"/>
      <c r="I31" s="164"/>
      <c r="K31" s="170">
        <v>19</v>
      </c>
      <c r="L31" s="171" t="s">
        <v>378</v>
      </c>
      <c r="M31" s="163"/>
      <c r="N31" s="164"/>
      <c r="P31" s="170">
        <v>19</v>
      </c>
      <c r="Q31" s="171" t="s">
        <v>378</v>
      </c>
      <c r="R31" s="163"/>
      <c r="S31" s="164"/>
      <c r="T31" s="183" t="e">
        <f t="shared" si="5"/>
        <v>#REF!</v>
      </c>
      <c r="U31" s="179">
        <v>0</v>
      </c>
      <c r="V31" s="179">
        <v>0</v>
      </c>
      <c r="W31" s="179">
        <v>1</v>
      </c>
      <c r="X31" s="179">
        <v>1</v>
      </c>
      <c r="Y31" s="185" t="e">
        <f>IF(AND($A$1=0,$F$1=0,$K$1&gt;0,$P$1&gt;0),$U$2&amp;$K$1&amp;$AA$29&amp;$U$3&amp;$P$1&amp;$AA$30, "")</f>
        <v>#REF!</v>
      </c>
    </row>
    <row r="32" spans="1:27">
      <c r="A32" s="170">
        <v>20</v>
      </c>
      <c r="B32" s="171" t="s">
        <v>379</v>
      </c>
      <c r="C32" s="163"/>
      <c r="D32" s="164"/>
      <c r="E32" s="163"/>
      <c r="F32" s="170">
        <v>20</v>
      </c>
      <c r="G32" s="171" t="s">
        <v>379</v>
      </c>
      <c r="H32" s="163"/>
      <c r="I32" s="164"/>
      <c r="K32" s="170">
        <v>20</v>
      </c>
      <c r="L32" s="171" t="s">
        <v>379</v>
      </c>
      <c r="M32" s="163"/>
      <c r="N32" s="164"/>
      <c r="P32" s="170">
        <v>20</v>
      </c>
      <c r="Q32" s="171" t="s">
        <v>379</v>
      </c>
      <c r="R32" s="163"/>
      <c r="S32" s="164"/>
      <c r="T32" s="183" t="e">
        <f t="shared" si="5"/>
        <v>#REF!</v>
      </c>
      <c r="U32" s="179">
        <v>0</v>
      </c>
      <c r="V32" s="179">
        <v>1</v>
      </c>
      <c r="W32" s="179">
        <v>0</v>
      </c>
      <c r="X32" s="179">
        <v>0</v>
      </c>
      <c r="Y32" s="185" t="e">
        <f>IF(AND($A$1=0,$F$1&gt;0,$K$1=0,$P$1=0),$U$1&amp;$F$1&amp;$AA$30, "")</f>
        <v>#REF!</v>
      </c>
    </row>
    <row r="33" spans="1:25">
      <c r="A33" s="170">
        <v>21</v>
      </c>
      <c r="B33" s="171" t="s">
        <v>380</v>
      </c>
      <c r="C33" s="163"/>
      <c r="D33" s="164"/>
      <c r="E33" s="163"/>
      <c r="F33" s="170">
        <v>21</v>
      </c>
      <c r="G33" s="171" t="s">
        <v>380</v>
      </c>
      <c r="H33" s="163"/>
      <c r="I33" s="164"/>
      <c r="K33" s="170">
        <v>21</v>
      </c>
      <c r="L33" s="171" t="s">
        <v>380</v>
      </c>
      <c r="M33" s="163"/>
      <c r="N33" s="164"/>
      <c r="P33" s="170">
        <v>21</v>
      </c>
      <c r="Q33" s="171" t="s">
        <v>380</v>
      </c>
      <c r="R33" s="163"/>
      <c r="S33" s="164"/>
      <c r="T33" s="183" t="e">
        <f t="shared" si="5"/>
        <v>#REF!</v>
      </c>
      <c r="U33" s="179">
        <v>0</v>
      </c>
      <c r="V33" s="179">
        <v>1</v>
      </c>
      <c r="W33" s="179">
        <v>0</v>
      </c>
      <c r="X33" s="179">
        <v>1</v>
      </c>
      <c r="Y33" s="185" t="e">
        <f>IF(AND($A$1=0,$F$1&gt;0,$K$1=0,$P$1&gt;0),$U$1&amp;$F$1&amp;$AA$29&amp;$U$3&amp;$P$1&amp;$AA$30, "")</f>
        <v>#REF!</v>
      </c>
    </row>
    <row r="34" spans="1:25">
      <c r="A34" s="170">
        <v>22</v>
      </c>
      <c r="B34" s="171" t="s">
        <v>381</v>
      </c>
      <c r="C34" s="163"/>
      <c r="D34" s="164"/>
      <c r="E34" s="163"/>
      <c r="F34" s="170">
        <v>22</v>
      </c>
      <c r="G34" s="171" t="s">
        <v>381</v>
      </c>
      <c r="H34" s="163"/>
      <c r="I34" s="164"/>
      <c r="K34" s="170">
        <v>22</v>
      </c>
      <c r="L34" s="171" t="s">
        <v>381</v>
      </c>
      <c r="M34" s="163"/>
      <c r="N34" s="164"/>
      <c r="P34" s="170">
        <v>22</v>
      </c>
      <c r="Q34" s="171" t="s">
        <v>381</v>
      </c>
      <c r="R34" s="163"/>
      <c r="S34" s="164"/>
      <c r="T34" s="183" t="e">
        <f t="shared" si="5"/>
        <v>#REF!</v>
      </c>
      <c r="U34" s="179">
        <v>0</v>
      </c>
      <c r="V34" s="179">
        <v>1</v>
      </c>
      <c r="W34" s="179">
        <v>1</v>
      </c>
      <c r="X34" s="179">
        <v>0</v>
      </c>
      <c r="Y34" s="185" t="e">
        <f>IF(AND($A$1=0,$F$1&gt;0,$K$1&gt;0,$P$1=0),$U$1&amp;$F$1&amp;$AA$29&amp;$U$2&amp;$K$1, "")</f>
        <v>#REF!</v>
      </c>
    </row>
    <row r="35" spans="1:25">
      <c r="A35" s="170">
        <v>23</v>
      </c>
      <c r="B35" s="171" t="s">
        <v>382</v>
      </c>
      <c r="C35" s="163"/>
      <c r="D35" s="164"/>
      <c r="E35" s="163"/>
      <c r="F35" s="170">
        <v>23</v>
      </c>
      <c r="G35" s="171" t="s">
        <v>382</v>
      </c>
      <c r="H35" s="163"/>
      <c r="I35" s="164"/>
      <c r="K35" s="170">
        <v>23</v>
      </c>
      <c r="L35" s="171" t="s">
        <v>382</v>
      </c>
      <c r="M35" s="163"/>
      <c r="N35" s="164"/>
      <c r="P35" s="170">
        <v>23</v>
      </c>
      <c r="Q35" s="171" t="s">
        <v>382</v>
      </c>
      <c r="R35" s="163"/>
      <c r="S35" s="164"/>
      <c r="T35" s="183" t="e">
        <f t="shared" si="5"/>
        <v>#REF!</v>
      </c>
      <c r="U35" s="179">
        <v>0</v>
      </c>
      <c r="V35" s="179">
        <v>1</v>
      </c>
      <c r="W35" s="179">
        <v>1</v>
      </c>
      <c r="X35" s="179">
        <v>1</v>
      </c>
      <c r="Y35" s="186" t="e">
        <f>IF(AND($A$1=0,$F$1&gt;0,$K$1&gt;0,$P$1&gt;0),$U$1&amp;$F$1&amp;$AA$29&amp;$U$2&amp;$K$1&amp;$AA$29&amp;$U$3&amp;$P$1&amp;$AA$30, "")</f>
        <v>#REF!</v>
      </c>
    </row>
    <row r="36" spans="1:25">
      <c r="A36" s="170">
        <v>24</v>
      </c>
      <c r="B36" s="171" t="s">
        <v>383</v>
      </c>
      <c r="C36" s="163"/>
      <c r="D36" s="164"/>
      <c r="E36" s="163"/>
      <c r="F36" s="170">
        <v>24</v>
      </c>
      <c r="G36" s="171" t="s">
        <v>383</v>
      </c>
      <c r="H36" s="163"/>
      <c r="I36" s="164"/>
      <c r="K36" s="170">
        <v>24</v>
      </c>
      <c r="L36" s="171" t="s">
        <v>383</v>
      </c>
      <c r="M36" s="163"/>
      <c r="N36" s="164"/>
      <c r="P36" s="170">
        <v>24</v>
      </c>
      <c r="Q36" s="171" t="s">
        <v>383</v>
      </c>
      <c r="R36" s="163"/>
      <c r="S36" s="164"/>
      <c r="T36" s="183" t="e">
        <f t="shared" si="5"/>
        <v>#REF!</v>
      </c>
      <c r="U36" s="179">
        <v>1</v>
      </c>
      <c r="V36" s="179">
        <v>0</v>
      </c>
      <c r="W36" s="179">
        <v>0</v>
      </c>
      <c r="X36" s="179">
        <v>0</v>
      </c>
      <c r="Y36" s="184" t="e">
        <f>IF(AND($A$1&gt;0,$F$1=0,$K$1=0,$P$1=0),#REF!&amp; $A$1&amp;$AA$30, "")</f>
        <v>#REF!</v>
      </c>
    </row>
    <row r="37" spans="1:25">
      <c r="A37" s="170">
        <v>25</v>
      </c>
      <c r="B37" s="171" t="s">
        <v>384</v>
      </c>
      <c r="C37" s="163"/>
      <c r="D37" s="164"/>
      <c r="E37" s="163"/>
      <c r="F37" s="170">
        <v>25</v>
      </c>
      <c r="G37" s="171" t="s">
        <v>384</v>
      </c>
      <c r="H37" s="163"/>
      <c r="I37" s="164"/>
      <c r="K37" s="170">
        <v>25</v>
      </c>
      <c r="L37" s="171" t="s">
        <v>384</v>
      </c>
      <c r="M37" s="163"/>
      <c r="N37" s="164"/>
      <c r="P37" s="170">
        <v>25</v>
      </c>
      <c r="Q37" s="171" t="s">
        <v>384</v>
      </c>
      <c r="R37" s="163"/>
      <c r="S37" s="164"/>
      <c r="T37" s="183" t="e">
        <f t="shared" si="5"/>
        <v>#REF!</v>
      </c>
      <c r="U37" s="179">
        <v>1</v>
      </c>
      <c r="V37" s="179">
        <v>0</v>
      </c>
      <c r="W37" s="179">
        <v>0</v>
      </c>
      <c r="X37" s="179">
        <v>1</v>
      </c>
      <c r="Y37" s="185" t="e">
        <f>IF(AND($A$1&gt;0,$F$1=0,$K$1=0,$P$1&gt;0),#REF!&amp;$A$1&amp;$AA$29&amp;$U$3&amp;$P$1&amp;$AA$30, "")</f>
        <v>#REF!</v>
      </c>
    </row>
    <row r="38" spans="1:25">
      <c r="A38" s="170">
        <v>26</v>
      </c>
      <c r="B38" s="171" t="s">
        <v>385</v>
      </c>
      <c r="C38" s="163"/>
      <c r="D38" s="164"/>
      <c r="E38" s="163"/>
      <c r="F38" s="170">
        <v>26</v>
      </c>
      <c r="G38" s="171" t="s">
        <v>385</v>
      </c>
      <c r="H38" s="163"/>
      <c r="I38" s="164"/>
      <c r="K38" s="170">
        <v>26</v>
      </c>
      <c r="L38" s="171" t="s">
        <v>385</v>
      </c>
      <c r="M38" s="163"/>
      <c r="N38" s="164"/>
      <c r="P38" s="170">
        <v>26</v>
      </c>
      <c r="Q38" s="171" t="s">
        <v>385</v>
      </c>
      <c r="R38" s="163"/>
      <c r="S38" s="164"/>
      <c r="T38" s="183" t="e">
        <f t="shared" si="5"/>
        <v>#REF!</v>
      </c>
      <c r="U38" s="179">
        <v>1</v>
      </c>
      <c r="V38" s="179">
        <v>0</v>
      </c>
      <c r="W38" s="179">
        <v>1</v>
      </c>
      <c r="X38" s="179">
        <v>0</v>
      </c>
      <c r="Y38" s="185" t="e">
        <f>IF(AND($A$1&gt;0,$F$1=0,$K$1&gt;0,$P$1=0),#REF!&amp;$A$1&amp;$AA$29&amp;$U$2&amp;$K$1, "")</f>
        <v>#REF!</v>
      </c>
    </row>
    <row r="39" spans="1:25">
      <c r="A39" s="170">
        <v>27</v>
      </c>
      <c r="B39" s="171" t="s">
        <v>386</v>
      </c>
      <c r="C39" s="163"/>
      <c r="D39" s="164"/>
      <c r="E39" s="163"/>
      <c r="F39" s="170">
        <v>27</v>
      </c>
      <c r="G39" s="171" t="s">
        <v>386</v>
      </c>
      <c r="H39" s="163"/>
      <c r="I39" s="164"/>
      <c r="K39" s="170">
        <v>27</v>
      </c>
      <c r="L39" s="171" t="s">
        <v>386</v>
      </c>
      <c r="M39" s="163"/>
      <c r="N39" s="164"/>
      <c r="P39" s="170">
        <v>27</v>
      </c>
      <c r="Q39" s="171" t="s">
        <v>386</v>
      </c>
      <c r="R39" s="163"/>
      <c r="S39" s="164"/>
      <c r="T39" s="183" t="e">
        <f t="shared" si="5"/>
        <v>#REF!</v>
      </c>
      <c r="U39" s="179">
        <v>1</v>
      </c>
      <c r="V39" s="179">
        <v>0</v>
      </c>
      <c r="W39" s="179">
        <v>1</v>
      </c>
      <c r="X39" s="179">
        <v>1</v>
      </c>
      <c r="Y39" s="185" t="e">
        <f>IF(AND($A$1&gt;0,$F$1=0,$K$1&gt;0,$P$1&gt;0),#REF!&amp;$A$1&amp;$AA$29&amp;$U$2&amp;$K$1&amp;$AA$29&amp;$U$3&amp;$P$1&amp;$AA$30, "")</f>
        <v>#REF!</v>
      </c>
    </row>
    <row r="40" spans="1:25">
      <c r="A40" s="170">
        <v>28</v>
      </c>
      <c r="B40" s="171" t="s">
        <v>387</v>
      </c>
      <c r="C40" s="163"/>
      <c r="D40" s="164"/>
      <c r="E40" s="163"/>
      <c r="F40" s="170">
        <v>28</v>
      </c>
      <c r="G40" s="171" t="s">
        <v>387</v>
      </c>
      <c r="H40" s="163"/>
      <c r="I40" s="164"/>
      <c r="K40" s="170">
        <v>28</v>
      </c>
      <c r="L40" s="171" t="s">
        <v>387</v>
      </c>
      <c r="M40" s="163"/>
      <c r="N40" s="164"/>
      <c r="P40" s="170">
        <v>28</v>
      </c>
      <c r="Q40" s="171" t="s">
        <v>387</v>
      </c>
      <c r="R40" s="163"/>
      <c r="S40" s="164"/>
      <c r="T40" s="183" t="e">
        <f t="shared" si="5"/>
        <v>#REF!</v>
      </c>
      <c r="U40" s="179">
        <v>1</v>
      </c>
      <c r="V40" s="179">
        <v>1</v>
      </c>
      <c r="W40" s="179">
        <v>0</v>
      </c>
      <c r="X40" s="179">
        <v>0</v>
      </c>
      <c r="Y40" s="185" t="e">
        <f>IF(AND($A$1&gt;0,$F$1&gt;0,$K$1=0,$P$1=0),#REF!&amp;$A$1&amp;$AA$29&amp;$U$1&amp;$F$1, "")</f>
        <v>#REF!</v>
      </c>
    </row>
    <row r="41" spans="1:25">
      <c r="A41" s="170">
        <v>29</v>
      </c>
      <c r="B41" s="171" t="s">
        <v>388</v>
      </c>
      <c r="C41" s="163"/>
      <c r="D41" s="164"/>
      <c r="E41" s="163"/>
      <c r="F41" s="170">
        <v>29</v>
      </c>
      <c r="G41" s="171" t="s">
        <v>388</v>
      </c>
      <c r="H41" s="163"/>
      <c r="I41" s="164"/>
      <c r="K41" s="170">
        <v>29</v>
      </c>
      <c r="L41" s="171" t="s">
        <v>388</v>
      </c>
      <c r="M41" s="163"/>
      <c r="N41" s="164"/>
      <c r="P41" s="170">
        <v>29</v>
      </c>
      <c r="Q41" s="171" t="s">
        <v>388</v>
      </c>
      <c r="R41" s="163"/>
      <c r="S41" s="164"/>
      <c r="T41" s="183" t="e">
        <f t="shared" si="5"/>
        <v>#REF!</v>
      </c>
      <c r="U41" s="179">
        <v>1</v>
      </c>
      <c r="V41" s="179">
        <v>1</v>
      </c>
      <c r="W41" s="179">
        <v>0</v>
      </c>
      <c r="X41" s="179">
        <v>1</v>
      </c>
      <c r="Y41" s="185" t="e">
        <f>IF(AND($A$1&gt;0,$F$1&gt;0,$K$1=0,$P$1&gt;0),#REF!&amp;$A$1&amp;$AA$29&amp;$U$1&amp;$F$1&amp;$AA$29&amp;$U$3&amp;$P$1&amp;$AA$30, "")</f>
        <v>#REF!</v>
      </c>
    </row>
    <row r="42" spans="1:25">
      <c r="A42" s="170">
        <v>30</v>
      </c>
      <c r="B42" s="171" t="s">
        <v>389</v>
      </c>
      <c r="C42" s="163"/>
      <c r="D42" s="164"/>
      <c r="E42" s="163"/>
      <c r="F42" s="170">
        <v>30</v>
      </c>
      <c r="G42" s="171" t="s">
        <v>389</v>
      </c>
      <c r="H42" s="163"/>
      <c r="I42" s="164"/>
      <c r="K42" s="170">
        <v>30</v>
      </c>
      <c r="L42" s="171" t="s">
        <v>389</v>
      </c>
      <c r="M42" s="163"/>
      <c r="N42" s="164"/>
      <c r="P42" s="170">
        <v>30</v>
      </c>
      <c r="Q42" s="171" t="s">
        <v>389</v>
      </c>
      <c r="R42" s="163"/>
      <c r="S42" s="164"/>
      <c r="T42" s="183" t="e">
        <f t="shared" si="5"/>
        <v>#REF!</v>
      </c>
      <c r="U42" s="179">
        <v>1</v>
      </c>
      <c r="V42" s="179">
        <v>1</v>
      </c>
      <c r="W42" s="179">
        <v>1</v>
      </c>
      <c r="X42" s="179">
        <v>0</v>
      </c>
      <c r="Y42" s="185" t="e">
        <f>IF(AND($A$1&gt;0,$F$1&gt;0,$K$1&gt;0,$P$1=0),#REF!&amp;$A$1&amp;$AA$29&amp;$U$1&amp;$F$1&amp;$AA$29&amp;$U$2&amp;$K$1, "")</f>
        <v>#REF!</v>
      </c>
    </row>
    <row r="43" spans="1:25">
      <c r="A43" s="170">
        <v>31</v>
      </c>
      <c r="B43" s="171" t="s">
        <v>390</v>
      </c>
      <c r="C43" s="163"/>
      <c r="D43" s="164"/>
      <c r="E43" s="163"/>
      <c r="F43" s="170">
        <v>31</v>
      </c>
      <c r="G43" s="171" t="s">
        <v>390</v>
      </c>
      <c r="H43" s="163"/>
      <c r="I43" s="164"/>
      <c r="K43" s="170">
        <v>31</v>
      </c>
      <c r="L43" s="171" t="s">
        <v>390</v>
      </c>
      <c r="M43" s="163"/>
      <c r="N43" s="164"/>
      <c r="P43" s="170">
        <v>31</v>
      </c>
      <c r="Q43" s="171" t="s">
        <v>390</v>
      </c>
      <c r="R43" s="163"/>
      <c r="S43" s="164"/>
      <c r="T43" s="183" t="e">
        <f t="shared" si="5"/>
        <v>#REF!</v>
      </c>
      <c r="U43" s="179">
        <v>1</v>
      </c>
      <c r="V43" s="179">
        <v>1</v>
      </c>
      <c r="W43" s="179">
        <v>1</v>
      </c>
      <c r="X43" s="179">
        <v>1</v>
      </c>
      <c r="Y43" s="186" t="e">
        <f>IF(AND($A$1&gt;0,$F$1&gt;0,$K$1&gt;0,$P$1&gt;0),#REF!&amp;$A$1&amp;$AA$29&amp;$U$1&amp;$F$1&amp;$AA$29&amp;$U$2&amp;$K$1&amp;$AA$29&amp;$U$3&amp;$P$1&amp;$AA$30, "")</f>
        <v>#REF!</v>
      </c>
    </row>
    <row r="44" spans="1:25">
      <c r="A44" s="170">
        <v>32</v>
      </c>
      <c r="B44" s="171" t="s">
        <v>391</v>
      </c>
      <c r="C44" s="163"/>
      <c r="D44" s="164"/>
      <c r="E44" s="163"/>
      <c r="F44" s="170">
        <v>32</v>
      </c>
      <c r="G44" s="171" t="s">
        <v>391</v>
      </c>
      <c r="H44" s="163"/>
      <c r="I44" s="164"/>
      <c r="K44" s="170">
        <v>32</v>
      </c>
      <c r="L44" s="171" t="s">
        <v>391</v>
      </c>
      <c r="M44" s="163"/>
      <c r="N44" s="164"/>
      <c r="P44" s="170">
        <v>32</v>
      </c>
      <c r="Q44" s="171" t="s">
        <v>391</v>
      </c>
      <c r="R44" s="163"/>
      <c r="S44" s="164"/>
    </row>
    <row r="45" spans="1:25">
      <c r="A45" s="170">
        <v>33</v>
      </c>
      <c r="B45" s="171" t="s">
        <v>392</v>
      </c>
      <c r="C45" s="163"/>
      <c r="D45" s="164"/>
      <c r="E45" s="163"/>
      <c r="F45" s="170">
        <v>33</v>
      </c>
      <c r="G45" s="171" t="s">
        <v>392</v>
      </c>
      <c r="H45" s="163"/>
      <c r="I45" s="164"/>
      <c r="K45" s="170">
        <v>33</v>
      </c>
      <c r="L45" s="171" t="s">
        <v>392</v>
      </c>
      <c r="M45" s="163"/>
      <c r="N45" s="164"/>
      <c r="P45" s="170">
        <v>33</v>
      </c>
      <c r="Q45" s="171" t="s">
        <v>392</v>
      </c>
      <c r="R45" s="163"/>
      <c r="S45" s="164"/>
    </row>
    <row r="46" spans="1:25">
      <c r="A46" s="170">
        <v>34</v>
      </c>
      <c r="B46" s="171" t="s">
        <v>393</v>
      </c>
      <c r="C46" s="163"/>
      <c r="D46" s="164"/>
      <c r="E46" s="163"/>
      <c r="F46" s="170">
        <v>34</v>
      </c>
      <c r="G46" s="171" t="s">
        <v>393</v>
      </c>
      <c r="H46" s="163"/>
      <c r="I46" s="164"/>
      <c r="K46" s="170">
        <v>34</v>
      </c>
      <c r="L46" s="171" t="s">
        <v>393</v>
      </c>
      <c r="M46" s="163"/>
      <c r="N46" s="164"/>
      <c r="P46" s="170">
        <v>34</v>
      </c>
      <c r="Q46" s="171" t="s">
        <v>393</v>
      </c>
      <c r="R46" s="163"/>
      <c r="S46" s="164"/>
    </row>
    <row r="47" spans="1:25">
      <c r="A47" s="170">
        <v>35</v>
      </c>
      <c r="B47" s="171" t="s">
        <v>394</v>
      </c>
      <c r="C47" s="163"/>
      <c r="D47" s="164"/>
      <c r="E47" s="163"/>
      <c r="F47" s="170">
        <v>35</v>
      </c>
      <c r="G47" s="171" t="s">
        <v>394</v>
      </c>
      <c r="H47" s="163"/>
      <c r="I47" s="164"/>
      <c r="K47" s="170">
        <v>35</v>
      </c>
      <c r="L47" s="171" t="s">
        <v>394</v>
      </c>
      <c r="M47" s="163"/>
      <c r="N47" s="164"/>
      <c r="P47" s="170">
        <v>35</v>
      </c>
      <c r="Q47" s="171" t="s">
        <v>394</v>
      </c>
      <c r="R47" s="163"/>
      <c r="S47" s="164"/>
    </row>
    <row r="48" spans="1:25">
      <c r="A48" s="170">
        <v>36</v>
      </c>
      <c r="B48" s="171" t="s">
        <v>395</v>
      </c>
      <c r="C48" s="163"/>
      <c r="D48" s="164"/>
      <c r="E48" s="163"/>
      <c r="F48" s="170">
        <v>36</v>
      </c>
      <c r="G48" s="171" t="s">
        <v>395</v>
      </c>
      <c r="H48" s="163"/>
      <c r="I48" s="164"/>
      <c r="K48" s="170">
        <v>36</v>
      </c>
      <c r="L48" s="171" t="s">
        <v>395</v>
      </c>
      <c r="M48" s="163"/>
      <c r="N48" s="164"/>
      <c r="P48" s="170">
        <v>36</v>
      </c>
      <c r="Q48" s="171" t="s">
        <v>395</v>
      </c>
      <c r="R48" s="163"/>
      <c r="S48" s="164"/>
    </row>
    <row r="49" spans="1:19">
      <c r="A49" s="170">
        <v>37</v>
      </c>
      <c r="B49" s="171" t="s">
        <v>396</v>
      </c>
      <c r="C49" s="163"/>
      <c r="D49" s="164"/>
      <c r="E49" s="163"/>
      <c r="F49" s="170">
        <v>37</v>
      </c>
      <c r="G49" s="171" t="s">
        <v>396</v>
      </c>
      <c r="H49" s="163"/>
      <c r="I49" s="164"/>
      <c r="K49" s="170">
        <v>37</v>
      </c>
      <c r="L49" s="171" t="s">
        <v>396</v>
      </c>
      <c r="M49" s="163"/>
      <c r="N49" s="164"/>
      <c r="P49" s="170">
        <v>37</v>
      </c>
      <c r="Q49" s="171" t="s">
        <v>396</v>
      </c>
      <c r="R49" s="163"/>
      <c r="S49" s="164"/>
    </row>
    <row r="50" spans="1:19">
      <c r="A50" s="170">
        <v>38</v>
      </c>
      <c r="B50" s="171" t="s">
        <v>397</v>
      </c>
      <c r="C50" s="163"/>
      <c r="D50" s="164"/>
      <c r="E50" s="163"/>
      <c r="F50" s="170">
        <v>38</v>
      </c>
      <c r="G50" s="171" t="s">
        <v>397</v>
      </c>
      <c r="H50" s="163"/>
      <c r="I50" s="164"/>
      <c r="K50" s="170">
        <v>38</v>
      </c>
      <c r="L50" s="171" t="s">
        <v>397</v>
      </c>
      <c r="M50" s="163"/>
      <c r="N50" s="164"/>
      <c r="P50" s="170">
        <v>38</v>
      </c>
      <c r="Q50" s="171" t="s">
        <v>397</v>
      </c>
      <c r="R50" s="163"/>
      <c r="S50" s="164"/>
    </row>
    <row r="51" spans="1:19">
      <c r="A51" s="170">
        <v>39</v>
      </c>
      <c r="B51" s="171" t="s">
        <v>398</v>
      </c>
      <c r="C51" s="163"/>
      <c r="D51" s="164"/>
      <c r="E51" s="163"/>
      <c r="F51" s="170">
        <v>39</v>
      </c>
      <c r="G51" s="171" t="s">
        <v>398</v>
      </c>
      <c r="H51" s="163"/>
      <c r="I51" s="164"/>
      <c r="K51" s="170">
        <v>39</v>
      </c>
      <c r="L51" s="171" t="s">
        <v>398</v>
      </c>
      <c r="M51" s="163"/>
      <c r="N51" s="164"/>
      <c r="P51" s="170">
        <v>39</v>
      </c>
      <c r="Q51" s="171" t="s">
        <v>398</v>
      </c>
      <c r="R51" s="163"/>
      <c r="S51" s="164"/>
    </row>
    <row r="52" spans="1:19">
      <c r="A52" s="170">
        <v>40</v>
      </c>
      <c r="B52" s="171" t="s">
        <v>399</v>
      </c>
      <c r="C52" s="163"/>
      <c r="D52" s="164"/>
      <c r="E52" s="163"/>
      <c r="F52" s="170">
        <v>40</v>
      </c>
      <c r="G52" s="171" t="s">
        <v>399</v>
      </c>
      <c r="H52" s="163"/>
      <c r="I52" s="164"/>
      <c r="K52" s="170">
        <v>40</v>
      </c>
      <c r="L52" s="171" t="s">
        <v>399</v>
      </c>
      <c r="M52" s="163"/>
      <c r="N52" s="164"/>
      <c r="P52" s="170">
        <v>40</v>
      </c>
      <c r="Q52" s="171" t="s">
        <v>399</v>
      </c>
      <c r="R52" s="163"/>
      <c r="S52" s="164"/>
    </row>
    <row r="53" spans="1:19">
      <c r="A53" s="170">
        <v>41</v>
      </c>
      <c r="B53" s="171" t="s">
        <v>400</v>
      </c>
      <c r="C53" s="163"/>
      <c r="D53" s="164"/>
      <c r="E53" s="163"/>
      <c r="F53" s="170">
        <v>41</v>
      </c>
      <c r="G53" s="171" t="s">
        <v>400</v>
      </c>
      <c r="H53" s="163"/>
      <c r="I53" s="164"/>
      <c r="K53" s="170">
        <v>41</v>
      </c>
      <c r="L53" s="171" t="s">
        <v>400</v>
      </c>
      <c r="M53" s="163"/>
      <c r="N53" s="164"/>
      <c r="P53" s="170">
        <v>41</v>
      </c>
      <c r="Q53" s="171" t="s">
        <v>400</v>
      </c>
      <c r="R53" s="163"/>
      <c r="S53" s="164"/>
    </row>
    <row r="54" spans="1:19">
      <c r="A54" s="170">
        <v>42</v>
      </c>
      <c r="B54" s="171" t="s">
        <v>401</v>
      </c>
      <c r="C54" s="163"/>
      <c r="D54" s="164"/>
      <c r="E54" s="163"/>
      <c r="F54" s="170">
        <v>42</v>
      </c>
      <c r="G54" s="171" t="s">
        <v>401</v>
      </c>
      <c r="H54" s="163"/>
      <c r="I54" s="164"/>
      <c r="K54" s="170">
        <v>42</v>
      </c>
      <c r="L54" s="171" t="s">
        <v>401</v>
      </c>
      <c r="M54" s="163"/>
      <c r="N54" s="164"/>
      <c r="P54" s="170">
        <v>42</v>
      </c>
      <c r="Q54" s="171" t="s">
        <v>401</v>
      </c>
      <c r="R54" s="163"/>
      <c r="S54" s="164"/>
    </row>
    <row r="55" spans="1:19">
      <c r="A55" s="170">
        <v>43</v>
      </c>
      <c r="B55" s="171" t="s">
        <v>402</v>
      </c>
      <c r="C55" s="163"/>
      <c r="D55" s="164"/>
      <c r="E55" s="163"/>
      <c r="F55" s="170">
        <v>43</v>
      </c>
      <c r="G55" s="171" t="s">
        <v>402</v>
      </c>
      <c r="H55" s="163"/>
      <c r="I55" s="164"/>
      <c r="K55" s="170">
        <v>43</v>
      </c>
      <c r="L55" s="171" t="s">
        <v>402</v>
      </c>
      <c r="M55" s="163"/>
      <c r="N55" s="164"/>
      <c r="P55" s="170">
        <v>43</v>
      </c>
      <c r="Q55" s="171" t="s">
        <v>402</v>
      </c>
      <c r="R55" s="163"/>
      <c r="S55" s="164"/>
    </row>
    <row r="56" spans="1:19">
      <c r="A56" s="170">
        <v>44</v>
      </c>
      <c r="B56" s="171" t="s">
        <v>403</v>
      </c>
      <c r="C56" s="163"/>
      <c r="D56" s="164"/>
      <c r="E56" s="163"/>
      <c r="F56" s="170">
        <v>44</v>
      </c>
      <c r="G56" s="171" t="s">
        <v>403</v>
      </c>
      <c r="H56" s="163"/>
      <c r="I56" s="164"/>
      <c r="K56" s="170">
        <v>44</v>
      </c>
      <c r="L56" s="171" t="s">
        <v>403</v>
      </c>
      <c r="M56" s="163"/>
      <c r="N56" s="164"/>
      <c r="P56" s="170">
        <v>44</v>
      </c>
      <c r="Q56" s="171" t="s">
        <v>403</v>
      </c>
      <c r="R56" s="163"/>
      <c r="S56" s="164"/>
    </row>
    <row r="57" spans="1:19">
      <c r="A57" s="170">
        <v>45</v>
      </c>
      <c r="B57" s="171" t="s">
        <v>404</v>
      </c>
      <c r="C57" s="163"/>
      <c r="D57" s="164"/>
      <c r="E57" s="163"/>
      <c r="F57" s="170">
        <v>45</v>
      </c>
      <c r="G57" s="171" t="s">
        <v>404</v>
      </c>
      <c r="H57" s="163"/>
      <c r="I57" s="164"/>
      <c r="K57" s="170">
        <v>45</v>
      </c>
      <c r="L57" s="171" t="s">
        <v>404</v>
      </c>
      <c r="M57" s="163"/>
      <c r="N57" s="164"/>
      <c r="P57" s="170">
        <v>45</v>
      </c>
      <c r="Q57" s="171" t="s">
        <v>404</v>
      </c>
      <c r="R57" s="163"/>
      <c r="S57" s="164"/>
    </row>
    <row r="58" spans="1:19">
      <c r="A58" s="170">
        <v>46</v>
      </c>
      <c r="B58" s="171" t="s">
        <v>405</v>
      </c>
      <c r="C58" s="163"/>
      <c r="D58" s="164"/>
      <c r="E58" s="163"/>
      <c r="F58" s="170">
        <v>46</v>
      </c>
      <c r="G58" s="171" t="s">
        <v>405</v>
      </c>
      <c r="H58" s="163"/>
      <c r="I58" s="164"/>
      <c r="K58" s="170">
        <v>46</v>
      </c>
      <c r="L58" s="171" t="s">
        <v>405</v>
      </c>
      <c r="M58" s="163"/>
      <c r="N58" s="164"/>
      <c r="P58" s="170">
        <v>46</v>
      </c>
      <c r="Q58" s="171" t="s">
        <v>405</v>
      </c>
      <c r="R58" s="163"/>
      <c r="S58" s="164"/>
    </row>
    <row r="59" spans="1:19">
      <c r="A59" s="170">
        <v>47</v>
      </c>
      <c r="B59" s="171" t="s">
        <v>406</v>
      </c>
      <c r="C59" s="163"/>
      <c r="D59" s="164"/>
      <c r="E59" s="163"/>
      <c r="F59" s="170">
        <v>47</v>
      </c>
      <c r="G59" s="171" t="s">
        <v>406</v>
      </c>
      <c r="H59" s="163"/>
      <c r="I59" s="164"/>
      <c r="K59" s="170">
        <v>47</v>
      </c>
      <c r="L59" s="171" t="s">
        <v>406</v>
      </c>
      <c r="M59" s="163"/>
      <c r="N59" s="164"/>
      <c r="P59" s="170">
        <v>47</v>
      </c>
      <c r="Q59" s="171" t="s">
        <v>406</v>
      </c>
      <c r="R59" s="163"/>
      <c r="S59" s="164"/>
    </row>
    <row r="60" spans="1:19">
      <c r="A60" s="170">
        <v>48</v>
      </c>
      <c r="B60" s="171" t="s">
        <v>407</v>
      </c>
      <c r="C60" s="163"/>
      <c r="D60" s="164"/>
      <c r="E60" s="163"/>
      <c r="F60" s="170">
        <v>48</v>
      </c>
      <c r="G60" s="171" t="s">
        <v>407</v>
      </c>
      <c r="H60" s="163"/>
      <c r="I60" s="164"/>
      <c r="K60" s="170">
        <v>48</v>
      </c>
      <c r="L60" s="171" t="s">
        <v>407</v>
      </c>
      <c r="M60" s="163"/>
      <c r="N60" s="164"/>
      <c r="P60" s="170">
        <v>48</v>
      </c>
      <c r="Q60" s="171" t="s">
        <v>407</v>
      </c>
      <c r="R60" s="163"/>
      <c r="S60" s="164"/>
    </row>
    <row r="61" spans="1:19">
      <c r="A61" s="170">
        <v>49</v>
      </c>
      <c r="B61" s="171" t="s">
        <v>408</v>
      </c>
      <c r="C61" s="163"/>
      <c r="D61" s="164"/>
      <c r="E61" s="163"/>
      <c r="F61" s="170">
        <v>49</v>
      </c>
      <c r="G61" s="171" t="s">
        <v>408</v>
      </c>
      <c r="H61" s="163"/>
      <c r="I61" s="164"/>
      <c r="K61" s="170">
        <v>49</v>
      </c>
      <c r="L61" s="171" t="s">
        <v>408</v>
      </c>
      <c r="M61" s="163"/>
      <c r="N61" s="164"/>
      <c r="P61" s="170">
        <v>49</v>
      </c>
      <c r="Q61" s="171" t="s">
        <v>408</v>
      </c>
      <c r="R61" s="163"/>
      <c r="S61" s="164"/>
    </row>
    <row r="62" spans="1:19">
      <c r="A62" s="170">
        <v>50</v>
      </c>
      <c r="B62" s="171" t="s">
        <v>409</v>
      </c>
      <c r="C62" s="163"/>
      <c r="D62" s="164"/>
      <c r="E62" s="163"/>
      <c r="F62" s="170">
        <v>50</v>
      </c>
      <c r="G62" s="171" t="s">
        <v>409</v>
      </c>
      <c r="H62" s="163"/>
      <c r="I62" s="164"/>
      <c r="K62" s="170">
        <v>50</v>
      </c>
      <c r="L62" s="171" t="s">
        <v>409</v>
      </c>
      <c r="M62" s="163"/>
      <c r="N62" s="164"/>
      <c r="P62" s="170">
        <v>50</v>
      </c>
      <c r="Q62" s="171" t="s">
        <v>409</v>
      </c>
      <c r="R62" s="163"/>
      <c r="S62" s="164"/>
    </row>
    <row r="63" spans="1:19">
      <c r="A63" s="170">
        <v>51</v>
      </c>
      <c r="B63" s="171" t="s">
        <v>410</v>
      </c>
      <c r="C63" s="163"/>
      <c r="D63" s="164"/>
      <c r="E63" s="163"/>
      <c r="F63" s="170">
        <v>51</v>
      </c>
      <c r="G63" s="171" t="s">
        <v>410</v>
      </c>
      <c r="H63" s="163"/>
      <c r="I63" s="164"/>
      <c r="K63" s="170">
        <v>51</v>
      </c>
      <c r="L63" s="171" t="s">
        <v>410</v>
      </c>
      <c r="M63" s="163"/>
      <c r="N63" s="164"/>
      <c r="P63" s="170">
        <v>51</v>
      </c>
      <c r="Q63" s="171" t="s">
        <v>410</v>
      </c>
      <c r="R63" s="163"/>
      <c r="S63" s="164"/>
    </row>
    <row r="64" spans="1:19">
      <c r="A64" s="170">
        <v>52</v>
      </c>
      <c r="B64" s="171" t="s">
        <v>411</v>
      </c>
      <c r="C64" s="163"/>
      <c r="D64" s="164"/>
      <c r="E64" s="163"/>
      <c r="F64" s="170">
        <v>52</v>
      </c>
      <c r="G64" s="171" t="s">
        <v>411</v>
      </c>
      <c r="H64" s="163"/>
      <c r="I64" s="164"/>
      <c r="K64" s="170">
        <v>52</v>
      </c>
      <c r="L64" s="171" t="s">
        <v>411</v>
      </c>
      <c r="M64" s="163"/>
      <c r="N64" s="164"/>
      <c r="P64" s="170">
        <v>52</v>
      </c>
      <c r="Q64" s="171" t="s">
        <v>411</v>
      </c>
      <c r="R64" s="163"/>
      <c r="S64" s="164"/>
    </row>
    <row r="65" spans="1:19">
      <c r="A65" s="170">
        <v>53</v>
      </c>
      <c r="B65" s="171" t="s">
        <v>412</v>
      </c>
      <c r="C65" s="163"/>
      <c r="D65" s="164"/>
      <c r="E65" s="163"/>
      <c r="F65" s="170">
        <v>53</v>
      </c>
      <c r="G65" s="171" t="s">
        <v>412</v>
      </c>
      <c r="H65" s="163"/>
      <c r="I65" s="164"/>
      <c r="K65" s="170">
        <v>53</v>
      </c>
      <c r="L65" s="171" t="s">
        <v>412</v>
      </c>
      <c r="M65" s="163"/>
      <c r="N65" s="164"/>
      <c r="P65" s="170">
        <v>53</v>
      </c>
      <c r="Q65" s="171" t="s">
        <v>412</v>
      </c>
      <c r="R65" s="163"/>
      <c r="S65" s="164"/>
    </row>
    <row r="66" spans="1:19">
      <c r="A66" s="170">
        <v>54</v>
      </c>
      <c r="B66" s="171" t="s">
        <v>413</v>
      </c>
      <c r="C66" s="163"/>
      <c r="D66" s="164"/>
      <c r="E66" s="163"/>
      <c r="F66" s="170">
        <v>54</v>
      </c>
      <c r="G66" s="171" t="s">
        <v>413</v>
      </c>
      <c r="H66" s="163"/>
      <c r="I66" s="164"/>
      <c r="K66" s="170">
        <v>54</v>
      </c>
      <c r="L66" s="171" t="s">
        <v>413</v>
      </c>
      <c r="M66" s="163"/>
      <c r="N66" s="164"/>
      <c r="P66" s="170">
        <v>54</v>
      </c>
      <c r="Q66" s="171" t="s">
        <v>413</v>
      </c>
      <c r="R66" s="163"/>
      <c r="S66" s="164"/>
    </row>
    <row r="67" spans="1:19">
      <c r="A67" s="170">
        <v>55</v>
      </c>
      <c r="B67" s="171" t="s">
        <v>414</v>
      </c>
      <c r="C67" s="163"/>
      <c r="D67" s="164"/>
      <c r="E67" s="163"/>
      <c r="F67" s="170">
        <v>55</v>
      </c>
      <c r="G67" s="171" t="s">
        <v>414</v>
      </c>
      <c r="H67" s="163"/>
      <c r="I67" s="164"/>
      <c r="K67" s="170">
        <v>55</v>
      </c>
      <c r="L67" s="171" t="s">
        <v>414</v>
      </c>
      <c r="M67" s="163"/>
      <c r="N67" s="164"/>
      <c r="P67" s="170">
        <v>55</v>
      </c>
      <c r="Q67" s="171" t="s">
        <v>414</v>
      </c>
      <c r="R67" s="163"/>
      <c r="S67" s="164"/>
    </row>
    <row r="68" spans="1:19">
      <c r="A68" s="170">
        <v>56</v>
      </c>
      <c r="B68" s="171" t="s">
        <v>415</v>
      </c>
      <c r="C68" s="163"/>
      <c r="D68" s="164"/>
      <c r="E68" s="163"/>
      <c r="F68" s="170">
        <v>56</v>
      </c>
      <c r="G68" s="171" t="s">
        <v>415</v>
      </c>
      <c r="H68" s="163"/>
      <c r="I68" s="164"/>
      <c r="K68" s="170">
        <v>56</v>
      </c>
      <c r="L68" s="171" t="s">
        <v>415</v>
      </c>
      <c r="M68" s="163"/>
      <c r="N68" s="164"/>
      <c r="P68" s="170">
        <v>56</v>
      </c>
      <c r="Q68" s="171" t="s">
        <v>415</v>
      </c>
      <c r="R68" s="163"/>
      <c r="S68" s="164"/>
    </row>
    <row r="69" spans="1:19">
      <c r="A69" s="170">
        <v>57</v>
      </c>
      <c r="B69" s="171" t="s">
        <v>416</v>
      </c>
      <c r="C69" s="163"/>
      <c r="D69" s="164"/>
      <c r="E69" s="163"/>
      <c r="F69" s="170">
        <v>57</v>
      </c>
      <c r="G69" s="171" t="s">
        <v>416</v>
      </c>
      <c r="H69" s="163"/>
      <c r="I69" s="164"/>
      <c r="K69" s="170">
        <v>57</v>
      </c>
      <c r="L69" s="171" t="s">
        <v>416</v>
      </c>
      <c r="M69" s="163"/>
      <c r="N69" s="164"/>
      <c r="P69" s="170">
        <v>57</v>
      </c>
      <c r="Q69" s="171" t="s">
        <v>416</v>
      </c>
      <c r="R69" s="163"/>
      <c r="S69" s="164"/>
    </row>
    <row r="70" spans="1:19">
      <c r="A70" s="170">
        <v>58</v>
      </c>
      <c r="B70" s="171" t="s">
        <v>417</v>
      </c>
      <c r="C70" s="163"/>
      <c r="D70" s="164"/>
      <c r="E70" s="163"/>
      <c r="F70" s="170">
        <v>58</v>
      </c>
      <c r="G70" s="171" t="s">
        <v>417</v>
      </c>
      <c r="H70" s="163"/>
      <c r="I70" s="164"/>
      <c r="K70" s="170">
        <v>58</v>
      </c>
      <c r="L70" s="171" t="s">
        <v>417</v>
      </c>
      <c r="M70" s="163"/>
      <c r="N70" s="164"/>
      <c r="P70" s="170">
        <v>58</v>
      </c>
      <c r="Q70" s="171" t="s">
        <v>417</v>
      </c>
      <c r="R70" s="163"/>
      <c r="S70" s="164"/>
    </row>
    <row r="71" spans="1:19">
      <c r="A71" s="170">
        <v>59</v>
      </c>
      <c r="B71" s="171" t="s">
        <v>418</v>
      </c>
      <c r="C71" s="163"/>
      <c r="D71" s="164"/>
      <c r="E71" s="163"/>
      <c r="F71" s="170">
        <v>59</v>
      </c>
      <c r="G71" s="171" t="s">
        <v>418</v>
      </c>
      <c r="H71" s="163"/>
      <c r="I71" s="164"/>
      <c r="K71" s="170">
        <v>59</v>
      </c>
      <c r="L71" s="171" t="s">
        <v>418</v>
      </c>
      <c r="M71" s="163"/>
      <c r="N71" s="164"/>
      <c r="P71" s="170">
        <v>59</v>
      </c>
      <c r="Q71" s="171" t="s">
        <v>418</v>
      </c>
      <c r="R71" s="163"/>
      <c r="S71" s="164"/>
    </row>
    <row r="72" spans="1:19">
      <c r="A72" s="170">
        <v>60</v>
      </c>
      <c r="B72" s="171" t="s">
        <v>419</v>
      </c>
      <c r="C72" s="163"/>
      <c r="D72" s="164"/>
      <c r="E72" s="163"/>
      <c r="F72" s="170">
        <v>60</v>
      </c>
      <c r="G72" s="171" t="s">
        <v>419</v>
      </c>
      <c r="H72" s="163"/>
      <c r="I72" s="164"/>
      <c r="K72" s="170">
        <v>60</v>
      </c>
      <c r="L72" s="171" t="s">
        <v>419</v>
      </c>
      <c r="M72" s="163"/>
      <c r="N72" s="164"/>
      <c r="P72" s="170">
        <v>60</v>
      </c>
      <c r="Q72" s="171" t="s">
        <v>419</v>
      </c>
      <c r="R72" s="163"/>
      <c r="S72" s="164"/>
    </row>
    <row r="73" spans="1:19">
      <c r="A73" s="170">
        <v>61</v>
      </c>
      <c r="B73" s="171" t="s">
        <v>420</v>
      </c>
      <c r="C73" s="163"/>
      <c r="D73" s="164"/>
      <c r="E73" s="163"/>
      <c r="F73" s="170">
        <v>61</v>
      </c>
      <c r="G73" s="171" t="s">
        <v>420</v>
      </c>
      <c r="H73" s="163"/>
      <c r="I73" s="164"/>
      <c r="K73" s="170">
        <v>61</v>
      </c>
      <c r="L73" s="171" t="s">
        <v>420</v>
      </c>
      <c r="M73" s="163"/>
      <c r="N73" s="164"/>
      <c r="P73" s="170">
        <v>61</v>
      </c>
      <c r="Q73" s="171" t="s">
        <v>420</v>
      </c>
      <c r="R73" s="163"/>
      <c r="S73" s="164"/>
    </row>
    <row r="74" spans="1:19">
      <c r="A74" s="170">
        <v>62</v>
      </c>
      <c r="B74" s="171" t="s">
        <v>421</v>
      </c>
      <c r="C74" s="163"/>
      <c r="D74" s="164"/>
      <c r="E74" s="163"/>
      <c r="F74" s="170">
        <v>62</v>
      </c>
      <c r="G74" s="171" t="s">
        <v>421</v>
      </c>
      <c r="H74" s="163"/>
      <c r="I74" s="164"/>
      <c r="K74" s="170">
        <v>62</v>
      </c>
      <c r="L74" s="171" t="s">
        <v>421</v>
      </c>
      <c r="M74" s="163"/>
      <c r="N74" s="164"/>
      <c r="P74" s="170">
        <v>62</v>
      </c>
      <c r="Q74" s="171" t="s">
        <v>421</v>
      </c>
      <c r="R74" s="163"/>
      <c r="S74" s="164"/>
    </row>
    <row r="75" spans="1:19">
      <c r="A75" s="170">
        <v>63</v>
      </c>
      <c r="B75" s="171" t="s">
        <v>422</v>
      </c>
      <c r="C75" s="163"/>
      <c r="D75" s="164"/>
      <c r="E75" s="163"/>
      <c r="F75" s="170">
        <v>63</v>
      </c>
      <c r="G75" s="171" t="s">
        <v>422</v>
      </c>
      <c r="H75" s="163"/>
      <c r="I75" s="164"/>
      <c r="K75" s="170">
        <v>63</v>
      </c>
      <c r="L75" s="171" t="s">
        <v>422</v>
      </c>
      <c r="M75" s="163"/>
      <c r="N75" s="164"/>
      <c r="P75" s="170">
        <v>63</v>
      </c>
      <c r="Q75" s="171" t="s">
        <v>422</v>
      </c>
      <c r="R75" s="163"/>
      <c r="S75" s="164"/>
    </row>
    <row r="76" spans="1:19">
      <c r="A76" s="170">
        <v>64</v>
      </c>
      <c r="B76" s="171" t="s">
        <v>423</v>
      </c>
      <c r="C76" s="163"/>
      <c r="D76" s="164"/>
      <c r="E76" s="163"/>
      <c r="F76" s="170">
        <v>64</v>
      </c>
      <c r="G76" s="171" t="s">
        <v>423</v>
      </c>
      <c r="H76" s="163"/>
      <c r="I76" s="164"/>
      <c r="K76" s="170">
        <v>64</v>
      </c>
      <c r="L76" s="171" t="s">
        <v>423</v>
      </c>
      <c r="M76" s="163"/>
      <c r="N76" s="164"/>
      <c r="P76" s="170">
        <v>64</v>
      </c>
      <c r="Q76" s="171" t="s">
        <v>423</v>
      </c>
      <c r="R76" s="163"/>
      <c r="S76" s="164"/>
    </row>
    <row r="77" spans="1:19">
      <c r="A77" s="170">
        <v>65</v>
      </c>
      <c r="B77" s="171" t="s">
        <v>424</v>
      </c>
      <c r="C77" s="163"/>
      <c r="D77" s="164"/>
      <c r="E77" s="163"/>
      <c r="F77" s="170">
        <v>65</v>
      </c>
      <c r="G77" s="171" t="s">
        <v>424</v>
      </c>
      <c r="H77" s="163"/>
      <c r="I77" s="164"/>
      <c r="K77" s="170">
        <v>65</v>
      </c>
      <c r="L77" s="171" t="s">
        <v>424</v>
      </c>
      <c r="M77" s="163"/>
      <c r="N77" s="164"/>
      <c r="P77" s="170">
        <v>65</v>
      </c>
      <c r="Q77" s="171" t="s">
        <v>424</v>
      </c>
      <c r="R77" s="163"/>
      <c r="S77" s="164"/>
    </row>
    <row r="78" spans="1:19">
      <c r="A78" s="170">
        <v>66</v>
      </c>
      <c r="B78" s="171" t="s">
        <v>425</v>
      </c>
      <c r="C78" s="163"/>
      <c r="D78" s="164"/>
      <c r="E78" s="163"/>
      <c r="F78" s="170">
        <v>66</v>
      </c>
      <c r="G78" s="171" t="s">
        <v>425</v>
      </c>
      <c r="H78" s="163"/>
      <c r="I78" s="164"/>
      <c r="K78" s="170">
        <v>66</v>
      </c>
      <c r="L78" s="171" t="s">
        <v>425</v>
      </c>
      <c r="M78" s="163"/>
      <c r="N78" s="164"/>
      <c r="P78" s="170">
        <v>66</v>
      </c>
      <c r="Q78" s="171" t="s">
        <v>425</v>
      </c>
      <c r="R78" s="163"/>
      <c r="S78" s="164"/>
    </row>
    <row r="79" spans="1:19">
      <c r="A79" s="170">
        <v>67</v>
      </c>
      <c r="B79" s="171" t="s">
        <v>426</v>
      </c>
      <c r="C79" s="163"/>
      <c r="D79" s="164"/>
      <c r="E79" s="163"/>
      <c r="F79" s="170">
        <v>67</v>
      </c>
      <c r="G79" s="171" t="s">
        <v>426</v>
      </c>
      <c r="H79" s="163"/>
      <c r="I79" s="164"/>
      <c r="K79" s="170">
        <v>67</v>
      </c>
      <c r="L79" s="171" t="s">
        <v>426</v>
      </c>
      <c r="M79" s="163"/>
      <c r="N79" s="164"/>
      <c r="P79" s="170">
        <v>67</v>
      </c>
      <c r="Q79" s="171" t="s">
        <v>426</v>
      </c>
      <c r="R79" s="163"/>
      <c r="S79" s="164"/>
    </row>
    <row r="80" spans="1:19">
      <c r="A80" s="170">
        <v>68</v>
      </c>
      <c r="B80" s="171" t="s">
        <v>427</v>
      </c>
      <c r="C80" s="163"/>
      <c r="D80" s="164"/>
      <c r="E80" s="163"/>
      <c r="F80" s="170">
        <v>68</v>
      </c>
      <c r="G80" s="171" t="s">
        <v>427</v>
      </c>
      <c r="H80" s="163"/>
      <c r="I80" s="164"/>
      <c r="K80" s="170">
        <v>68</v>
      </c>
      <c r="L80" s="171" t="s">
        <v>427</v>
      </c>
      <c r="M80" s="163"/>
      <c r="N80" s="164"/>
      <c r="P80" s="170">
        <v>68</v>
      </c>
      <c r="Q80" s="171" t="s">
        <v>427</v>
      </c>
      <c r="R80" s="163"/>
      <c r="S80" s="164"/>
    </row>
    <row r="81" spans="1:19">
      <c r="A81" s="170">
        <v>69</v>
      </c>
      <c r="B81" s="171" t="s">
        <v>428</v>
      </c>
      <c r="C81" s="163"/>
      <c r="D81" s="164"/>
      <c r="E81" s="163"/>
      <c r="F81" s="170">
        <v>69</v>
      </c>
      <c r="G81" s="171" t="s">
        <v>428</v>
      </c>
      <c r="H81" s="163"/>
      <c r="I81" s="164"/>
      <c r="K81" s="170">
        <v>69</v>
      </c>
      <c r="L81" s="171" t="s">
        <v>428</v>
      </c>
      <c r="M81" s="163"/>
      <c r="N81" s="164"/>
      <c r="P81" s="170">
        <v>69</v>
      </c>
      <c r="Q81" s="171" t="s">
        <v>428</v>
      </c>
      <c r="R81" s="163"/>
      <c r="S81" s="164"/>
    </row>
    <row r="82" spans="1:19">
      <c r="A82" s="170">
        <v>70</v>
      </c>
      <c r="B82" s="171" t="s">
        <v>429</v>
      </c>
      <c r="C82" s="163"/>
      <c r="D82" s="164"/>
      <c r="E82" s="163"/>
      <c r="F82" s="170">
        <v>70</v>
      </c>
      <c r="G82" s="171" t="s">
        <v>429</v>
      </c>
      <c r="H82" s="163"/>
      <c r="I82" s="164"/>
      <c r="K82" s="170">
        <v>70</v>
      </c>
      <c r="L82" s="171" t="s">
        <v>429</v>
      </c>
      <c r="M82" s="163"/>
      <c r="N82" s="164"/>
      <c r="P82" s="170">
        <v>70</v>
      </c>
      <c r="Q82" s="171" t="s">
        <v>429</v>
      </c>
      <c r="R82" s="163"/>
      <c r="S82" s="164"/>
    </row>
    <row r="83" spans="1:19">
      <c r="A83" s="170">
        <v>71</v>
      </c>
      <c r="B83" s="171" t="s">
        <v>430</v>
      </c>
      <c r="C83" s="163"/>
      <c r="D83" s="164"/>
      <c r="E83" s="163"/>
      <c r="F83" s="170">
        <v>71</v>
      </c>
      <c r="G83" s="171" t="s">
        <v>430</v>
      </c>
      <c r="H83" s="163"/>
      <c r="I83" s="164"/>
      <c r="K83" s="170">
        <v>71</v>
      </c>
      <c r="L83" s="171" t="s">
        <v>430</v>
      </c>
      <c r="M83" s="163"/>
      <c r="N83" s="164"/>
      <c r="P83" s="170">
        <v>71</v>
      </c>
      <c r="Q83" s="171" t="s">
        <v>430</v>
      </c>
      <c r="R83" s="163"/>
      <c r="S83" s="164"/>
    </row>
    <row r="84" spans="1:19">
      <c r="A84" s="170">
        <v>72</v>
      </c>
      <c r="B84" s="171" t="s">
        <v>431</v>
      </c>
      <c r="C84" s="163"/>
      <c r="D84" s="164"/>
      <c r="E84" s="163"/>
      <c r="F84" s="170">
        <v>72</v>
      </c>
      <c r="G84" s="171" t="s">
        <v>431</v>
      </c>
      <c r="H84" s="163"/>
      <c r="I84" s="164"/>
      <c r="K84" s="170">
        <v>72</v>
      </c>
      <c r="L84" s="171" t="s">
        <v>431</v>
      </c>
      <c r="M84" s="163"/>
      <c r="N84" s="164"/>
      <c r="P84" s="170">
        <v>72</v>
      </c>
      <c r="Q84" s="171" t="s">
        <v>431</v>
      </c>
      <c r="R84" s="163"/>
      <c r="S84" s="164"/>
    </row>
    <row r="85" spans="1:19">
      <c r="A85" s="170">
        <v>73</v>
      </c>
      <c r="B85" s="171" t="s">
        <v>432</v>
      </c>
      <c r="C85" s="163"/>
      <c r="D85" s="164"/>
      <c r="E85" s="163"/>
      <c r="F85" s="170">
        <v>73</v>
      </c>
      <c r="G85" s="171" t="s">
        <v>432</v>
      </c>
      <c r="H85" s="163"/>
      <c r="I85" s="164"/>
      <c r="K85" s="170">
        <v>73</v>
      </c>
      <c r="L85" s="171" t="s">
        <v>432</v>
      </c>
      <c r="M85" s="163"/>
      <c r="N85" s="164"/>
      <c r="P85" s="170">
        <v>73</v>
      </c>
      <c r="Q85" s="171" t="s">
        <v>432</v>
      </c>
      <c r="R85" s="163"/>
      <c r="S85" s="164"/>
    </row>
    <row r="86" spans="1:19">
      <c r="A86" s="170">
        <v>74</v>
      </c>
      <c r="B86" s="171" t="s">
        <v>433</v>
      </c>
      <c r="C86" s="163"/>
      <c r="D86" s="164"/>
      <c r="E86" s="163"/>
      <c r="F86" s="170">
        <v>74</v>
      </c>
      <c r="G86" s="171" t="s">
        <v>433</v>
      </c>
      <c r="H86" s="163"/>
      <c r="I86" s="164"/>
      <c r="K86" s="170">
        <v>74</v>
      </c>
      <c r="L86" s="171" t="s">
        <v>433</v>
      </c>
      <c r="M86" s="163"/>
      <c r="N86" s="164"/>
      <c r="P86" s="170">
        <v>74</v>
      </c>
      <c r="Q86" s="171" t="s">
        <v>433</v>
      </c>
      <c r="R86" s="163"/>
      <c r="S86" s="164"/>
    </row>
    <row r="87" spans="1:19">
      <c r="A87" s="170">
        <v>75</v>
      </c>
      <c r="B87" s="171" t="s">
        <v>434</v>
      </c>
      <c r="C87" s="163"/>
      <c r="D87" s="164"/>
      <c r="E87" s="163"/>
      <c r="F87" s="170">
        <v>75</v>
      </c>
      <c r="G87" s="171" t="s">
        <v>434</v>
      </c>
      <c r="H87" s="163"/>
      <c r="I87" s="164"/>
      <c r="K87" s="170">
        <v>75</v>
      </c>
      <c r="L87" s="171" t="s">
        <v>434</v>
      </c>
      <c r="M87" s="163"/>
      <c r="N87" s="164"/>
      <c r="P87" s="170">
        <v>75</v>
      </c>
      <c r="Q87" s="171" t="s">
        <v>434</v>
      </c>
      <c r="R87" s="163"/>
      <c r="S87" s="164"/>
    </row>
    <row r="88" spans="1:19">
      <c r="A88" s="170">
        <v>76</v>
      </c>
      <c r="B88" s="171" t="s">
        <v>435</v>
      </c>
      <c r="C88" s="163"/>
      <c r="D88" s="164"/>
      <c r="E88" s="163"/>
      <c r="F88" s="170">
        <v>76</v>
      </c>
      <c r="G88" s="171" t="s">
        <v>435</v>
      </c>
      <c r="H88" s="163"/>
      <c r="I88" s="164"/>
      <c r="K88" s="170">
        <v>76</v>
      </c>
      <c r="L88" s="171" t="s">
        <v>435</v>
      </c>
      <c r="M88" s="163"/>
      <c r="N88" s="164"/>
      <c r="P88" s="170">
        <v>76</v>
      </c>
      <c r="Q88" s="171" t="s">
        <v>435</v>
      </c>
      <c r="R88" s="163"/>
      <c r="S88" s="164"/>
    </row>
    <row r="89" spans="1:19">
      <c r="A89" s="170">
        <v>77</v>
      </c>
      <c r="B89" s="171" t="s">
        <v>436</v>
      </c>
      <c r="C89" s="163"/>
      <c r="D89" s="164"/>
      <c r="E89" s="163"/>
      <c r="F89" s="170">
        <v>77</v>
      </c>
      <c r="G89" s="171" t="s">
        <v>436</v>
      </c>
      <c r="H89" s="163"/>
      <c r="I89" s="164"/>
      <c r="K89" s="170">
        <v>77</v>
      </c>
      <c r="L89" s="171" t="s">
        <v>436</v>
      </c>
      <c r="M89" s="163"/>
      <c r="N89" s="164"/>
      <c r="P89" s="170">
        <v>77</v>
      </c>
      <c r="Q89" s="171" t="s">
        <v>436</v>
      </c>
      <c r="R89" s="163"/>
      <c r="S89" s="164"/>
    </row>
    <row r="90" spans="1:19">
      <c r="A90" s="170">
        <v>78</v>
      </c>
      <c r="B90" s="171" t="s">
        <v>437</v>
      </c>
      <c r="C90" s="163"/>
      <c r="D90" s="164"/>
      <c r="E90" s="163"/>
      <c r="F90" s="170">
        <v>78</v>
      </c>
      <c r="G90" s="171" t="s">
        <v>437</v>
      </c>
      <c r="H90" s="163"/>
      <c r="I90" s="164"/>
      <c r="K90" s="170">
        <v>78</v>
      </c>
      <c r="L90" s="171" t="s">
        <v>437</v>
      </c>
      <c r="M90" s="163"/>
      <c r="N90" s="164"/>
      <c r="P90" s="170">
        <v>78</v>
      </c>
      <c r="Q90" s="171" t="s">
        <v>437</v>
      </c>
      <c r="R90" s="163"/>
      <c r="S90" s="164"/>
    </row>
    <row r="91" spans="1:19">
      <c r="A91" s="170">
        <v>79</v>
      </c>
      <c r="B91" s="171" t="s">
        <v>438</v>
      </c>
      <c r="C91" s="163"/>
      <c r="D91" s="164"/>
      <c r="E91" s="163"/>
      <c r="F91" s="170">
        <v>79</v>
      </c>
      <c r="G91" s="171" t="s">
        <v>438</v>
      </c>
      <c r="H91" s="163"/>
      <c r="I91" s="164"/>
      <c r="K91" s="170">
        <v>79</v>
      </c>
      <c r="L91" s="171" t="s">
        <v>438</v>
      </c>
      <c r="M91" s="163"/>
      <c r="N91" s="164"/>
      <c r="P91" s="170">
        <v>79</v>
      </c>
      <c r="Q91" s="171" t="s">
        <v>438</v>
      </c>
      <c r="R91" s="163"/>
      <c r="S91" s="164"/>
    </row>
    <row r="92" spans="1:19">
      <c r="A92" s="170">
        <v>80</v>
      </c>
      <c r="B92" s="171" t="s">
        <v>439</v>
      </c>
      <c r="C92" s="163"/>
      <c r="D92" s="164"/>
      <c r="E92" s="163"/>
      <c r="F92" s="170">
        <v>80</v>
      </c>
      <c r="G92" s="171" t="s">
        <v>439</v>
      </c>
      <c r="H92" s="163"/>
      <c r="I92" s="164"/>
      <c r="K92" s="170">
        <v>80</v>
      </c>
      <c r="L92" s="171" t="s">
        <v>439</v>
      </c>
      <c r="M92" s="163"/>
      <c r="N92" s="164"/>
      <c r="P92" s="170">
        <v>80</v>
      </c>
      <c r="Q92" s="171" t="s">
        <v>439</v>
      </c>
      <c r="R92" s="163"/>
      <c r="S92" s="164"/>
    </row>
    <row r="93" spans="1:19">
      <c r="A93" s="170">
        <v>81</v>
      </c>
      <c r="B93" s="171" t="s">
        <v>440</v>
      </c>
      <c r="C93" s="163"/>
      <c r="D93" s="164"/>
      <c r="E93" s="163"/>
      <c r="F93" s="170">
        <v>81</v>
      </c>
      <c r="G93" s="171" t="s">
        <v>440</v>
      </c>
      <c r="H93" s="163"/>
      <c r="I93" s="164"/>
      <c r="K93" s="170">
        <v>81</v>
      </c>
      <c r="L93" s="171" t="s">
        <v>440</v>
      </c>
      <c r="M93" s="163"/>
      <c r="N93" s="164"/>
      <c r="P93" s="170">
        <v>81</v>
      </c>
      <c r="Q93" s="171" t="s">
        <v>440</v>
      </c>
      <c r="R93" s="163"/>
      <c r="S93" s="164"/>
    </row>
    <row r="94" spans="1:19">
      <c r="A94" s="170">
        <v>82</v>
      </c>
      <c r="B94" s="171" t="s">
        <v>441</v>
      </c>
      <c r="C94" s="163"/>
      <c r="D94" s="164"/>
      <c r="E94" s="163"/>
      <c r="F94" s="170">
        <v>82</v>
      </c>
      <c r="G94" s="171" t="s">
        <v>441</v>
      </c>
      <c r="H94" s="163"/>
      <c r="I94" s="164"/>
      <c r="K94" s="170">
        <v>82</v>
      </c>
      <c r="L94" s="171" t="s">
        <v>441</v>
      </c>
      <c r="M94" s="163"/>
      <c r="N94" s="164"/>
      <c r="P94" s="170">
        <v>82</v>
      </c>
      <c r="Q94" s="171" t="s">
        <v>441</v>
      </c>
      <c r="R94" s="163"/>
      <c r="S94" s="164"/>
    </row>
    <row r="95" spans="1:19">
      <c r="A95" s="170">
        <v>83</v>
      </c>
      <c r="B95" s="171" t="s">
        <v>442</v>
      </c>
      <c r="C95" s="163"/>
      <c r="D95" s="164"/>
      <c r="E95" s="163"/>
      <c r="F95" s="170">
        <v>83</v>
      </c>
      <c r="G95" s="171" t="s">
        <v>442</v>
      </c>
      <c r="H95" s="163"/>
      <c r="I95" s="164"/>
      <c r="K95" s="170">
        <v>83</v>
      </c>
      <c r="L95" s="171" t="s">
        <v>442</v>
      </c>
      <c r="M95" s="163"/>
      <c r="N95" s="164"/>
      <c r="P95" s="170">
        <v>83</v>
      </c>
      <c r="Q95" s="171" t="s">
        <v>442</v>
      </c>
      <c r="R95" s="163"/>
      <c r="S95" s="164"/>
    </row>
    <row r="96" spans="1:19">
      <c r="A96" s="170">
        <v>84</v>
      </c>
      <c r="B96" s="171" t="s">
        <v>443</v>
      </c>
      <c r="C96" s="163"/>
      <c r="D96" s="164"/>
      <c r="E96" s="163"/>
      <c r="F96" s="170">
        <v>84</v>
      </c>
      <c r="G96" s="171" t="s">
        <v>443</v>
      </c>
      <c r="H96" s="163"/>
      <c r="I96" s="164"/>
      <c r="K96" s="170">
        <v>84</v>
      </c>
      <c r="L96" s="171" t="s">
        <v>443</v>
      </c>
      <c r="M96" s="163"/>
      <c r="N96" s="164"/>
      <c r="P96" s="170">
        <v>84</v>
      </c>
      <c r="Q96" s="171" t="s">
        <v>443</v>
      </c>
      <c r="R96" s="163"/>
      <c r="S96" s="164"/>
    </row>
    <row r="97" spans="1:19">
      <c r="A97" s="170">
        <v>85</v>
      </c>
      <c r="B97" s="171" t="s">
        <v>444</v>
      </c>
      <c r="C97" s="163"/>
      <c r="D97" s="164"/>
      <c r="E97" s="163"/>
      <c r="F97" s="170">
        <v>85</v>
      </c>
      <c r="G97" s="171" t="s">
        <v>444</v>
      </c>
      <c r="H97" s="163"/>
      <c r="I97" s="164"/>
      <c r="K97" s="170">
        <v>85</v>
      </c>
      <c r="L97" s="171" t="s">
        <v>444</v>
      </c>
      <c r="M97" s="163"/>
      <c r="N97" s="164"/>
      <c r="P97" s="170">
        <v>85</v>
      </c>
      <c r="Q97" s="171" t="s">
        <v>444</v>
      </c>
      <c r="R97" s="163"/>
      <c r="S97" s="164"/>
    </row>
    <row r="98" spans="1:19">
      <c r="A98" s="170">
        <v>86</v>
      </c>
      <c r="B98" s="171" t="s">
        <v>445</v>
      </c>
      <c r="C98" s="163"/>
      <c r="D98" s="164"/>
      <c r="E98" s="163"/>
      <c r="F98" s="170">
        <v>86</v>
      </c>
      <c r="G98" s="171" t="s">
        <v>445</v>
      </c>
      <c r="H98" s="163"/>
      <c r="I98" s="164"/>
      <c r="K98" s="170">
        <v>86</v>
      </c>
      <c r="L98" s="171" t="s">
        <v>445</v>
      </c>
      <c r="M98" s="163"/>
      <c r="N98" s="164"/>
      <c r="P98" s="170">
        <v>86</v>
      </c>
      <c r="Q98" s="171" t="s">
        <v>445</v>
      </c>
      <c r="R98" s="163"/>
      <c r="S98" s="164"/>
    </row>
    <row r="99" spans="1:19">
      <c r="A99" s="170">
        <v>87</v>
      </c>
      <c r="B99" s="171" t="s">
        <v>446</v>
      </c>
      <c r="C99" s="163"/>
      <c r="D99" s="164"/>
      <c r="E99" s="163"/>
      <c r="F99" s="170">
        <v>87</v>
      </c>
      <c r="G99" s="171" t="s">
        <v>446</v>
      </c>
      <c r="H99" s="163"/>
      <c r="I99" s="164"/>
      <c r="K99" s="170">
        <v>87</v>
      </c>
      <c r="L99" s="171" t="s">
        <v>446</v>
      </c>
      <c r="M99" s="163"/>
      <c r="N99" s="164"/>
      <c r="P99" s="170">
        <v>87</v>
      </c>
      <c r="Q99" s="171" t="s">
        <v>446</v>
      </c>
      <c r="R99" s="163"/>
      <c r="S99" s="164"/>
    </row>
    <row r="100" spans="1:19">
      <c r="A100" s="170">
        <v>88</v>
      </c>
      <c r="B100" s="171" t="s">
        <v>447</v>
      </c>
      <c r="C100" s="163"/>
      <c r="D100" s="164"/>
      <c r="E100" s="163"/>
      <c r="F100" s="170">
        <v>88</v>
      </c>
      <c r="G100" s="171" t="s">
        <v>447</v>
      </c>
      <c r="H100" s="163"/>
      <c r="I100" s="164"/>
      <c r="K100" s="170">
        <v>88</v>
      </c>
      <c r="L100" s="171" t="s">
        <v>447</v>
      </c>
      <c r="M100" s="163"/>
      <c r="N100" s="164"/>
      <c r="P100" s="170">
        <v>88</v>
      </c>
      <c r="Q100" s="171" t="s">
        <v>447</v>
      </c>
      <c r="R100" s="163"/>
      <c r="S100" s="164"/>
    </row>
    <row r="101" spans="1:19">
      <c r="A101" s="170">
        <v>89</v>
      </c>
      <c r="B101" s="171" t="s">
        <v>448</v>
      </c>
      <c r="C101" s="163"/>
      <c r="D101" s="164"/>
      <c r="E101" s="163"/>
      <c r="F101" s="170">
        <v>89</v>
      </c>
      <c r="G101" s="171" t="s">
        <v>448</v>
      </c>
      <c r="H101" s="163"/>
      <c r="I101" s="164"/>
      <c r="K101" s="170">
        <v>89</v>
      </c>
      <c r="L101" s="171" t="s">
        <v>448</v>
      </c>
      <c r="M101" s="163"/>
      <c r="N101" s="164"/>
      <c r="P101" s="170">
        <v>89</v>
      </c>
      <c r="Q101" s="171" t="s">
        <v>448</v>
      </c>
      <c r="R101" s="163"/>
      <c r="S101" s="164"/>
    </row>
    <row r="102" spans="1:19">
      <c r="A102" s="170">
        <v>90</v>
      </c>
      <c r="B102" s="171" t="s">
        <v>449</v>
      </c>
      <c r="C102" s="163"/>
      <c r="D102" s="164"/>
      <c r="E102" s="163"/>
      <c r="F102" s="170">
        <v>90</v>
      </c>
      <c r="G102" s="171" t="s">
        <v>449</v>
      </c>
      <c r="H102" s="163"/>
      <c r="I102" s="164"/>
      <c r="K102" s="170">
        <v>90</v>
      </c>
      <c r="L102" s="171" t="s">
        <v>449</v>
      </c>
      <c r="M102" s="163"/>
      <c r="N102" s="164"/>
      <c r="P102" s="170">
        <v>90</v>
      </c>
      <c r="Q102" s="171" t="s">
        <v>449</v>
      </c>
      <c r="R102" s="163"/>
      <c r="S102" s="164"/>
    </row>
    <row r="103" spans="1:19">
      <c r="A103" s="170">
        <v>91</v>
      </c>
      <c r="B103" s="171" t="s">
        <v>450</v>
      </c>
      <c r="C103" s="163"/>
      <c r="D103" s="164"/>
      <c r="E103" s="163"/>
      <c r="F103" s="170">
        <v>91</v>
      </c>
      <c r="G103" s="171" t="s">
        <v>450</v>
      </c>
      <c r="H103" s="163"/>
      <c r="I103" s="164"/>
      <c r="K103" s="170">
        <v>91</v>
      </c>
      <c r="L103" s="171" t="s">
        <v>450</v>
      </c>
      <c r="M103" s="163"/>
      <c r="N103" s="164"/>
      <c r="P103" s="170">
        <v>91</v>
      </c>
      <c r="Q103" s="171" t="s">
        <v>450</v>
      </c>
      <c r="R103" s="163"/>
      <c r="S103" s="164"/>
    </row>
    <row r="104" spans="1:19">
      <c r="A104" s="170">
        <v>92</v>
      </c>
      <c r="B104" s="171" t="s">
        <v>451</v>
      </c>
      <c r="C104" s="163"/>
      <c r="D104" s="164"/>
      <c r="E104" s="163"/>
      <c r="F104" s="170">
        <v>92</v>
      </c>
      <c r="G104" s="171" t="s">
        <v>451</v>
      </c>
      <c r="H104" s="163"/>
      <c r="I104" s="164"/>
      <c r="K104" s="170">
        <v>92</v>
      </c>
      <c r="L104" s="171" t="s">
        <v>451</v>
      </c>
      <c r="M104" s="163"/>
      <c r="N104" s="164"/>
      <c r="P104" s="170">
        <v>92</v>
      </c>
      <c r="Q104" s="171" t="s">
        <v>451</v>
      </c>
      <c r="R104" s="163"/>
      <c r="S104" s="164"/>
    </row>
    <row r="105" spans="1:19">
      <c r="A105" s="170">
        <v>93</v>
      </c>
      <c r="B105" s="171" t="s">
        <v>452</v>
      </c>
      <c r="C105" s="163"/>
      <c r="D105" s="164"/>
      <c r="E105" s="163"/>
      <c r="F105" s="170">
        <v>93</v>
      </c>
      <c r="G105" s="171" t="s">
        <v>452</v>
      </c>
      <c r="H105" s="163"/>
      <c r="I105" s="164"/>
      <c r="K105" s="170">
        <v>93</v>
      </c>
      <c r="L105" s="171" t="s">
        <v>452</v>
      </c>
      <c r="M105" s="163"/>
      <c r="N105" s="164"/>
      <c r="P105" s="170">
        <v>93</v>
      </c>
      <c r="Q105" s="171" t="s">
        <v>452</v>
      </c>
      <c r="R105" s="163"/>
      <c r="S105" s="164"/>
    </row>
    <row r="106" spans="1:19">
      <c r="A106" s="170">
        <v>94</v>
      </c>
      <c r="B106" s="171" t="s">
        <v>453</v>
      </c>
      <c r="C106" s="163"/>
      <c r="D106" s="164"/>
      <c r="E106" s="163"/>
      <c r="F106" s="170">
        <v>94</v>
      </c>
      <c r="G106" s="171" t="s">
        <v>453</v>
      </c>
      <c r="H106" s="163"/>
      <c r="I106" s="164"/>
      <c r="K106" s="170">
        <v>94</v>
      </c>
      <c r="L106" s="171" t="s">
        <v>453</v>
      </c>
      <c r="M106" s="163"/>
      <c r="N106" s="164"/>
      <c r="P106" s="170">
        <v>94</v>
      </c>
      <c r="Q106" s="171" t="s">
        <v>453</v>
      </c>
      <c r="R106" s="163"/>
      <c r="S106" s="164"/>
    </row>
    <row r="107" spans="1:19">
      <c r="A107" s="170">
        <v>95</v>
      </c>
      <c r="B107" s="171" t="s">
        <v>454</v>
      </c>
      <c r="C107" s="163"/>
      <c r="D107" s="164"/>
      <c r="E107" s="163"/>
      <c r="F107" s="170">
        <v>95</v>
      </c>
      <c r="G107" s="171" t="s">
        <v>454</v>
      </c>
      <c r="H107" s="163"/>
      <c r="I107" s="164"/>
      <c r="K107" s="170">
        <v>95</v>
      </c>
      <c r="L107" s="171" t="s">
        <v>454</v>
      </c>
      <c r="M107" s="163"/>
      <c r="N107" s="164"/>
      <c r="P107" s="170">
        <v>95</v>
      </c>
      <c r="Q107" s="171" t="s">
        <v>454</v>
      </c>
      <c r="R107" s="163"/>
      <c r="S107" s="164"/>
    </row>
    <row r="108" spans="1:19">
      <c r="A108" s="170">
        <v>96</v>
      </c>
      <c r="B108" s="171" t="s">
        <v>455</v>
      </c>
      <c r="C108" s="163"/>
      <c r="D108" s="164"/>
      <c r="E108" s="163"/>
      <c r="F108" s="170">
        <v>96</v>
      </c>
      <c r="G108" s="171" t="s">
        <v>455</v>
      </c>
      <c r="H108" s="163"/>
      <c r="I108" s="164"/>
      <c r="K108" s="170">
        <v>96</v>
      </c>
      <c r="L108" s="171" t="s">
        <v>455</v>
      </c>
      <c r="M108" s="163"/>
      <c r="N108" s="164"/>
      <c r="P108" s="170">
        <v>96</v>
      </c>
      <c r="Q108" s="171" t="s">
        <v>455</v>
      </c>
      <c r="R108" s="163"/>
      <c r="S108" s="164"/>
    </row>
    <row r="109" spans="1:19">
      <c r="A109" s="170">
        <v>97</v>
      </c>
      <c r="B109" s="171" t="s">
        <v>456</v>
      </c>
      <c r="C109" s="163"/>
      <c r="D109" s="164"/>
      <c r="E109" s="163"/>
      <c r="F109" s="170">
        <v>97</v>
      </c>
      <c r="G109" s="171" t="s">
        <v>456</v>
      </c>
      <c r="H109" s="163"/>
      <c r="I109" s="164"/>
      <c r="K109" s="170">
        <v>97</v>
      </c>
      <c r="L109" s="171" t="s">
        <v>456</v>
      </c>
      <c r="M109" s="163"/>
      <c r="N109" s="164"/>
      <c r="P109" s="170">
        <v>97</v>
      </c>
      <c r="Q109" s="171" t="s">
        <v>456</v>
      </c>
      <c r="R109" s="163"/>
      <c r="S109" s="164"/>
    </row>
    <row r="110" spans="1:19">
      <c r="A110" s="170">
        <v>98</v>
      </c>
      <c r="B110" s="171" t="s">
        <v>457</v>
      </c>
      <c r="C110" s="163"/>
      <c r="D110" s="164"/>
      <c r="E110" s="163"/>
      <c r="F110" s="170">
        <v>98</v>
      </c>
      <c r="G110" s="171" t="s">
        <v>457</v>
      </c>
      <c r="H110" s="163"/>
      <c r="I110" s="164"/>
      <c r="K110" s="170">
        <v>98</v>
      </c>
      <c r="L110" s="171" t="s">
        <v>457</v>
      </c>
      <c r="M110" s="163"/>
      <c r="N110" s="164"/>
      <c r="P110" s="170">
        <v>98</v>
      </c>
      <c r="Q110" s="171" t="s">
        <v>457</v>
      </c>
      <c r="R110" s="163"/>
      <c r="S110" s="164"/>
    </row>
    <row r="111" spans="1:19">
      <c r="A111" s="170">
        <v>99</v>
      </c>
      <c r="B111" s="171" t="s">
        <v>458</v>
      </c>
      <c r="C111" s="163"/>
      <c r="D111" s="164"/>
      <c r="E111" s="163"/>
      <c r="F111" s="170">
        <v>99</v>
      </c>
      <c r="G111" s="171" t="s">
        <v>458</v>
      </c>
      <c r="H111" s="163"/>
      <c r="I111" s="164"/>
      <c r="K111" s="170">
        <v>99</v>
      </c>
      <c r="L111" s="171" t="s">
        <v>458</v>
      </c>
      <c r="M111" s="163"/>
      <c r="N111" s="164"/>
      <c r="P111" s="170">
        <v>99</v>
      </c>
      <c r="Q111" s="171" t="s">
        <v>458</v>
      </c>
      <c r="R111" s="163"/>
      <c r="S111" s="164"/>
    </row>
    <row r="112" spans="1:19" ht="13.8" thickBot="1">
      <c r="A112" s="172">
        <v>100</v>
      </c>
      <c r="B112" s="173" t="s">
        <v>459</v>
      </c>
      <c r="C112" s="174"/>
      <c r="D112" s="175"/>
      <c r="E112" s="163"/>
      <c r="F112" s="172">
        <v>100</v>
      </c>
      <c r="G112" s="173" t="s">
        <v>459</v>
      </c>
      <c r="H112" s="174"/>
      <c r="I112" s="175"/>
      <c r="K112" s="172">
        <v>100</v>
      </c>
      <c r="L112" s="173" t="s">
        <v>459</v>
      </c>
      <c r="M112" s="174"/>
      <c r="N112" s="175"/>
      <c r="P112" s="172">
        <v>100</v>
      </c>
      <c r="Q112" s="173" t="s">
        <v>459</v>
      </c>
      <c r="R112" s="174"/>
      <c r="S112" s="175"/>
    </row>
    <row r="118" spans="1:4">
      <c r="A118" s="187" t="s">
        <v>465</v>
      </c>
    </row>
    <row r="119" spans="1:4" ht="13.8" thickBot="1"/>
    <row r="120" spans="1:4" ht="13.8" thickBot="1">
      <c r="A120" s="176"/>
      <c r="B120" s="177"/>
      <c r="C120" s="177"/>
      <c r="D120" s="178"/>
    </row>
    <row r="121" spans="1:4" ht="13.8" thickBot="1">
      <c r="A121" s="180"/>
      <c r="D121" s="181"/>
    </row>
    <row r="122" spans="1:4" ht="15.6" thickBot="1">
      <c r="A122" s="988" t="e">
        <v>#REF!</v>
      </c>
      <c r="B122" s="989"/>
      <c r="C122" s="160"/>
      <c r="D122" s="161"/>
    </row>
    <row r="123" spans="1:4">
      <c r="A123" s="990"/>
      <c r="B123" s="991"/>
      <c r="C123" s="160"/>
      <c r="D123" s="161"/>
    </row>
    <row r="124" spans="1:4">
      <c r="A124" s="162"/>
      <c r="B124" s="163"/>
      <c r="C124" s="163"/>
      <c r="D124" s="164"/>
    </row>
    <row r="125" spans="1:4">
      <c r="A125" s="992" t="e">
        <f>IF(OR((A122&gt;9999999999),(A122&lt;0)),"Invalid Entry - More than 1000 crore OR -ve value",IF(A122=0, "",+CONCATENATE(U121,B132,D132,B131,D131,B130,D130,B129,D129,B128,D128,B127," Only")))</f>
        <v>#REF!</v>
      </c>
      <c r="B125" s="993"/>
      <c r="C125" s="993"/>
      <c r="D125" s="994"/>
    </row>
    <row r="126" spans="1:4">
      <c r="A126" s="162"/>
      <c r="B126" s="163"/>
      <c r="C126" s="163"/>
      <c r="D126" s="164"/>
    </row>
    <row r="127" spans="1:4">
      <c r="A127" s="165" t="e">
        <f>-INT(A122/100)*100+ROUND(A122,0)</f>
        <v>#REF!</v>
      </c>
      <c r="B127" s="163" t="e">
        <f t="shared" ref="B127:B132" si="6">IF(A127=0,"",LOOKUP(A127,$A$13:$A$112,$B$13:$B$112))</f>
        <v>#REF!</v>
      </c>
      <c r="C127" s="163"/>
      <c r="D127" s="166"/>
    </row>
    <row r="128" spans="1:4">
      <c r="A128" s="165" t="e">
        <f>-INT(A122/1000)*10+INT(A122/100)</f>
        <v>#REF!</v>
      </c>
      <c r="B128" s="163" t="e">
        <f t="shared" si="6"/>
        <v>#REF!</v>
      </c>
      <c r="C128" s="163"/>
      <c r="D128" s="166" t="e">
        <f>+IF(B128="",""," Hundred ")</f>
        <v>#REF!</v>
      </c>
    </row>
    <row r="129" spans="1:4">
      <c r="A129" s="165" t="e">
        <f>-INT(A122/100000)*100+INT(A122/1000)</f>
        <v>#REF!</v>
      </c>
      <c r="B129" s="163" t="e">
        <f t="shared" si="6"/>
        <v>#REF!</v>
      </c>
      <c r="C129" s="163"/>
      <c r="D129" s="166" t="e">
        <f>IF((B129=""),IF(C129="",""," Thousand ")," Thousand ")</f>
        <v>#REF!</v>
      </c>
    </row>
    <row r="130" spans="1:4">
      <c r="A130" s="165" t="e">
        <f>-INT(A122/10000000)*100+INT(A122/100000)</f>
        <v>#REF!</v>
      </c>
      <c r="B130" s="163" t="e">
        <f t="shared" si="6"/>
        <v>#REF!</v>
      </c>
      <c r="C130" s="163"/>
      <c r="D130" s="166" t="e">
        <f>IF((B130=""),IF(C130="",""," Lac ")," Lac ")</f>
        <v>#REF!</v>
      </c>
    </row>
    <row r="131" spans="1:4">
      <c r="A131" s="165" t="e">
        <f>-INT(A122/1000000000)*100+INT(A122/10000000)</f>
        <v>#REF!</v>
      </c>
      <c r="B131" s="167" t="e">
        <f t="shared" si="6"/>
        <v>#REF!</v>
      </c>
      <c r="C131" s="163"/>
      <c r="D131" s="166" t="e">
        <f>IF((B131=""),IF(C131="",""," Crore ")," Crore ")</f>
        <v>#REF!</v>
      </c>
    </row>
    <row r="132" spans="1:4">
      <c r="A132" s="168" t="e">
        <f>-INT(A122/10000000000)*1000+INT(A122/1000000000)</f>
        <v>#REF!</v>
      </c>
      <c r="B132" s="167" t="e">
        <f t="shared" si="6"/>
        <v>#REF!</v>
      </c>
      <c r="C132" s="163"/>
      <c r="D132" s="166" t="e">
        <f>IF((B132=""),IF(C132="",""," Hundred ")," Hundred ")</f>
        <v>#REF!</v>
      </c>
    </row>
    <row r="133" spans="1:4">
      <c r="A133" s="169"/>
      <c r="B133" s="163"/>
      <c r="C133" s="163"/>
      <c r="D133" s="164"/>
    </row>
    <row r="134" spans="1:4">
      <c r="A134" s="170">
        <v>1</v>
      </c>
      <c r="B134" s="171" t="s">
        <v>360</v>
      </c>
      <c r="C134" s="163"/>
      <c r="D134" s="164"/>
    </row>
    <row r="135" spans="1:4">
      <c r="A135" s="170">
        <v>2</v>
      </c>
      <c r="B135" s="171" t="s">
        <v>361</v>
      </c>
      <c r="C135" s="163"/>
      <c r="D135" s="164"/>
    </row>
    <row r="136" spans="1:4">
      <c r="A136" s="170">
        <v>3</v>
      </c>
      <c r="B136" s="171" t="s">
        <v>362</v>
      </c>
      <c r="C136" s="163"/>
      <c r="D136" s="164"/>
    </row>
    <row r="137" spans="1:4">
      <c r="A137" s="170">
        <v>4</v>
      </c>
      <c r="B137" s="171" t="s">
        <v>363</v>
      </c>
      <c r="C137" s="163"/>
      <c r="D137" s="164"/>
    </row>
    <row r="138" spans="1:4">
      <c r="A138" s="170">
        <v>5</v>
      </c>
      <c r="B138" s="171" t="s">
        <v>364</v>
      </c>
      <c r="C138" s="163"/>
      <c r="D138" s="164"/>
    </row>
    <row r="139" spans="1:4">
      <c r="A139" s="170">
        <v>6</v>
      </c>
      <c r="B139" s="171" t="s">
        <v>365</v>
      </c>
      <c r="C139" s="163"/>
      <c r="D139" s="164"/>
    </row>
    <row r="140" spans="1:4">
      <c r="A140" s="170">
        <v>7</v>
      </c>
      <c r="B140" s="171" t="s">
        <v>366</v>
      </c>
      <c r="C140" s="163"/>
      <c r="D140" s="164"/>
    </row>
    <row r="141" spans="1:4">
      <c r="A141" s="170">
        <v>8</v>
      </c>
      <c r="B141" s="171" t="s">
        <v>367</v>
      </c>
      <c r="C141" s="163"/>
      <c r="D141" s="164"/>
    </row>
    <row r="142" spans="1:4">
      <c r="A142" s="170">
        <v>9</v>
      </c>
      <c r="B142" s="171" t="s">
        <v>368</v>
      </c>
      <c r="C142" s="163"/>
      <c r="D142" s="164"/>
    </row>
    <row r="143" spans="1:4">
      <c r="A143" s="170">
        <v>10</v>
      </c>
      <c r="B143" s="171" t="s">
        <v>369</v>
      </c>
      <c r="C143" s="163"/>
      <c r="D143" s="164"/>
    </row>
    <row r="144" spans="1:4">
      <c r="A144" s="170">
        <v>11</v>
      </c>
      <c r="B144" s="171" t="s">
        <v>370</v>
      </c>
      <c r="C144" s="163"/>
      <c r="D144" s="164"/>
    </row>
    <row r="145" spans="1:4">
      <c r="A145" s="170">
        <v>12</v>
      </c>
      <c r="B145" s="171" t="s">
        <v>371</v>
      </c>
      <c r="C145" s="163"/>
      <c r="D145" s="164"/>
    </row>
    <row r="146" spans="1:4">
      <c r="A146" s="170">
        <v>13</v>
      </c>
      <c r="B146" s="171" t="s">
        <v>372</v>
      </c>
      <c r="C146" s="163"/>
      <c r="D146" s="164"/>
    </row>
    <row r="147" spans="1:4">
      <c r="A147" s="170">
        <v>14</v>
      </c>
      <c r="B147" s="171" t="s">
        <v>373</v>
      </c>
      <c r="C147" s="163"/>
      <c r="D147" s="164"/>
    </row>
    <row r="148" spans="1:4">
      <c r="A148" s="170">
        <v>15</v>
      </c>
      <c r="B148" s="171" t="s">
        <v>374</v>
      </c>
      <c r="C148" s="163"/>
      <c r="D148" s="164"/>
    </row>
    <row r="149" spans="1:4">
      <c r="A149" s="170">
        <v>16</v>
      </c>
      <c r="B149" s="171" t="s">
        <v>375</v>
      </c>
      <c r="C149" s="163"/>
      <c r="D149" s="164"/>
    </row>
    <row r="150" spans="1:4">
      <c r="A150" s="170">
        <v>17</v>
      </c>
      <c r="B150" s="171" t="s">
        <v>376</v>
      </c>
      <c r="C150" s="163"/>
      <c r="D150" s="164"/>
    </row>
    <row r="151" spans="1:4">
      <c r="A151" s="170">
        <v>18</v>
      </c>
      <c r="B151" s="171" t="s">
        <v>377</v>
      </c>
      <c r="C151" s="163"/>
      <c r="D151" s="164"/>
    </row>
    <row r="152" spans="1:4">
      <c r="A152" s="170">
        <v>19</v>
      </c>
      <c r="B152" s="171" t="s">
        <v>378</v>
      </c>
      <c r="C152" s="163"/>
      <c r="D152" s="164"/>
    </row>
    <row r="153" spans="1:4">
      <c r="A153" s="170">
        <v>20</v>
      </c>
      <c r="B153" s="171" t="s">
        <v>379</v>
      </c>
      <c r="C153" s="163"/>
      <c r="D153" s="164"/>
    </row>
    <row r="154" spans="1:4">
      <c r="A154" s="170">
        <v>21</v>
      </c>
      <c r="B154" s="171" t="s">
        <v>380</v>
      </c>
      <c r="C154" s="163"/>
      <c r="D154" s="164"/>
    </row>
    <row r="155" spans="1:4">
      <c r="A155" s="170">
        <v>22</v>
      </c>
      <c r="B155" s="171" t="s">
        <v>381</v>
      </c>
      <c r="C155" s="163"/>
      <c r="D155" s="164"/>
    </row>
    <row r="156" spans="1:4">
      <c r="A156" s="170">
        <v>23</v>
      </c>
      <c r="B156" s="171" t="s">
        <v>382</v>
      </c>
      <c r="C156" s="163"/>
      <c r="D156" s="164"/>
    </row>
    <row r="157" spans="1:4">
      <c r="A157" s="170">
        <v>24</v>
      </c>
      <c r="B157" s="171" t="s">
        <v>383</v>
      </c>
      <c r="C157" s="163"/>
      <c r="D157" s="164"/>
    </row>
    <row r="158" spans="1:4">
      <c r="A158" s="170">
        <v>25</v>
      </c>
      <c r="B158" s="171" t="s">
        <v>384</v>
      </c>
      <c r="C158" s="163"/>
      <c r="D158" s="164"/>
    </row>
    <row r="159" spans="1:4">
      <c r="A159" s="170">
        <v>26</v>
      </c>
      <c r="B159" s="171" t="s">
        <v>385</v>
      </c>
      <c r="C159" s="163"/>
      <c r="D159" s="164"/>
    </row>
    <row r="160" spans="1:4">
      <c r="A160" s="170">
        <v>27</v>
      </c>
      <c r="B160" s="171" t="s">
        <v>386</v>
      </c>
      <c r="C160" s="163"/>
      <c r="D160" s="164"/>
    </row>
    <row r="161" spans="1:4">
      <c r="A161" s="170">
        <v>28</v>
      </c>
      <c r="B161" s="171" t="s">
        <v>387</v>
      </c>
      <c r="C161" s="163"/>
      <c r="D161" s="164"/>
    </row>
    <row r="162" spans="1:4">
      <c r="A162" s="170">
        <v>29</v>
      </c>
      <c r="B162" s="171" t="s">
        <v>388</v>
      </c>
      <c r="C162" s="163"/>
      <c r="D162" s="164"/>
    </row>
    <row r="163" spans="1:4">
      <c r="A163" s="170">
        <v>30</v>
      </c>
      <c r="B163" s="171" t="s">
        <v>389</v>
      </c>
      <c r="C163" s="163"/>
      <c r="D163" s="164"/>
    </row>
    <row r="164" spans="1:4">
      <c r="A164" s="170">
        <v>31</v>
      </c>
      <c r="B164" s="171" t="s">
        <v>390</v>
      </c>
      <c r="C164" s="163"/>
      <c r="D164" s="164"/>
    </row>
    <row r="165" spans="1:4">
      <c r="A165" s="170">
        <v>32</v>
      </c>
      <c r="B165" s="171" t="s">
        <v>391</v>
      </c>
      <c r="C165" s="163"/>
      <c r="D165" s="164"/>
    </row>
    <row r="166" spans="1:4">
      <c r="A166" s="170">
        <v>33</v>
      </c>
      <c r="B166" s="171" t="s">
        <v>392</v>
      </c>
      <c r="C166" s="163"/>
      <c r="D166" s="164"/>
    </row>
    <row r="167" spans="1:4">
      <c r="A167" s="170">
        <v>34</v>
      </c>
      <c r="B167" s="171" t="s">
        <v>393</v>
      </c>
      <c r="C167" s="163"/>
      <c r="D167" s="164"/>
    </row>
    <row r="168" spans="1:4">
      <c r="A168" s="170">
        <v>35</v>
      </c>
      <c r="B168" s="171" t="s">
        <v>394</v>
      </c>
      <c r="C168" s="163"/>
      <c r="D168" s="164"/>
    </row>
    <row r="169" spans="1:4">
      <c r="A169" s="170">
        <v>36</v>
      </c>
      <c r="B169" s="171" t="s">
        <v>395</v>
      </c>
      <c r="C169" s="163"/>
      <c r="D169" s="164"/>
    </row>
    <row r="170" spans="1:4">
      <c r="A170" s="170">
        <v>37</v>
      </c>
      <c r="B170" s="171" t="s">
        <v>396</v>
      </c>
      <c r="C170" s="163"/>
      <c r="D170" s="164"/>
    </row>
    <row r="171" spans="1:4">
      <c r="A171" s="170">
        <v>38</v>
      </c>
      <c r="B171" s="171" t="s">
        <v>397</v>
      </c>
      <c r="C171" s="163"/>
      <c r="D171" s="164"/>
    </row>
    <row r="172" spans="1:4">
      <c r="A172" s="170">
        <v>39</v>
      </c>
      <c r="B172" s="171" t="s">
        <v>398</v>
      </c>
      <c r="C172" s="163"/>
      <c r="D172" s="164"/>
    </row>
    <row r="173" spans="1:4">
      <c r="A173" s="170">
        <v>40</v>
      </c>
      <c r="B173" s="171" t="s">
        <v>399</v>
      </c>
      <c r="C173" s="163"/>
      <c r="D173" s="164"/>
    </row>
    <row r="174" spans="1:4">
      <c r="A174" s="170">
        <v>41</v>
      </c>
      <c r="B174" s="171" t="s">
        <v>400</v>
      </c>
      <c r="C174" s="163"/>
      <c r="D174" s="164"/>
    </row>
    <row r="175" spans="1:4">
      <c r="A175" s="170">
        <v>42</v>
      </c>
      <c r="B175" s="171" t="s">
        <v>401</v>
      </c>
      <c r="C175" s="163"/>
      <c r="D175" s="164"/>
    </row>
    <row r="176" spans="1:4">
      <c r="A176" s="170">
        <v>43</v>
      </c>
      <c r="B176" s="171" t="s">
        <v>402</v>
      </c>
      <c r="C176" s="163"/>
      <c r="D176" s="164"/>
    </row>
    <row r="177" spans="1:4">
      <c r="A177" s="170">
        <v>44</v>
      </c>
      <c r="B177" s="171" t="s">
        <v>403</v>
      </c>
      <c r="C177" s="163"/>
      <c r="D177" s="164"/>
    </row>
    <row r="178" spans="1:4">
      <c r="A178" s="170">
        <v>45</v>
      </c>
      <c r="B178" s="171" t="s">
        <v>404</v>
      </c>
      <c r="C178" s="163"/>
      <c r="D178" s="164"/>
    </row>
    <row r="179" spans="1:4">
      <c r="A179" s="170">
        <v>46</v>
      </c>
      <c r="B179" s="171" t="s">
        <v>405</v>
      </c>
      <c r="C179" s="163"/>
      <c r="D179" s="164"/>
    </row>
    <row r="180" spans="1:4">
      <c r="A180" s="170">
        <v>47</v>
      </c>
      <c r="B180" s="171" t="s">
        <v>406</v>
      </c>
      <c r="C180" s="163"/>
      <c r="D180" s="164"/>
    </row>
    <row r="181" spans="1:4">
      <c r="A181" s="170">
        <v>48</v>
      </c>
      <c r="B181" s="171" t="s">
        <v>407</v>
      </c>
      <c r="C181" s="163"/>
      <c r="D181" s="164"/>
    </row>
    <row r="182" spans="1:4">
      <c r="A182" s="170">
        <v>49</v>
      </c>
      <c r="B182" s="171" t="s">
        <v>408</v>
      </c>
      <c r="C182" s="163"/>
      <c r="D182" s="164"/>
    </row>
    <row r="183" spans="1:4">
      <c r="A183" s="170">
        <v>50</v>
      </c>
      <c r="B183" s="171" t="s">
        <v>409</v>
      </c>
      <c r="C183" s="163"/>
      <c r="D183" s="164"/>
    </row>
    <row r="184" spans="1:4">
      <c r="A184" s="170">
        <v>51</v>
      </c>
      <c r="B184" s="171" t="s">
        <v>410</v>
      </c>
      <c r="C184" s="163"/>
      <c r="D184" s="164"/>
    </row>
    <row r="185" spans="1:4">
      <c r="A185" s="170">
        <v>52</v>
      </c>
      <c r="B185" s="171" t="s">
        <v>411</v>
      </c>
      <c r="C185" s="163"/>
      <c r="D185" s="164"/>
    </row>
    <row r="186" spans="1:4">
      <c r="A186" s="170">
        <v>53</v>
      </c>
      <c r="B186" s="171" t="s">
        <v>412</v>
      </c>
      <c r="C186" s="163"/>
      <c r="D186" s="164"/>
    </row>
    <row r="187" spans="1:4">
      <c r="A187" s="170">
        <v>54</v>
      </c>
      <c r="B187" s="171" t="s">
        <v>413</v>
      </c>
      <c r="C187" s="163"/>
      <c r="D187" s="164"/>
    </row>
    <row r="188" spans="1:4">
      <c r="A188" s="170">
        <v>55</v>
      </c>
      <c r="B188" s="171" t="s">
        <v>414</v>
      </c>
      <c r="C188" s="163"/>
      <c r="D188" s="164"/>
    </row>
    <row r="189" spans="1:4">
      <c r="A189" s="170">
        <v>56</v>
      </c>
      <c r="B189" s="171" t="s">
        <v>415</v>
      </c>
      <c r="C189" s="163"/>
      <c r="D189" s="164"/>
    </row>
    <row r="190" spans="1:4">
      <c r="A190" s="170">
        <v>57</v>
      </c>
      <c r="B190" s="171" t="s">
        <v>416</v>
      </c>
      <c r="C190" s="163"/>
      <c r="D190" s="164"/>
    </row>
    <row r="191" spans="1:4">
      <c r="A191" s="170">
        <v>58</v>
      </c>
      <c r="B191" s="171" t="s">
        <v>417</v>
      </c>
      <c r="C191" s="163"/>
      <c r="D191" s="164"/>
    </row>
    <row r="192" spans="1:4">
      <c r="A192" s="170">
        <v>59</v>
      </c>
      <c r="B192" s="171" t="s">
        <v>418</v>
      </c>
      <c r="C192" s="163"/>
      <c r="D192" s="164"/>
    </row>
    <row r="193" spans="1:4">
      <c r="A193" s="170">
        <v>60</v>
      </c>
      <c r="B193" s="171" t="s">
        <v>419</v>
      </c>
      <c r="C193" s="163"/>
      <c r="D193" s="164"/>
    </row>
    <row r="194" spans="1:4">
      <c r="A194" s="170">
        <v>61</v>
      </c>
      <c r="B194" s="171" t="s">
        <v>420</v>
      </c>
      <c r="C194" s="163"/>
      <c r="D194" s="164"/>
    </row>
    <row r="195" spans="1:4">
      <c r="A195" s="170">
        <v>62</v>
      </c>
      <c r="B195" s="171" t="s">
        <v>421</v>
      </c>
      <c r="C195" s="163"/>
      <c r="D195" s="164"/>
    </row>
    <row r="196" spans="1:4">
      <c r="A196" s="170">
        <v>63</v>
      </c>
      <c r="B196" s="171" t="s">
        <v>422</v>
      </c>
      <c r="C196" s="163"/>
      <c r="D196" s="164"/>
    </row>
    <row r="197" spans="1:4">
      <c r="A197" s="170">
        <v>64</v>
      </c>
      <c r="B197" s="171" t="s">
        <v>423</v>
      </c>
      <c r="C197" s="163"/>
      <c r="D197" s="164"/>
    </row>
    <row r="198" spans="1:4">
      <c r="A198" s="170">
        <v>65</v>
      </c>
      <c r="B198" s="171" t="s">
        <v>424</v>
      </c>
      <c r="C198" s="163"/>
      <c r="D198" s="164"/>
    </row>
    <row r="199" spans="1:4">
      <c r="A199" s="170">
        <v>66</v>
      </c>
      <c r="B199" s="171" t="s">
        <v>425</v>
      </c>
      <c r="C199" s="163"/>
      <c r="D199" s="164"/>
    </row>
    <row r="200" spans="1:4">
      <c r="A200" s="170">
        <v>67</v>
      </c>
      <c r="B200" s="171" t="s">
        <v>426</v>
      </c>
      <c r="C200" s="163"/>
      <c r="D200" s="164"/>
    </row>
    <row r="201" spans="1:4">
      <c r="A201" s="170">
        <v>68</v>
      </c>
      <c r="B201" s="171" t="s">
        <v>427</v>
      </c>
      <c r="C201" s="163"/>
      <c r="D201" s="164"/>
    </row>
    <row r="202" spans="1:4">
      <c r="A202" s="170">
        <v>69</v>
      </c>
      <c r="B202" s="171" t="s">
        <v>428</v>
      </c>
      <c r="C202" s="163"/>
      <c r="D202" s="164"/>
    </row>
    <row r="203" spans="1:4">
      <c r="A203" s="170">
        <v>70</v>
      </c>
      <c r="B203" s="171" t="s">
        <v>429</v>
      </c>
      <c r="C203" s="163"/>
      <c r="D203" s="164"/>
    </row>
    <row r="204" spans="1:4">
      <c r="A204" s="170">
        <v>71</v>
      </c>
      <c r="B204" s="171" t="s">
        <v>430</v>
      </c>
      <c r="C204" s="163"/>
      <c r="D204" s="164"/>
    </row>
    <row r="205" spans="1:4">
      <c r="A205" s="170">
        <v>72</v>
      </c>
      <c r="B205" s="171" t="s">
        <v>431</v>
      </c>
      <c r="C205" s="163"/>
      <c r="D205" s="164"/>
    </row>
    <row r="206" spans="1:4">
      <c r="A206" s="170">
        <v>73</v>
      </c>
      <c r="B206" s="171" t="s">
        <v>432</v>
      </c>
      <c r="C206" s="163"/>
      <c r="D206" s="164"/>
    </row>
    <row r="207" spans="1:4">
      <c r="A207" s="170">
        <v>74</v>
      </c>
      <c r="B207" s="171" t="s">
        <v>433</v>
      </c>
      <c r="C207" s="163"/>
      <c r="D207" s="164"/>
    </row>
    <row r="208" spans="1:4">
      <c r="A208" s="170">
        <v>75</v>
      </c>
      <c r="B208" s="171" t="s">
        <v>434</v>
      </c>
      <c r="C208" s="163"/>
      <c r="D208" s="164"/>
    </row>
    <row r="209" spans="1:4">
      <c r="A209" s="170">
        <v>76</v>
      </c>
      <c r="B209" s="171" t="s">
        <v>435</v>
      </c>
      <c r="C209" s="163"/>
      <c r="D209" s="164"/>
    </row>
    <row r="210" spans="1:4">
      <c r="A210" s="170">
        <v>77</v>
      </c>
      <c r="B210" s="171" t="s">
        <v>436</v>
      </c>
      <c r="C210" s="163"/>
      <c r="D210" s="164"/>
    </row>
    <row r="211" spans="1:4">
      <c r="A211" s="170">
        <v>78</v>
      </c>
      <c r="B211" s="171" t="s">
        <v>437</v>
      </c>
      <c r="C211" s="163"/>
      <c r="D211" s="164"/>
    </row>
    <row r="212" spans="1:4">
      <c r="A212" s="170">
        <v>79</v>
      </c>
      <c r="B212" s="171" t="s">
        <v>438</v>
      </c>
      <c r="C212" s="163"/>
      <c r="D212" s="164"/>
    </row>
    <row r="213" spans="1:4">
      <c r="A213" s="170">
        <v>80</v>
      </c>
      <c r="B213" s="171" t="s">
        <v>439</v>
      </c>
      <c r="C213" s="163"/>
      <c r="D213" s="164"/>
    </row>
    <row r="214" spans="1:4">
      <c r="A214" s="170">
        <v>81</v>
      </c>
      <c r="B214" s="171" t="s">
        <v>440</v>
      </c>
      <c r="C214" s="163"/>
      <c r="D214" s="164"/>
    </row>
    <row r="215" spans="1:4">
      <c r="A215" s="170">
        <v>82</v>
      </c>
      <c r="B215" s="171" t="s">
        <v>441</v>
      </c>
      <c r="C215" s="163"/>
      <c r="D215" s="164"/>
    </row>
    <row r="216" spans="1:4">
      <c r="A216" s="170">
        <v>83</v>
      </c>
      <c r="B216" s="171" t="s">
        <v>442</v>
      </c>
      <c r="C216" s="163"/>
      <c r="D216" s="164"/>
    </row>
    <row r="217" spans="1:4">
      <c r="A217" s="170">
        <v>84</v>
      </c>
      <c r="B217" s="171" t="s">
        <v>443</v>
      </c>
      <c r="C217" s="163"/>
      <c r="D217" s="164"/>
    </row>
    <row r="218" spans="1:4">
      <c r="A218" s="170">
        <v>85</v>
      </c>
      <c r="B218" s="171" t="s">
        <v>444</v>
      </c>
      <c r="C218" s="163"/>
      <c r="D218" s="164"/>
    </row>
    <row r="219" spans="1:4">
      <c r="A219" s="170">
        <v>86</v>
      </c>
      <c r="B219" s="171" t="s">
        <v>445</v>
      </c>
      <c r="C219" s="163"/>
      <c r="D219" s="164"/>
    </row>
    <row r="220" spans="1:4">
      <c r="A220" s="170">
        <v>87</v>
      </c>
      <c r="B220" s="171" t="s">
        <v>446</v>
      </c>
      <c r="C220" s="163"/>
      <c r="D220" s="164"/>
    </row>
    <row r="221" spans="1:4">
      <c r="A221" s="170">
        <v>88</v>
      </c>
      <c r="B221" s="171" t="s">
        <v>447</v>
      </c>
      <c r="C221" s="163"/>
      <c r="D221" s="164"/>
    </row>
    <row r="222" spans="1:4">
      <c r="A222" s="170">
        <v>89</v>
      </c>
      <c r="B222" s="171" t="s">
        <v>448</v>
      </c>
      <c r="C222" s="163"/>
      <c r="D222" s="164"/>
    </row>
    <row r="223" spans="1:4">
      <c r="A223" s="170">
        <v>90</v>
      </c>
      <c r="B223" s="171" t="s">
        <v>449</v>
      </c>
      <c r="C223" s="163"/>
      <c r="D223" s="164"/>
    </row>
    <row r="224" spans="1:4">
      <c r="A224" s="170">
        <v>91</v>
      </c>
      <c r="B224" s="171" t="s">
        <v>450</v>
      </c>
      <c r="C224" s="163"/>
      <c r="D224" s="164"/>
    </row>
    <row r="225" spans="1:4">
      <c r="A225" s="170">
        <v>92</v>
      </c>
      <c r="B225" s="171" t="s">
        <v>451</v>
      </c>
      <c r="C225" s="163"/>
      <c r="D225" s="164"/>
    </row>
    <row r="226" spans="1:4">
      <c r="A226" s="170">
        <v>93</v>
      </c>
      <c r="B226" s="171" t="s">
        <v>452</v>
      </c>
      <c r="C226" s="163"/>
      <c r="D226" s="164"/>
    </row>
    <row r="227" spans="1:4">
      <c r="A227" s="170">
        <v>94</v>
      </c>
      <c r="B227" s="171" t="s">
        <v>453</v>
      </c>
      <c r="C227" s="163"/>
      <c r="D227" s="164"/>
    </row>
    <row r="228" spans="1:4">
      <c r="A228" s="170">
        <v>95</v>
      </c>
      <c r="B228" s="171" t="s">
        <v>454</v>
      </c>
      <c r="C228" s="163"/>
      <c r="D228" s="164"/>
    </row>
    <row r="229" spans="1:4">
      <c r="A229" s="170">
        <v>96</v>
      </c>
      <c r="B229" s="171" t="s">
        <v>455</v>
      </c>
      <c r="C229" s="163"/>
      <c r="D229" s="164"/>
    </row>
    <row r="230" spans="1:4">
      <c r="A230" s="170">
        <v>97</v>
      </c>
      <c r="B230" s="171" t="s">
        <v>456</v>
      </c>
      <c r="C230" s="163"/>
      <c r="D230" s="164"/>
    </row>
    <row r="231" spans="1:4">
      <c r="A231" s="170">
        <v>98</v>
      </c>
      <c r="B231" s="171" t="s">
        <v>457</v>
      </c>
      <c r="C231" s="163"/>
      <c r="D231" s="164"/>
    </row>
    <row r="232" spans="1:4">
      <c r="A232" s="170">
        <v>99</v>
      </c>
      <c r="B232" s="171" t="s">
        <v>458</v>
      </c>
      <c r="C232" s="163"/>
      <c r="D232" s="164"/>
    </row>
    <row r="233" spans="1:4" ht="13.8" thickBot="1">
      <c r="A233" s="172">
        <v>100</v>
      </c>
      <c r="B233" s="173" t="s">
        <v>459</v>
      </c>
      <c r="C233" s="174"/>
      <c r="D233" s="175"/>
    </row>
  </sheetData>
  <sheetProtection selectLockedCells="1"/>
  <customSheetViews>
    <customSheetView guid="{B85D7887-A299-45C0-BD97-6C28577A6A5C}" hiddenColumns="1" state="hidden" topLeftCell="P1">
      <selection activeCell="DT28" sqref="DT28"/>
      <pageMargins left="0.75" right="0.75" top="1" bottom="1" header="0.5" footer="0.5"/>
      <pageSetup orientation="portrait" r:id="rId1"/>
      <headerFooter alignWithMargins="0"/>
    </customSheetView>
    <customSheetView guid="{CA9345C4-09FE-4F27-BFD9-3D9BCD2DED09}" hiddenColumns="1" state="hidden" topLeftCell="P1">
      <selection activeCell="DT28" sqref="DT28"/>
      <pageMargins left="0.75" right="0.75" top="1" bottom="1" header="0.5" footer="0.5"/>
      <pageSetup orientation="portrait" r:id="rId2"/>
      <headerFooter alignWithMargins="0"/>
    </customSheetView>
    <customSheetView guid="{7AB1F867-F01E-4EB9-A93D-DDCFDB9AA444}"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497EA202-A8B8-45C5-9E6C-C3CD104F3979}"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D5521983-A70D-48A3-9506-C0263CBBC57D}" hiddenColumns="1" state="hidden" topLeftCell="P1">
      <selection activeCell="DT28" sqref="DT28"/>
      <pageMargins left="0.75" right="0.75" top="1" bottom="1" header="0.5" footer="0.5"/>
      <pageSetup orientation="portrait" r:id="rId7"/>
      <headerFooter alignWithMargins="0"/>
    </customSheetView>
    <customSheetView guid="{12A89170-4F84-482D-A3C5-7890082E7B73}" hiddenColumns="1" state="hidden" topLeftCell="P1">
      <selection activeCell="DT28" sqref="DT28"/>
      <pageMargins left="0.75" right="0.75" top="1" bottom="1" header="0.5" footer="0.5"/>
      <pageSetup orientation="portrait" r:id="rId8"/>
      <headerFooter alignWithMargins="0"/>
    </customSheetView>
    <customSheetView guid="{CCA37BAE-906F-43D5-9FD9-B13563E4B9D7}" hiddenColumns="1" state="hidden" topLeftCell="P1">
      <selection activeCell="DT28" sqref="DT28"/>
      <pageMargins left="0.75" right="0.75" top="1" bottom="1" header="0.5" footer="0.5"/>
      <pageSetup orientation="portrait" r:id="rId9"/>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19"/>
    <col min="2" max="2" width="9.109375" style="20"/>
    <col min="3" max="3" width="83" style="20" customWidth="1"/>
    <col min="4" max="4" width="75.5546875" style="19" customWidth="1"/>
    <col min="5" max="16384" width="9.109375" style="18"/>
  </cols>
  <sheetData>
    <row r="1" spans="1:11" ht="45" customHeight="1">
      <c r="A1" s="794" t="s">
        <v>344</v>
      </c>
      <c r="B1" s="794"/>
      <c r="C1" s="794"/>
      <c r="D1" s="16"/>
      <c r="E1" s="17"/>
      <c r="F1" s="17"/>
      <c r="G1" s="17"/>
      <c r="H1" s="17"/>
      <c r="I1" s="17"/>
      <c r="J1" s="17"/>
      <c r="K1" s="17"/>
    </row>
    <row r="2" spans="1:11" ht="18" customHeight="1">
      <c r="D2" s="13"/>
      <c r="E2" s="21"/>
      <c r="F2" s="21"/>
      <c r="G2" s="21"/>
      <c r="H2" s="21"/>
      <c r="I2" s="21"/>
      <c r="J2" s="21"/>
      <c r="K2" s="21"/>
    </row>
    <row r="3" spans="1:11" ht="18" customHeight="1">
      <c r="A3" s="22" t="s">
        <v>52</v>
      </c>
      <c r="B3" s="20" t="s">
        <v>53</v>
      </c>
      <c r="D3" s="23"/>
      <c r="E3" s="24"/>
      <c r="F3" s="24"/>
      <c r="G3" s="24"/>
      <c r="H3" s="24"/>
      <c r="I3" s="24"/>
      <c r="J3" s="24"/>
      <c r="K3" s="24"/>
    </row>
    <row r="4" spans="1:11" ht="18" customHeight="1">
      <c r="B4" s="25" t="s">
        <v>54</v>
      </c>
      <c r="C4" s="26" t="s">
        <v>55</v>
      </c>
      <c r="D4" s="23"/>
      <c r="E4" s="24"/>
      <c r="F4" s="24"/>
      <c r="G4" s="24"/>
      <c r="H4" s="24"/>
      <c r="I4" s="24"/>
      <c r="J4" s="24"/>
      <c r="K4" s="24"/>
    </row>
    <row r="5" spans="1:11" ht="38.1" customHeight="1">
      <c r="B5" s="25" t="s">
        <v>56</v>
      </c>
      <c r="C5" s="26" t="s">
        <v>57</v>
      </c>
      <c r="D5" s="23"/>
      <c r="E5" s="24"/>
      <c r="F5" s="24"/>
      <c r="G5" s="24"/>
      <c r="H5" s="24"/>
      <c r="I5" s="24"/>
      <c r="J5" s="24"/>
      <c r="K5" s="24"/>
    </row>
    <row r="6" spans="1:11" ht="18" customHeight="1">
      <c r="B6" s="25" t="s">
        <v>58</v>
      </c>
      <c r="C6" s="26" t="s">
        <v>59</v>
      </c>
      <c r="D6" s="23"/>
      <c r="E6" s="24"/>
      <c r="F6" s="24"/>
      <c r="G6" s="24"/>
      <c r="H6" s="24"/>
      <c r="I6" s="24"/>
      <c r="J6" s="24"/>
      <c r="K6" s="24"/>
    </row>
    <row r="7" spans="1:11" ht="18" customHeight="1">
      <c r="B7" s="25" t="s">
        <v>60</v>
      </c>
      <c r="C7" s="26" t="s">
        <v>61</v>
      </c>
      <c r="D7" s="23"/>
      <c r="E7" s="24"/>
      <c r="F7" s="24"/>
      <c r="G7" s="24"/>
      <c r="H7" s="24"/>
      <c r="I7" s="24"/>
      <c r="J7" s="24"/>
      <c r="K7" s="24"/>
    </row>
    <row r="8" spans="1:11" ht="18" customHeight="1">
      <c r="B8" s="25" t="s">
        <v>62</v>
      </c>
      <c r="C8" s="26" t="s">
        <v>63</v>
      </c>
      <c r="D8" s="23"/>
      <c r="E8" s="24"/>
      <c r="F8" s="24"/>
      <c r="G8" s="24"/>
      <c r="H8" s="24"/>
      <c r="I8" s="24"/>
      <c r="J8" s="24"/>
      <c r="K8" s="24"/>
    </row>
    <row r="9" spans="1:11" ht="18" customHeight="1">
      <c r="B9" s="25" t="s">
        <v>64</v>
      </c>
      <c r="C9" s="26" t="s">
        <v>65</v>
      </c>
      <c r="D9" s="23"/>
      <c r="E9" s="24"/>
      <c r="F9" s="24"/>
      <c r="G9" s="24"/>
      <c r="H9" s="24"/>
      <c r="I9" s="24"/>
      <c r="J9" s="24"/>
      <c r="K9" s="24"/>
    </row>
    <row r="10" spans="1:11" ht="18" customHeight="1">
      <c r="B10" s="25"/>
      <c r="C10" s="26"/>
      <c r="D10" s="23"/>
      <c r="E10" s="24"/>
      <c r="F10" s="24"/>
      <c r="G10" s="24"/>
      <c r="H10" s="24"/>
      <c r="I10" s="24"/>
      <c r="J10" s="24"/>
      <c r="K10" s="24"/>
    </row>
    <row r="11" spans="1:11" ht="18" customHeight="1">
      <c r="A11" s="22" t="s">
        <v>66</v>
      </c>
      <c r="B11" s="20" t="s">
        <v>67</v>
      </c>
      <c r="D11" s="23"/>
      <c r="E11" s="24"/>
      <c r="F11" s="24"/>
      <c r="G11" s="24"/>
      <c r="H11" s="24"/>
      <c r="I11" s="24"/>
      <c r="J11" s="24"/>
      <c r="K11" s="24"/>
    </row>
    <row r="12" spans="1:11" ht="18" customHeight="1">
      <c r="B12" s="792" t="s">
        <v>68</v>
      </c>
      <c r="C12" s="792"/>
      <c r="D12" s="27"/>
      <c r="E12" s="24"/>
      <c r="F12" s="24"/>
      <c r="G12" s="24"/>
      <c r="H12" s="24"/>
      <c r="I12" s="24"/>
      <c r="J12" s="24"/>
      <c r="K12" s="24"/>
    </row>
    <row r="13" spans="1:11" ht="18" customHeight="1">
      <c r="B13" s="28"/>
      <c r="C13" s="26" t="s">
        <v>69</v>
      </c>
      <c r="D13" s="23"/>
      <c r="E13" s="24"/>
      <c r="F13" s="24"/>
      <c r="G13" s="24"/>
      <c r="H13" s="24"/>
      <c r="I13" s="24"/>
      <c r="J13" s="24"/>
      <c r="K13" s="24"/>
    </row>
    <row r="14" spans="1:11" ht="18" customHeight="1">
      <c r="B14" s="792" t="s">
        <v>70</v>
      </c>
      <c r="C14" s="792"/>
      <c r="D14" s="27"/>
      <c r="E14" s="24"/>
      <c r="F14" s="24"/>
      <c r="G14" s="24"/>
      <c r="H14" s="24"/>
      <c r="I14" s="24"/>
      <c r="J14" s="24"/>
      <c r="K14" s="24"/>
    </row>
    <row r="15" spans="1:11" ht="38.1" customHeight="1">
      <c r="B15" s="29" t="s">
        <v>71</v>
      </c>
      <c r="C15" s="26" t="s">
        <v>72</v>
      </c>
      <c r="D15" s="23"/>
      <c r="E15" s="24"/>
      <c r="F15" s="24"/>
      <c r="G15" s="24"/>
      <c r="H15" s="24"/>
      <c r="I15" s="24"/>
      <c r="J15" s="24"/>
      <c r="K15" s="24"/>
    </row>
    <row r="16" spans="1:11" ht="36" customHeight="1">
      <c r="B16" s="29" t="s">
        <v>71</v>
      </c>
      <c r="C16" s="26" t="s">
        <v>73</v>
      </c>
      <c r="D16" s="23"/>
      <c r="E16" s="24"/>
      <c r="F16" s="24"/>
      <c r="G16" s="24"/>
      <c r="H16" s="24"/>
      <c r="I16" s="24"/>
      <c r="J16" s="24"/>
      <c r="K16" s="24"/>
    </row>
    <row r="17" spans="2:11" ht="42" customHeight="1">
      <c r="B17" s="29" t="s">
        <v>71</v>
      </c>
      <c r="C17" s="26" t="s">
        <v>74</v>
      </c>
      <c r="D17" s="23"/>
      <c r="E17" s="24"/>
      <c r="F17" s="24"/>
      <c r="G17" s="24"/>
      <c r="H17" s="24"/>
      <c r="I17" s="24"/>
      <c r="J17" s="24"/>
      <c r="K17" s="24"/>
    </row>
    <row r="18" spans="2:11" ht="18" customHeight="1">
      <c r="B18" s="29" t="s">
        <v>71</v>
      </c>
      <c r="C18" s="26" t="s">
        <v>75</v>
      </c>
      <c r="D18" s="23"/>
      <c r="E18" s="24"/>
      <c r="F18" s="24"/>
      <c r="G18" s="24"/>
      <c r="H18" s="24"/>
      <c r="I18" s="24"/>
      <c r="J18" s="24"/>
      <c r="K18" s="24"/>
    </row>
    <row r="19" spans="2:11" ht="18" customHeight="1">
      <c r="B19" s="29" t="s">
        <v>71</v>
      </c>
      <c r="C19" s="30" t="s">
        <v>76</v>
      </c>
      <c r="D19" s="23"/>
      <c r="E19" s="24"/>
      <c r="F19" s="24"/>
      <c r="G19" s="24"/>
      <c r="H19" s="24"/>
      <c r="I19" s="24"/>
      <c r="J19" s="24"/>
      <c r="K19" s="24"/>
    </row>
    <row r="20" spans="2:11" ht="18" customHeight="1">
      <c r="B20" s="29" t="s">
        <v>71</v>
      </c>
      <c r="C20" s="26" t="s">
        <v>77</v>
      </c>
      <c r="D20" s="23"/>
      <c r="E20" s="24"/>
      <c r="F20" s="24"/>
      <c r="G20" s="24"/>
      <c r="H20" s="24"/>
      <c r="I20" s="24"/>
      <c r="J20" s="24"/>
      <c r="K20" s="24"/>
    </row>
    <row r="21" spans="2:11" ht="18" customHeight="1">
      <c r="B21" s="792" t="s">
        <v>78</v>
      </c>
      <c r="C21" s="792"/>
      <c r="D21" s="27"/>
      <c r="E21" s="24"/>
      <c r="F21" s="24"/>
      <c r="G21" s="24"/>
      <c r="H21" s="24"/>
      <c r="I21" s="24"/>
      <c r="J21" s="24"/>
      <c r="K21" s="24"/>
    </row>
    <row r="22" spans="2:11" ht="54" customHeight="1">
      <c r="B22" s="29" t="s">
        <v>71</v>
      </c>
      <c r="C22" s="26" t="s">
        <v>79</v>
      </c>
      <c r="D22" s="23"/>
      <c r="E22" s="24"/>
      <c r="F22" s="24"/>
      <c r="G22" s="24"/>
      <c r="H22" s="24"/>
      <c r="I22" s="24"/>
      <c r="J22" s="24"/>
      <c r="K22" s="24"/>
    </row>
    <row r="23" spans="2:11" ht="54" customHeight="1">
      <c r="B23" s="29" t="s">
        <v>71</v>
      </c>
      <c r="C23" s="26" t="s">
        <v>80</v>
      </c>
      <c r="D23" s="23"/>
      <c r="E23" s="24"/>
      <c r="F23" s="24"/>
      <c r="G23" s="24"/>
      <c r="H23" s="24"/>
      <c r="I23" s="24"/>
      <c r="J23" s="24"/>
      <c r="K23" s="24"/>
    </row>
    <row r="24" spans="2:11" ht="57.6" customHeight="1">
      <c r="B24" s="29" t="s">
        <v>71</v>
      </c>
      <c r="C24" s="26" t="s">
        <v>81</v>
      </c>
      <c r="D24" s="23"/>
      <c r="E24" s="24"/>
      <c r="F24" s="24"/>
      <c r="G24" s="24"/>
      <c r="H24" s="24"/>
      <c r="I24" s="24"/>
      <c r="J24" s="24"/>
      <c r="K24" s="24"/>
    </row>
    <row r="25" spans="2:11" ht="18" customHeight="1">
      <c r="B25" s="29" t="s">
        <v>71</v>
      </c>
      <c r="C25" s="26" t="s">
        <v>82</v>
      </c>
      <c r="D25" s="23"/>
      <c r="E25" s="24"/>
      <c r="F25" s="24"/>
      <c r="G25" s="24"/>
      <c r="H25" s="24"/>
      <c r="I25" s="24"/>
      <c r="J25" s="24"/>
      <c r="K25" s="24"/>
    </row>
    <row r="26" spans="2:11" ht="38.1" customHeight="1">
      <c r="B26" s="29" t="s">
        <v>71</v>
      </c>
      <c r="C26" s="26" t="s">
        <v>83</v>
      </c>
      <c r="D26" s="23"/>
      <c r="E26" s="24"/>
      <c r="F26" s="24"/>
      <c r="G26" s="24"/>
      <c r="H26" s="24"/>
      <c r="I26" s="24"/>
      <c r="J26" s="24"/>
      <c r="K26" s="24"/>
    </row>
    <row r="27" spans="2:11" ht="18" customHeight="1">
      <c r="B27" s="792" t="s">
        <v>84</v>
      </c>
      <c r="C27" s="792"/>
      <c r="D27" s="27"/>
      <c r="E27" s="24"/>
      <c r="F27" s="24"/>
      <c r="G27" s="24"/>
      <c r="H27" s="24"/>
      <c r="I27" s="24"/>
      <c r="J27" s="24"/>
      <c r="K27" s="24"/>
    </row>
    <row r="28" spans="2:11" ht="54" customHeight="1">
      <c r="B28" s="29" t="s">
        <v>71</v>
      </c>
      <c r="C28" s="26" t="s">
        <v>79</v>
      </c>
      <c r="D28" s="23"/>
      <c r="E28" s="24"/>
      <c r="F28" s="24"/>
      <c r="G28" s="24"/>
      <c r="H28" s="24"/>
      <c r="I28" s="24"/>
      <c r="J28" s="24"/>
      <c r="K28" s="24"/>
    </row>
    <row r="29" spans="2:11" ht="18" customHeight="1">
      <c r="B29" s="29" t="s">
        <v>71</v>
      </c>
      <c r="C29" s="26" t="s">
        <v>82</v>
      </c>
      <c r="D29" s="23"/>
      <c r="E29" s="24"/>
      <c r="F29" s="24"/>
      <c r="G29" s="24"/>
      <c r="H29" s="24"/>
      <c r="I29" s="24"/>
      <c r="J29" s="24"/>
      <c r="K29" s="24"/>
    </row>
    <row r="30" spans="2:11" ht="18" customHeight="1">
      <c r="B30" s="792" t="s">
        <v>85</v>
      </c>
      <c r="C30" s="792"/>
      <c r="D30" s="27"/>
    </row>
    <row r="31" spans="2:11" ht="54" customHeight="1">
      <c r="B31" s="29" t="s">
        <v>71</v>
      </c>
      <c r="C31" s="26" t="s">
        <v>79</v>
      </c>
      <c r="D31" s="23"/>
      <c r="E31" s="24"/>
      <c r="F31" s="24"/>
      <c r="G31" s="24"/>
      <c r="H31" s="24"/>
      <c r="I31" s="24"/>
      <c r="J31" s="24"/>
      <c r="K31" s="24"/>
    </row>
    <row r="32" spans="2:11" ht="18" customHeight="1">
      <c r="B32" s="29" t="s">
        <v>71</v>
      </c>
      <c r="C32" s="26" t="s">
        <v>82</v>
      </c>
      <c r="D32" s="23"/>
    </row>
    <row r="33" spans="2:11" ht="18" customHeight="1">
      <c r="B33" s="792" t="s">
        <v>86</v>
      </c>
      <c r="C33" s="792"/>
      <c r="D33" s="27"/>
    </row>
    <row r="34" spans="2:11" ht="18" customHeight="1">
      <c r="B34" s="29" t="s">
        <v>71</v>
      </c>
      <c r="C34" s="26" t="s">
        <v>87</v>
      </c>
      <c r="D34" s="23"/>
    </row>
    <row r="35" spans="2:11" ht="18" customHeight="1">
      <c r="B35" s="792" t="s">
        <v>88</v>
      </c>
      <c r="C35" s="792"/>
      <c r="D35" s="27"/>
    </row>
    <row r="36" spans="2:11" ht="66.599999999999994" customHeight="1">
      <c r="B36" s="29" t="s">
        <v>71</v>
      </c>
      <c r="C36" s="26" t="s">
        <v>89</v>
      </c>
      <c r="D36" s="23"/>
      <c r="E36" s="24"/>
      <c r="F36" s="24"/>
      <c r="G36" s="24"/>
      <c r="H36" s="24"/>
      <c r="I36" s="24"/>
      <c r="J36" s="24"/>
      <c r="K36" s="24"/>
    </row>
    <row r="37" spans="2:11" ht="146.1" customHeight="1">
      <c r="B37" s="29" t="s">
        <v>71</v>
      </c>
      <c r="C37" s="26" t="s">
        <v>90</v>
      </c>
      <c r="D37" s="23"/>
      <c r="E37" s="24"/>
      <c r="F37" s="24"/>
      <c r="G37" s="24"/>
      <c r="H37" s="24"/>
      <c r="I37" s="24"/>
      <c r="J37" s="24"/>
      <c r="K37" s="24"/>
    </row>
    <row r="38" spans="2:11" ht="164.1" customHeight="1">
      <c r="B38" s="29" t="s">
        <v>71</v>
      </c>
      <c r="C38" s="26" t="s">
        <v>91</v>
      </c>
      <c r="D38" s="23"/>
      <c r="E38" s="24"/>
      <c r="F38" s="24"/>
      <c r="G38" s="24"/>
      <c r="H38" s="24"/>
      <c r="I38" s="24"/>
      <c r="J38" s="24"/>
      <c r="K38" s="24"/>
    </row>
    <row r="39" spans="2:11" ht="75.900000000000006" customHeight="1">
      <c r="B39" s="29" t="s">
        <v>71</v>
      </c>
      <c r="C39" s="26" t="s">
        <v>92</v>
      </c>
      <c r="D39" s="23"/>
      <c r="E39" s="24"/>
      <c r="F39" s="24"/>
      <c r="G39" s="24"/>
      <c r="H39" s="24"/>
      <c r="I39" s="24"/>
      <c r="J39" s="24"/>
      <c r="K39" s="24"/>
    </row>
    <row r="40" spans="2:11" ht="38.1" customHeight="1">
      <c r="B40" s="29" t="s">
        <v>71</v>
      </c>
      <c r="C40" s="26" t="s">
        <v>93</v>
      </c>
    </row>
    <row r="41" spans="2:11" ht="18" customHeight="1">
      <c r="B41" s="792" t="s">
        <v>94</v>
      </c>
      <c r="C41" s="792"/>
    </row>
    <row r="42" spans="2:11" ht="38.1" customHeight="1">
      <c r="B42" s="29" t="s">
        <v>71</v>
      </c>
      <c r="C42" s="26" t="s">
        <v>95</v>
      </c>
    </row>
    <row r="43" spans="2:11" ht="18" customHeight="1">
      <c r="B43" s="29" t="s">
        <v>71</v>
      </c>
      <c r="C43" s="31" t="s">
        <v>96</v>
      </c>
    </row>
    <row r="44" spans="2:11" ht="18" customHeight="1">
      <c r="B44" s="792" t="s">
        <v>97</v>
      </c>
      <c r="C44" s="792"/>
    </row>
    <row r="45" spans="2:11" ht="38.1" customHeight="1">
      <c r="B45" s="29" t="s">
        <v>71</v>
      </c>
      <c r="C45" s="26" t="s">
        <v>98</v>
      </c>
    </row>
    <row r="46" spans="2:11" ht="18" customHeight="1">
      <c r="B46" s="29" t="s">
        <v>71</v>
      </c>
      <c r="C46" s="31" t="s">
        <v>96</v>
      </c>
    </row>
    <row r="47" spans="2:11" ht="18" customHeight="1">
      <c r="B47" s="792" t="s">
        <v>99</v>
      </c>
      <c r="C47" s="792" t="s">
        <v>100</v>
      </c>
    </row>
    <row r="48" spans="2:11" ht="48" customHeight="1">
      <c r="B48" s="29" t="s">
        <v>71</v>
      </c>
      <c r="C48" s="26" t="s">
        <v>101</v>
      </c>
    </row>
    <row r="49" spans="1:11" ht="18" customHeight="1">
      <c r="B49" s="29" t="s">
        <v>71</v>
      </c>
      <c r="C49" s="31" t="s">
        <v>96</v>
      </c>
    </row>
    <row r="50" spans="1:11" ht="18" customHeight="1">
      <c r="B50" s="792" t="s">
        <v>102</v>
      </c>
      <c r="C50" s="792"/>
    </row>
    <row r="51" spans="1:11" ht="38.1" customHeight="1">
      <c r="B51" s="29" t="s">
        <v>71</v>
      </c>
      <c r="C51" s="26" t="s">
        <v>103</v>
      </c>
    </row>
    <row r="52" spans="1:11" ht="38.1" customHeight="1">
      <c r="B52" s="29" t="s">
        <v>71</v>
      </c>
      <c r="C52" s="26" t="s">
        <v>104</v>
      </c>
    </row>
    <row r="53" spans="1:11" ht="18" customHeight="1">
      <c r="B53" s="792" t="s">
        <v>105</v>
      </c>
      <c r="C53" s="792"/>
    </row>
    <row r="54" spans="1:11" ht="18" customHeight="1">
      <c r="B54" s="29" t="s">
        <v>71</v>
      </c>
      <c r="C54" s="32" t="s">
        <v>106</v>
      </c>
    </row>
    <row r="55" spans="1:11" ht="18" customHeight="1">
      <c r="B55" s="29" t="s">
        <v>71</v>
      </c>
      <c r="C55" s="32" t="s">
        <v>107</v>
      </c>
    </row>
    <row r="56" spans="1:11" ht="18" customHeight="1">
      <c r="B56" s="792" t="s">
        <v>108</v>
      </c>
      <c r="C56" s="792"/>
    </row>
    <row r="57" spans="1:11" ht="18" customHeight="1">
      <c r="B57" s="29" t="s">
        <v>71</v>
      </c>
      <c r="C57" s="26" t="s">
        <v>109</v>
      </c>
      <c r="D57" s="23"/>
      <c r="E57" s="24"/>
      <c r="F57" s="24"/>
      <c r="G57" s="24"/>
      <c r="H57" s="24"/>
      <c r="I57" s="24"/>
      <c r="J57" s="24"/>
      <c r="K57" s="24"/>
    </row>
    <row r="58" spans="1:11" ht="18" customHeight="1">
      <c r="B58" s="29" t="s">
        <v>71</v>
      </c>
      <c r="C58" s="26" t="s">
        <v>110</v>
      </c>
      <c r="D58" s="23"/>
      <c r="E58" s="24"/>
      <c r="F58" s="24"/>
      <c r="G58" s="24"/>
      <c r="H58" s="24"/>
      <c r="I58" s="24"/>
      <c r="J58" s="24"/>
      <c r="K58" s="24"/>
    </row>
    <row r="59" spans="1:11" ht="36" customHeight="1">
      <c r="B59" s="29" t="s">
        <v>71</v>
      </c>
      <c r="C59" s="26" t="s">
        <v>111</v>
      </c>
      <c r="D59" s="23"/>
      <c r="E59" s="24"/>
      <c r="F59" s="24"/>
      <c r="G59" s="24"/>
      <c r="H59" s="24"/>
      <c r="I59" s="24"/>
      <c r="J59" s="24"/>
      <c r="K59" s="24"/>
    </row>
    <row r="60" spans="1:11" ht="18" customHeight="1">
      <c r="B60" s="29" t="s">
        <v>71</v>
      </c>
      <c r="C60" s="26" t="s">
        <v>112</v>
      </c>
      <c r="D60" s="23"/>
      <c r="E60" s="24"/>
      <c r="F60" s="24"/>
      <c r="G60" s="24"/>
      <c r="H60" s="24"/>
      <c r="I60" s="24"/>
      <c r="J60" s="24"/>
      <c r="K60" s="24"/>
    </row>
    <row r="61" spans="1:11" ht="18" customHeight="1">
      <c r="A61" s="20"/>
      <c r="C61" s="33"/>
    </row>
    <row r="62" spans="1:11" ht="18" customHeight="1">
      <c r="A62" s="793"/>
      <c r="B62" s="793"/>
      <c r="C62" s="793"/>
      <c r="D62" s="34"/>
    </row>
    <row r="63" spans="1:11" ht="18" customHeight="1">
      <c r="A63" s="790" t="s">
        <v>113</v>
      </c>
      <c r="B63" s="790"/>
      <c r="C63" s="790"/>
      <c r="D63" s="34"/>
    </row>
    <row r="64" spans="1:11" ht="36" customHeight="1">
      <c r="A64" s="791" t="s">
        <v>114</v>
      </c>
      <c r="B64" s="791"/>
      <c r="C64" s="791"/>
    </row>
    <row r="65" spans="2:3" ht="18" customHeight="1">
      <c r="B65" s="35"/>
      <c r="C65" s="35"/>
    </row>
    <row r="66" spans="2:3" ht="18" customHeight="1">
      <c r="C66" s="32"/>
    </row>
    <row r="67" spans="2:3" ht="18" customHeight="1">
      <c r="C67" s="33"/>
    </row>
    <row r="68" spans="2:3" ht="18" customHeight="1">
      <c r="C68" s="32"/>
    </row>
    <row r="69" spans="2:3" ht="18" customHeight="1">
      <c r="B69" s="33"/>
      <c r="C69" s="33"/>
    </row>
    <row r="70" spans="2:3" ht="18" customHeight="1">
      <c r="B70" s="33"/>
      <c r="C70" s="33"/>
    </row>
    <row r="71" spans="2:3" ht="18" customHeight="1">
      <c r="B71" s="33"/>
      <c r="C71" s="33"/>
    </row>
    <row r="72" spans="2:3" ht="18" customHeight="1">
      <c r="B72" s="33"/>
      <c r="C72" s="33"/>
    </row>
    <row r="73" spans="2:3" ht="18" customHeight="1">
      <c r="B73" s="33"/>
      <c r="C73" s="33"/>
    </row>
    <row r="74" spans="2:3" ht="18" customHeight="1">
      <c r="B74" s="33"/>
      <c r="C74" s="3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B85D7887-A299-45C0-BD97-6C28577A6A5C}"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A9345C4-09FE-4F27-BFD9-3D9BCD2DED09}"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AB1F867-F01E-4EB9-A93D-DDCFDB9AA44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497EA202-A8B8-45C5-9E6C-C3CD104F3979}"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D5521983-A70D-48A3-9506-C0263CBBC57D}"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12A89170-4F84-482D-A3C5-7890082E7B73}"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70" zoomScaleSheetLayoutView="70" workbookViewId="0">
      <selection activeCell="D28" sqref="D28:G28"/>
    </sheetView>
  </sheetViews>
  <sheetFormatPr defaultColWidth="9.109375" defaultRowHeight="15.6"/>
  <cols>
    <col min="1" max="1" width="3.6640625" style="212" customWidth="1"/>
    <col min="2" max="2" width="33" style="209" customWidth="1"/>
    <col min="3" max="3" width="11.6640625" style="209" customWidth="1"/>
    <col min="4" max="5" width="6.44140625" style="209" customWidth="1"/>
    <col min="6" max="6" width="6.44140625" style="212" customWidth="1"/>
    <col min="7" max="7" width="39" style="212" customWidth="1"/>
    <col min="8" max="8" width="11.88671875" style="212" hidden="1" customWidth="1"/>
    <col min="9" max="10" width="11.88671875" style="212" customWidth="1"/>
    <col min="11" max="11" width="11.88671875" style="212" hidden="1" customWidth="1"/>
    <col min="12" max="25" width="11.88671875" style="212" customWidth="1"/>
    <col min="26" max="26" width="9.109375" style="212" customWidth="1"/>
    <col min="27" max="27" width="15.33203125" style="212" customWidth="1"/>
    <col min="28" max="16384" width="9.109375" style="212"/>
  </cols>
  <sheetData>
    <row r="1" spans="2:29" s="209" customFormat="1" ht="96.6" customHeight="1">
      <c r="B1" s="798"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C1" s="798"/>
      <c r="D1" s="798"/>
      <c r="E1" s="798"/>
      <c r="F1" s="798"/>
      <c r="G1" s="798"/>
      <c r="H1" s="208"/>
      <c r="I1" s="208"/>
      <c r="J1" s="208"/>
      <c r="K1" s="208"/>
      <c r="L1" s="208"/>
      <c r="M1" s="208"/>
      <c r="N1" s="208"/>
      <c r="O1" s="208"/>
      <c r="P1" s="208"/>
      <c r="Q1" s="208"/>
      <c r="R1" s="208"/>
      <c r="S1" s="208"/>
      <c r="T1" s="208"/>
      <c r="U1" s="208"/>
      <c r="V1" s="208"/>
      <c r="W1" s="208"/>
      <c r="X1" s="208"/>
      <c r="Y1" s="208"/>
      <c r="AA1" s="210"/>
      <c r="AB1" s="210"/>
      <c r="AC1" s="210"/>
    </row>
    <row r="2" spans="2:29" ht="16.5" customHeight="1">
      <c r="B2" s="799" t="str">
        <f>Cover!B3</f>
        <v>Spec. No.:CC/NT/W-GIS/DOM/A04/24/01196</v>
      </c>
      <c r="C2" s="799"/>
      <c r="D2" s="799"/>
      <c r="E2" s="799"/>
      <c r="F2" s="799"/>
      <c r="G2" s="799"/>
      <c r="H2" s="209"/>
      <c r="I2" s="209"/>
      <c r="J2" s="209"/>
      <c r="K2" s="209"/>
      <c r="L2" s="209"/>
      <c r="M2" s="209"/>
      <c r="N2" s="209"/>
      <c r="O2" s="209"/>
      <c r="P2" s="209"/>
      <c r="Q2" s="209"/>
      <c r="R2" s="209"/>
      <c r="S2" s="209"/>
      <c r="T2" s="209"/>
      <c r="U2" s="209"/>
      <c r="V2" s="209"/>
      <c r="W2" s="209"/>
      <c r="X2" s="209"/>
      <c r="Y2" s="209"/>
      <c r="AA2" s="212" t="s">
        <v>115</v>
      </c>
      <c r="AB2" s="213">
        <v>1</v>
      </c>
      <c r="AC2" s="214"/>
    </row>
    <row r="3" spans="2:29" ht="12" customHeight="1">
      <c r="B3" s="211"/>
      <c r="C3" s="211"/>
      <c r="D3" s="211"/>
      <c r="E3" s="211"/>
      <c r="F3" s="209"/>
      <c r="G3" s="209"/>
      <c r="H3" s="209"/>
      <c r="I3" s="209"/>
      <c r="J3" s="209"/>
      <c r="K3" s="209"/>
      <c r="L3" s="209"/>
      <c r="M3" s="209"/>
      <c r="N3" s="209"/>
      <c r="O3" s="209"/>
      <c r="P3" s="209"/>
      <c r="Q3" s="209"/>
      <c r="R3" s="209"/>
      <c r="S3" s="209"/>
      <c r="T3" s="209"/>
      <c r="U3" s="209"/>
      <c r="V3" s="209"/>
      <c r="W3" s="209"/>
      <c r="X3" s="209"/>
      <c r="Y3" s="209"/>
      <c r="AA3" s="212" t="s">
        <v>116</v>
      </c>
      <c r="AB3" s="213" t="s">
        <v>117</v>
      </c>
      <c r="AC3" s="214"/>
    </row>
    <row r="4" spans="2:29" ht="20.100000000000001" customHeight="1">
      <c r="B4" s="800" t="s">
        <v>118</v>
      </c>
      <c r="C4" s="800"/>
      <c r="D4" s="800"/>
      <c r="E4" s="800"/>
      <c r="F4" s="800"/>
      <c r="G4" s="800"/>
      <c r="H4" s="209"/>
      <c r="I4" s="209"/>
      <c r="J4" s="209"/>
      <c r="K4" s="209"/>
      <c r="L4" s="209"/>
      <c r="M4" s="209"/>
      <c r="N4" s="209"/>
      <c r="O4" s="209"/>
      <c r="P4" s="209"/>
      <c r="Q4" s="209"/>
      <c r="R4" s="209"/>
      <c r="S4" s="209"/>
      <c r="T4" s="209"/>
      <c r="U4" s="209"/>
      <c r="V4" s="209"/>
      <c r="W4" s="209"/>
      <c r="X4" s="209"/>
      <c r="Y4" s="209"/>
      <c r="AB4" s="213"/>
      <c r="AC4" s="214"/>
    </row>
    <row r="5" spans="2:29" ht="12" customHeight="1">
      <c r="B5" s="215"/>
      <c r="C5" s="215"/>
      <c r="F5" s="209"/>
      <c r="G5" s="209"/>
      <c r="H5" s="209"/>
      <c r="I5" s="209"/>
      <c r="J5" s="209"/>
      <c r="K5" s="209"/>
      <c r="L5" s="209"/>
      <c r="M5" s="209"/>
      <c r="N5" s="209"/>
      <c r="O5" s="209"/>
      <c r="P5" s="209"/>
      <c r="Q5" s="209"/>
      <c r="R5" s="209"/>
      <c r="S5" s="209"/>
      <c r="T5" s="209"/>
      <c r="U5" s="209"/>
      <c r="V5" s="209"/>
      <c r="W5" s="209"/>
      <c r="X5" s="209"/>
      <c r="Y5" s="209"/>
      <c r="AA5" s="214"/>
      <c r="AB5" s="214"/>
      <c r="AC5" s="214"/>
    </row>
    <row r="6" spans="2:29" s="209" customFormat="1" ht="50.25" customHeight="1">
      <c r="B6" s="805" t="s">
        <v>704</v>
      </c>
      <c r="C6" s="805"/>
      <c r="D6" s="801" t="s">
        <v>115</v>
      </c>
      <c r="E6" s="801"/>
      <c r="F6" s="801"/>
      <c r="G6" s="801"/>
      <c r="H6" s="216"/>
      <c r="I6" s="216"/>
      <c r="J6" s="216"/>
      <c r="K6" s="217">
        <f>IF(D6="Sole Bidder", 1,2)</f>
        <v>1</v>
      </c>
      <c r="L6" s="216"/>
      <c r="M6" s="216"/>
      <c r="N6" s="216"/>
      <c r="O6" s="216"/>
      <c r="P6" s="216"/>
      <c r="Q6" s="216"/>
      <c r="R6" s="216"/>
      <c r="S6" s="216"/>
      <c r="U6" s="216"/>
      <c r="V6" s="216"/>
      <c r="W6" s="216"/>
      <c r="X6" s="216"/>
      <c r="Y6" s="216"/>
      <c r="AA6" s="218">
        <f>IF(D6= "Sole Bidder", 0, D7)</f>
        <v>0</v>
      </c>
      <c r="AB6" s="210"/>
      <c r="AC6" s="210"/>
    </row>
    <row r="7" spans="2:29" ht="50.1" customHeight="1">
      <c r="B7" s="219" t="str">
        <f>IF(D6= "JV (Joint Venture)", "Total Nos. of  Partners in the JV [excluding the Lead Partner]", "")</f>
        <v/>
      </c>
      <c r="C7" s="220"/>
      <c r="D7" s="802" t="s">
        <v>117</v>
      </c>
      <c r="E7" s="803"/>
      <c r="F7" s="803"/>
      <c r="G7" s="804"/>
      <c r="AA7" s="214"/>
      <c r="AB7" s="214"/>
      <c r="AC7" s="214"/>
    </row>
    <row r="8" spans="2:29" ht="19.5" customHeight="1">
      <c r="B8" s="221"/>
      <c r="C8" s="221"/>
      <c r="D8" s="216"/>
    </row>
    <row r="9" spans="2:29" ht="20.100000000000001" customHeight="1">
      <c r="B9" s="222" t="str">
        <f>IF(D6= "Sole Bidder", "Name of Sole Bidder", "Name of Lead Partner")</f>
        <v>Name of Sole Bidder</v>
      </c>
      <c r="C9" s="223"/>
      <c r="D9" s="795"/>
      <c r="E9" s="796"/>
      <c r="F9" s="796"/>
      <c r="G9" s="797"/>
    </row>
    <row r="10" spans="2:29" ht="20.100000000000001" customHeight="1">
      <c r="B10" s="224" t="str">
        <f>IF(D6= "Sole Bidder", "Address of Sole Bidder", "Address of Lead Partner")</f>
        <v>Address of Sole Bidder</v>
      </c>
      <c r="C10" s="225"/>
      <c r="D10" s="795"/>
      <c r="E10" s="796"/>
      <c r="F10" s="796"/>
      <c r="G10" s="797"/>
    </row>
    <row r="11" spans="2:29" ht="20.100000000000001" customHeight="1">
      <c r="B11" s="226"/>
      <c r="C11" s="227"/>
      <c r="D11" s="795"/>
      <c r="E11" s="796"/>
      <c r="F11" s="796"/>
      <c r="G11" s="797"/>
    </row>
    <row r="12" spans="2:29" ht="20.100000000000001" customHeight="1">
      <c r="B12" s="228"/>
      <c r="C12" s="229"/>
      <c r="D12" s="795"/>
      <c r="E12" s="796"/>
      <c r="F12" s="796"/>
      <c r="G12" s="797"/>
    </row>
    <row r="13" spans="2:29" ht="20.100000000000001" customHeight="1"/>
    <row r="14" spans="2:29" ht="20.100000000000001" customHeight="1">
      <c r="B14" s="222" t="str">
        <f>IF(D6="JV (Joint Venture)", "Name of other Partner","Name of other Partner - 1")</f>
        <v>Name of other Partner - 1</v>
      </c>
      <c r="C14" s="223"/>
      <c r="D14" s="795"/>
      <c r="E14" s="796"/>
      <c r="F14" s="796"/>
      <c r="G14" s="797"/>
    </row>
    <row r="15" spans="2:29" ht="20.100000000000001" customHeight="1">
      <c r="B15" s="224" t="str">
        <f>IF(D6="JV (Joint Venture)", "Address of other Partner","Address of other Partner - 1")</f>
        <v>Address of other Partner - 1</v>
      </c>
      <c r="C15" s="225"/>
      <c r="D15" s="809"/>
      <c r="E15" s="810"/>
      <c r="F15" s="810"/>
      <c r="G15" s="811"/>
    </row>
    <row r="16" spans="2:29" ht="20.100000000000001" customHeight="1">
      <c r="B16" s="226"/>
      <c r="C16" s="227"/>
      <c r="D16" s="809"/>
      <c r="E16" s="810"/>
      <c r="F16" s="810"/>
      <c r="G16" s="811"/>
    </row>
    <row r="17" spans="2:8" ht="20.100000000000001" customHeight="1">
      <c r="B17" s="228"/>
      <c r="C17" s="229"/>
      <c r="D17" s="809"/>
      <c r="E17" s="810"/>
      <c r="F17" s="810"/>
      <c r="G17" s="811"/>
    </row>
    <row r="18" spans="2:8" ht="20.100000000000001" customHeight="1"/>
    <row r="19" spans="2:8" ht="20.100000000000001" hidden="1" customHeight="1">
      <c r="B19" s="222" t="s">
        <v>120</v>
      </c>
      <c r="C19" s="223"/>
      <c r="D19" s="795" t="s">
        <v>119</v>
      </c>
      <c r="E19" s="796"/>
      <c r="F19" s="796"/>
      <c r="G19" s="797"/>
    </row>
    <row r="20" spans="2:8" ht="20.100000000000001" hidden="1" customHeight="1">
      <c r="B20" s="224" t="s">
        <v>121</v>
      </c>
      <c r="C20" s="225"/>
      <c r="D20" s="795" t="s">
        <v>119</v>
      </c>
      <c r="E20" s="796"/>
      <c r="F20" s="796"/>
      <c r="G20" s="797"/>
    </row>
    <row r="21" spans="2:8" ht="20.100000000000001" hidden="1" customHeight="1">
      <c r="B21" s="226"/>
      <c r="C21" s="227"/>
      <c r="D21" s="795" t="s">
        <v>119</v>
      </c>
      <c r="E21" s="796"/>
      <c r="F21" s="796"/>
      <c r="G21" s="797"/>
    </row>
    <row r="22" spans="2:8" ht="20.100000000000001" hidden="1" customHeight="1">
      <c r="B22" s="228"/>
      <c r="C22" s="229"/>
      <c r="D22" s="795" t="s">
        <v>119</v>
      </c>
      <c r="E22" s="796"/>
      <c r="F22" s="796"/>
      <c r="G22" s="797"/>
    </row>
    <row r="23" spans="2:8" ht="20.100000000000001" customHeight="1"/>
    <row r="24" spans="2:8" ht="21" customHeight="1">
      <c r="B24" s="230" t="s">
        <v>122</v>
      </c>
      <c r="C24" s="231"/>
      <c r="D24" s="806"/>
      <c r="E24" s="807"/>
      <c r="F24" s="807"/>
      <c r="G24" s="808"/>
    </row>
    <row r="25" spans="2:8" ht="21" customHeight="1">
      <c r="B25" s="230" t="s">
        <v>123</v>
      </c>
      <c r="C25" s="231"/>
      <c r="D25" s="795"/>
      <c r="E25" s="812"/>
      <c r="F25" s="812"/>
      <c r="G25" s="813"/>
    </row>
    <row r="26" spans="2:8" ht="21" customHeight="1">
      <c r="B26" s="232"/>
      <c r="C26" s="232"/>
      <c r="D26" s="232"/>
    </row>
    <row r="27" spans="2:8" s="209" customFormat="1" ht="21" customHeight="1">
      <c r="B27" s="230" t="s">
        <v>124</v>
      </c>
      <c r="C27" s="231"/>
      <c r="D27" s="233"/>
      <c r="E27" s="234"/>
      <c r="F27" s="233"/>
      <c r="G27" s="235" t="str">
        <f>IF(D27&gt;H27, "Invalid Date !", "")</f>
        <v/>
      </c>
      <c r="H27" s="210">
        <f>IF(E27="Feb",28,IF(OR(E27="Apr", E27="Jun", E27="Sep", E27="Nov"),30,31))</f>
        <v>31</v>
      </c>
    </row>
    <row r="28" spans="2:8" ht="21" customHeight="1">
      <c r="B28" s="230" t="s">
        <v>125</v>
      </c>
      <c r="C28" s="231"/>
      <c r="D28" s="795"/>
      <c r="E28" s="812"/>
      <c r="F28" s="812"/>
      <c r="G28" s="813"/>
    </row>
    <row r="29" spans="2:8">
      <c r="E29" s="212"/>
    </row>
  </sheetData>
  <sheetProtection algorithmName="SHA-512" hashValue="sKYwuzLp7NoASC+rn5J4sFIWLPYs/awPN87Z96MqoksB1uJuiyYX/cvl95l/uipKeAPR/V5ZTujDin6/BXkq6g==" saltValue="VgdvY5UtS0l4+3DtoxzsOg==" spinCount="100000" sheet="1" formatColumns="0" formatRows="0" selectLockedCells="1"/>
  <customSheetViews>
    <customSheetView guid="{B85D7887-A299-45C0-BD97-6C28577A6A5C}" showGridLines="0" printArea="1" hiddenRows="1" hiddenColumns="1" view="pageBreakPreview" topLeftCell="A4">
      <selection activeCell="D9" sqref="D9:G9"/>
      <pageMargins left="0.75" right="0.75" top="0.69" bottom="0.7" header="0.4" footer="0.37"/>
      <pageSetup scale="86" orientation="portrait" r:id="rId1"/>
      <headerFooter alignWithMargins="0"/>
    </customSheetView>
    <customSheetView guid="{CA9345C4-09FE-4F27-BFD9-3D9BCD2DED09}" showGridLines="0" printArea="1" hiddenRows="1" hiddenColumns="1" view="pageBreakPreview">
      <selection activeCell="D9" sqref="D9:G9"/>
      <pageMargins left="0.75" right="0.75" top="0.69" bottom="0.7" header="0.4" footer="0.37"/>
      <pageSetup scale="86" orientation="portrait" r:id="rId2"/>
      <headerFooter alignWithMargins="0"/>
    </customSheetView>
    <customSheetView guid="{7AB1F867-F01E-4EB9-A93D-DDCFDB9AA44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497EA202-A8B8-45C5-9E6C-C3CD104F3979}" showGridLines="0" printArea="1" hiddenRows="1" hiddenColumns="1" view="pageBreakPreview">
      <selection activeCell="D6" sqref="D6:G6"/>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D5521983-A70D-48A3-9506-C0263CBBC57D}"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12A89170-4F84-482D-A3C5-7890082E7B73}" showGridLines="0" printArea="1" hiddenRows="1" hiddenColumns="1" view="pageBreakPreview">
      <selection activeCell="D9" sqref="D9:G9"/>
      <pageMargins left="0.75" right="0.75" top="0.69" bottom="0.7" header="0.4" footer="0.37"/>
      <pageSetup scale="86" orientation="portrait" r:id="rId11"/>
      <headerFooter alignWithMargins="0"/>
    </customSheetView>
    <customSheetView guid="{CCA37BAE-906F-43D5-9FD9-B13563E4B9D7}" showGridLines="0" printArea="1" hiddenRows="1" hiddenColumns="1" view="pageBreakPreview" topLeftCell="A4">
      <selection activeCell="D9" sqref="D9:G9"/>
      <pageMargins left="0.75" right="0.75" top="0.69" bottom="0.7" header="0.4" footer="0.37"/>
      <pageSetup scale="86" orientation="portrait" r:id="rId12"/>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366"/>
  <sheetViews>
    <sheetView view="pageBreakPreview" topLeftCell="A188" zoomScale="70" zoomScaleNormal="92" zoomScaleSheetLayoutView="70" workbookViewId="0">
      <selection activeCell="I204" sqref="I204"/>
    </sheetView>
  </sheetViews>
  <sheetFormatPr defaultColWidth="9.109375" defaultRowHeight="15.6"/>
  <cols>
    <col min="1" max="1" width="6.44140625" style="241" customWidth="1"/>
    <col min="2" max="2" width="18.6640625" style="241" customWidth="1"/>
    <col min="3" max="3" width="8.5546875" style="241" customWidth="1"/>
    <col min="4" max="4" width="24.88671875" style="300" customWidth="1"/>
    <col min="5" max="5" width="14.44140625" style="241" customWidth="1"/>
    <col min="6" max="6" width="13" style="241" customWidth="1"/>
    <col min="7" max="7" width="17.5546875" style="241" customWidth="1"/>
    <col min="8" max="8" width="12.44140625" style="249" customWidth="1"/>
    <col min="9" max="9" width="17.5546875" style="241" customWidth="1"/>
    <col min="10" max="10" width="61.109375" style="300" customWidth="1"/>
    <col min="11" max="11" width="7.109375" style="241" customWidth="1"/>
    <col min="12" max="12" width="11.109375" style="241" customWidth="1"/>
    <col min="13" max="13" width="16.6640625" style="241" customWidth="1"/>
    <col min="14" max="14" width="21.33203125" style="241" customWidth="1"/>
    <col min="15" max="15" width="14" style="241" hidden="1" customWidth="1"/>
    <col min="16" max="16" width="14.88671875" style="241" hidden="1" customWidth="1"/>
    <col min="17" max="17" width="13" style="241" hidden="1" customWidth="1"/>
    <col min="18" max="18" width="20.109375" style="241" hidden="1" customWidth="1"/>
    <col min="19" max="19" width="16.109375" style="241" hidden="1" customWidth="1"/>
    <col min="20" max="20" width="0.5546875" style="241" customWidth="1"/>
    <col min="21" max="21" width="10" style="241" customWidth="1"/>
    <col min="22" max="22" width="7" style="241" customWidth="1"/>
    <col min="23" max="23" width="9.109375" style="241" customWidth="1"/>
    <col min="24" max="37" width="9.109375" style="241" hidden="1" customWidth="1"/>
    <col min="38" max="38" width="6.109375" style="241" hidden="1" customWidth="1"/>
    <col min="39" max="44" width="9.109375" style="241" customWidth="1"/>
    <col min="45" max="16384" width="9.109375" style="241"/>
  </cols>
  <sheetData>
    <row r="1" spans="1:256" ht="31.5" customHeight="1">
      <c r="A1" s="236" t="str">
        <f>Basic!B5</f>
        <v>Spec. No.:CC/NT/W-GIS/DOM/A04/24/01196</v>
      </c>
      <c r="B1" s="237"/>
      <c r="C1" s="237"/>
      <c r="D1" s="238"/>
      <c r="E1" s="237"/>
      <c r="F1" s="237"/>
      <c r="G1" s="237"/>
      <c r="H1" s="237"/>
      <c r="I1" s="237"/>
      <c r="J1" s="239"/>
      <c r="K1" s="237"/>
      <c r="L1" s="237"/>
      <c r="M1" s="237"/>
      <c r="N1" s="240" t="s">
        <v>699</v>
      </c>
    </row>
    <row r="2" spans="1:256">
      <c r="A2" s="242"/>
      <c r="B2" s="242"/>
      <c r="C2" s="242"/>
      <c r="D2" s="243"/>
      <c r="E2" s="242"/>
      <c r="F2" s="242"/>
      <c r="G2" s="242"/>
      <c r="H2" s="242"/>
      <c r="I2" s="242"/>
      <c r="J2" s="243"/>
      <c r="K2" s="242"/>
      <c r="L2" s="242"/>
      <c r="M2" s="242"/>
      <c r="N2" s="242"/>
    </row>
    <row r="3" spans="1:256" ht="51" customHeight="1">
      <c r="A3" s="814"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14"/>
      <c r="C3" s="814"/>
      <c r="D3" s="814"/>
      <c r="E3" s="814"/>
      <c r="F3" s="814"/>
      <c r="G3" s="814"/>
      <c r="H3" s="814"/>
      <c r="I3" s="814"/>
      <c r="J3" s="814"/>
      <c r="K3" s="814"/>
      <c r="L3" s="814"/>
      <c r="M3" s="814"/>
      <c r="N3" s="814"/>
    </row>
    <row r="4" spans="1:256">
      <c r="A4" s="815" t="s">
        <v>0</v>
      </c>
      <c r="B4" s="815"/>
      <c r="C4" s="815"/>
      <c r="D4" s="815"/>
      <c r="E4" s="815"/>
      <c r="F4" s="815"/>
      <c r="G4" s="815"/>
      <c r="H4" s="815"/>
      <c r="I4" s="815"/>
      <c r="J4" s="815"/>
      <c r="K4" s="815"/>
      <c r="L4" s="815"/>
      <c r="M4" s="815"/>
      <c r="N4" s="815"/>
    </row>
    <row r="5" spans="1:256">
      <c r="A5" s="244"/>
      <c r="B5" s="244"/>
      <c r="C5" s="244"/>
      <c r="D5" s="244"/>
      <c r="E5" s="244"/>
      <c r="F5" s="244"/>
      <c r="G5" s="244"/>
      <c r="H5" s="244"/>
      <c r="I5" s="244"/>
      <c r="J5" s="244"/>
      <c r="K5" s="244"/>
      <c r="L5" s="244"/>
      <c r="M5" s="244"/>
      <c r="N5" s="244"/>
    </row>
    <row r="6" spans="1:256">
      <c r="A6" s="816" t="s">
        <v>346</v>
      </c>
      <c r="B6" s="816"/>
      <c r="C6" s="242"/>
      <c r="D6" s="243"/>
      <c r="E6" s="242"/>
      <c r="F6" s="242"/>
      <c r="G6" s="242"/>
      <c r="H6" s="242"/>
      <c r="I6" s="242"/>
      <c r="J6" s="243"/>
      <c r="K6" s="242"/>
      <c r="L6" s="242"/>
      <c r="M6" s="242"/>
      <c r="N6" s="242"/>
    </row>
    <row r="7" spans="1:256">
      <c r="A7" s="820">
        <f>IF(Z7=1,Z8,"JOINT VENTURE OF "&amp;Z8&amp;" &amp; "&amp;Z9)</f>
        <v>0</v>
      </c>
      <c r="B7" s="820"/>
      <c r="C7" s="820"/>
      <c r="D7" s="820"/>
      <c r="E7" s="820"/>
      <c r="F7" s="820"/>
      <c r="G7" s="820"/>
      <c r="H7" s="820"/>
      <c r="I7" s="820"/>
      <c r="J7" s="246"/>
      <c r="K7" s="247" t="s">
        <v>1</v>
      </c>
      <c r="L7" s="248"/>
      <c r="N7" s="242"/>
      <c r="Z7" s="249">
        <f>'Names of Bidder'!K6</f>
        <v>1</v>
      </c>
    </row>
    <row r="8" spans="1:256">
      <c r="A8" s="817" t="str">
        <f>"Bidder’s Name and Address  (" &amp; MID('Names of Bidder'!B9,9, 20) &amp; ") :"</f>
        <v>Bidder’s Name and Address  (Sole Bidder) :</v>
      </c>
      <c r="B8" s="817"/>
      <c r="C8" s="817"/>
      <c r="D8" s="817"/>
      <c r="E8" s="817"/>
      <c r="F8" s="817"/>
      <c r="G8" s="817"/>
      <c r="H8" s="250"/>
      <c r="I8" s="250"/>
      <c r="J8" s="250"/>
      <c r="K8" s="251" t="s">
        <v>2</v>
      </c>
      <c r="L8" s="250"/>
      <c r="N8" s="242"/>
      <c r="U8" s="252"/>
      <c r="Z8" s="822">
        <f>'Names of Bidder'!D9</f>
        <v>0</v>
      </c>
      <c r="AA8" s="822"/>
      <c r="AB8" s="822"/>
      <c r="AC8" s="822"/>
      <c r="AD8" s="822"/>
      <c r="AE8" s="822"/>
      <c r="AF8" s="822"/>
      <c r="AG8" s="822"/>
      <c r="AH8" s="822"/>
      <c r="AI8" s="822"/>
      <c r="AJ8" s="822"/>
      <c r="AK8" s="822"/>
      <c r="AL8" s="822"/>
    </row>
    <row r="9" spans="1:256">
      <c r="A9" s="245" t="s">
        <v>12</v>
      </c>
      <c r="B9" s="248"/>
      <c r="C9" s="820" t="str">
        <f>IF('Names of Bidder'!D9=0, "", 'Names of Bidder'!D9)</f>
        <v/>
      </c>
      <c r="D9" s="820"/>
      <c r="E9" s="820"/>
      <c r="F9" s="820"/>
      <c r="G9" s="820"/>
      <c r="H9" s="254"/>
      <c r="I9" s="254"/>
      <c r="J9" s="246"/>
      <c r="K9" s="251" t="s">
        <v>3</v>
      </c>
      <c r="N9" s="242"/>
      <c r="U9" s="252"/>
      <c r="Z9" s="822">
        <f>'Names of Bidder'!D14</f>
        <v>0</v>
      </c>
      <c r="AA9" s="822"/>
      <c r="AB9" s="822"/>
      <c r="AC9" s="822"/>
      <c r="AD9" s="822"/>
      <c r="AE9" s="822"/>
      <c r="AF9" s="822"/>
      <c r="AG9" s="822"/>
      <c r="AH9" s="822"/>
      <c r="AI9" s="822"/>
      <c r="AJ9" s="822"/>
      <c r="AK9" s="822"/>
      <c r="AL9" s="822"/>
    </row>
    <row r="10" spans="1:256">
      <c r="A10" s="245" t="s">
        <v>11</v>
      </c>
      <c r="B10" s="248"/>
      <c r="C10" s="819" t="str">
        <f>IF('Names of Bidder'!D10=0, "", 'Names of Bidder'!D10)</f>
        <v/>
      </c>
      <c r="D10" s="819"/>
      <c r="E10" s="819"/>
      <c r="F10" s="819"/>
      <c r="G10" s="819"/>
      <c r="H10" s="254"/>
      <c r="I10" s="254"/>
      <c r="J10" s="246"/>
      <c r="K10" s="251" t="s">
        <v>4</v>
      </c>
      <c r="N10" s="242"/>
      <c r="Z10" s="822" t="str">
        <f>"JOINT VENTURE OF "&amp;Z8&amp;" &amp; "&amp;Z9</f>
        <v>JOINT VENTURE OF 0 &amp; 0</v>
      </c>
      <c r="AA10" s="822"/>
      <c r="AB10" s="822"/>
      <c r="AC10" s="822"/>
      <c r="AD10" s="822"/>
      <c r="AE10" s="822"/>
      <c r="AF10" s="822"/>
      <c r="AG10" s="822"/>
      <c r="AH10" s="822"/>
      <c r="AI10" s="822"/>
      <c r="AJ10" s="822"/>
      <c r="AK10" s="822"/>
      <c r="AL10" s="822"/>
    </row>
    <row r="11" spans="1:256">
      <c r="A11" s="254"/>
      <c r="B11" s="254"/>
      <c r="C11" s="819" t="str">
        <f>IF('Names of Bidder'!D11=0, "", 'Names of Bidder'!D11)</f>
        <v/>
      </c>
      <c r="D11" s="819"/>
      <c r="E11" s="819"/>
      <c r="F11" s="819"/>
      <c r="G11" s="819"/>
      <c r="H11" s="254"/>
      <c r="I11" s="254"/>
      <c r="J11" s="246"/>
      <c r="K11" s="251" t="s">
        <v>5</v>
      </c>
      <c r="N11" s="242"/>
    </row>
    <row r="12" spans="1:256">
      <c r="A12" s="254"/>
      <c r="B12" s="254"/>
      <c r="C12" s="819" t="str">
        <f>IF('Names of Bidder'!D12=0, "", 'Names of Bidder'!D12)</f>
        <v/>
      </c>
      <c r="D12" s="819"/>
      <c r="E12" s="819"/>
      <c r="F12" s="819"/>
      <c r="G12" s="819"/>
      <c r="H12" s="254"/>
      <c r="I12" s="254"/>
      <c r="J12" s="246"/>
      <c r="K12" s="251" t="s">
        <v>6</v>
      </c>
      <c r="N12" s="242"/>
    </row>
    <row r="13" spans="1:256" s="256" customFormat="1">
      <c r="A13" s="821" t="s">
        <v>306</v>
      </c>
      <c r="B13" s="821"/>
      <c r="C13" s="821"/>
      <c r="D13" s="821"/>
      <c r="E13" s="821"/>
      <c r="F13" s="821"/>
      <c r="G13" s="821"/>
      <c r="H13" s="821"/>
      <c r="I13" s="821"/>
      <c r="J13" s="821"/>
      <c r="K13" s="821"/>
      <c r="L13" s="821"/>
      <c r="M13" s="821"/>
      <c r="N13" s="821"/>
    </row>
    <row r="14" spans="1:256">
      <c r="A14" s="242"/>
      <c r="B14" s="242"/>
      <c r="C14" s="242"/>
      <c r="D14" s="243"/>
      <c r="E14" s="242"/>
      <c r="F14" s="242"/>
      <c r="G14" s="242"/>
      <c r="H14" s="242"/>
      <c r="I14" s="242"/>
      <c r="J14" s="243"/>
      <c r="K14" s="818" t="s">
        <v>350</v>
      </c>
      <c r="L14" s="818"/>
      <c r="M14" s="818"/>
      <c r="N14" s="818"/>
    </row>
    <row r="15" spans="1:256" ht="93.6">
      <c r="A15" s="257" t="s">
        <v>7</v>
      </c>
      <c r="B15" s="257" t="s">
        <v>262</v>
      </c>
      <c r="C15" s="257" t="s">
        <v>274</v>
      </c>
      <c r="D15" s="257" t="s">
        <v>276</v>
      </c>
      <c r="E15" s="257" t="s">
        <v>13</v>
      </c>
      <c r="F15" s="257" t="s">
        <v>307</v>
      </c>
      <c r="G15" s="258" t="s">
        <v>486</v>
      </c>
      <c r="H15" s="257" t="s">
        <v>311</v>
      </c>
      <c r="I15" s="259" t="s">
        <v>487</v>
      </c>
      <c r="J15" s="257" t="s">
        <v>8</v>
      </c>
      <c r="K15" s="260" t="s">
        <v>9</v>
      </c>
      <c r="L15" s="260" t="s">
        <v>10</v>
      </c>
      <c r="M15" s="257" t="s">
        <v>349</v>
      </c>
      <c r="N15" s="257" t="s">
        <v>348</v>
      </c>
    </row>
    <row r="16" spans="1:256" s="265" customFormat="1">
      <c r="A16" s="261">
        <v>1</v>
      </c>
      <c r="B16" s="261">
        <v>2</v>
      </c>
      <c r="C16" s="261">
        <v>3</v>
      </c>
      <c r="D16" s="262">
        <v>4</v>
      </c>
      <c r="E16" s="261">
        <v>5</v>
      </c>
      <c r="F16" s="261">
        <v>6</v>
      </c>
      <c r="G16" s="263">
        <v>7</v>
      </c>
      <c r="H16" s="261">
        <v>8</v>
      </c>
      <c r="I16" s="264">
        <v>9</v>
      </c>
      <c r="J16" s="262">
        <v>10</v>
      </c>
      <c r="K16" s="261">
        <v>11</v>
      </c>
      <c r="L16" s="261">
        <v>12</v>
      </c>
      <c r="M16" s="261">
        <v>13</v>
      </c>
      <c r="N16" s="261" t="s">
        <v>347</v>
      </c>
      <c r="IV16" s="265">
        <f>SUM(A16:IU16)</f>
        <v>91</v>
      </c>
    </row>
    <row r="17" spans="1:20" s="273" customFormat="1" ht="18">
      <c r="A17" s="266" t="s">
        <v>52</v>
      </c>
      <c r="B17" s="267" t="s">
        <v>703</v>
      </c>
      <c r="C17" s="268"/>
      <c r="D17" s="269"/>
      <c r="E17" s="268"/>
      <c r="F17" s="268"/>
      <c r="G17" s="270"/>
      <c r="H17" s="268"/>
      <c r="I17" s="271"/>
      <c r="J17" s="269"/>
      <c r="K17" s="268"/>
      <c r="L17" s="268"/>
      <c r="M17" s="272"/>
      <c r="N17" s="268"/>
    </row>
    <row r="18" spans="1:20">
      <c r="A18" s="274">
        <v>1</v>
      </c>
      <c r="B18" s="275">
        <v>7000026407</v>
      </c>
      <c r="C18" s="275">
        <v>10</v>
      </c>
      <c r="D18" s="275" t="s">
        <v>705</v>
      </c>
      <c r="E18" s="275">
        <v>1000004401</v>
      </c>
      <c r="F18" s="275">
        <v>85462040</v>
      </c>
      <c r="G18" s="276"/>
      <c r="H18" s="275">
        <v>18</v>
      </c>
      <c r="I18" s="277"/>
      <c r="J18" s="278" t="s">
        <v>471</v>
      </c>
      <c r="K18" s="275" t="s">
        <v>296</v>
      </c>
      <c r="L18" s="275">
        <v>3</v>
      </c>
      <c r="M18" s="279"/>
      <c r="N18" s="280" t="str">
        <f>IF(M18=0, "INCLUDED", IF(ISERROR(M18*L18), M18, M18*L18))</f>
        <v>INCLUDED</v>
      </c>
      <c r="O18" s="281">
        <f>IF(N18="Included",0,N18)</f>
        <v>0</v>
      </c>
      <c r="P18" s="281">
        <f>IF( I18="",H18*(IF(N18="Included",0,N18))/100,I18*(IF(N18="Included",0,N18)))</f>
        <v>0</v>
      </c>
      <c r="Q18" s="282">
        <f>Discount!$H$36</f>
        <v>0</v>
      </c>
      <c r="R18" s="282">
        <f>Q18*O18</f>
        <v>0</v>
      </c>
      <c r="S18" s="282">
        <f>IF(I18="",H18*R18/100,I18*R18)</f>
        <v>0</v>
      </c>
      <c r="T18" s="283">
        <f>M18*L18</f>
        <v>0</v>
      </c>
    </row>
    <row r="19" spans="1:20">
      <c r="A19" s="284">
        <v>2</v>
      </c>
      <c r="B19" s="275">
        <v>7000026407</v>
      </c>
      <c r="C19" s="275">
        <v>1800</v>
      </c>
      <c r="D19" s="275" t="s">
        <v>705</v>
      </c>
      <c r="E19" s="275">
        <v>1000020419</v>
      </c>
      <c r="F19" s="275">
        <v>85354010</v>
      </c>
      <c r="G19" s="276"/>
      <c r="H19" s="275">
        <v>18</v>
      </c>
      <c r="I19" s="277"/>
      <c r="J19" s="278" t="s">
        <v>501</v>
      </c>
      <c r="K19" s="275" t="s">
        <v>296</v>
      </c>
      <c r="L19" s="275">
        <v>3</v>
      </c>
      <c r="M19" s="279"/>
      <c r="N19" s="280" t="str">
        <f t="shared" ref="N19:N161" si="0">IF(M19=0, "INCLUDED", IF(ISERROR(M19*L19), M19, M19*L19))</f>
        <v>INCLUDED</v>
      </c>
      <c r="O19" s="281">
        <f>IF(N19="Included",0,N19)</f>
        <v>0</v>
      </c>
      <c r="P19" s="281">
        <f>IF( I19="",H19*(IF(N19="Included",0,N19))/100,I19*(IF(N19="Included",0,N19)))</f>
        <v>0</v>
      </c>
      <c r="Q19" s="281">
        <f>Discount!$H$36</f>
        <v>0</v>
      </c>
      <c r="R19" s="282">
        <f>Q19*O19</f>
        <v>0</v>
      </c>
      <c r="S19" s="282">
        <f>IF(I19="",H19*R19/100,I19*R19)</f>
        <v>0</v>
      </c>
      <c r="T19" s="283">
        <f t="shared" ref="T19:T161" si="1">M19*L19</f>
        <v>0</v>
      </c>
    </row>
    <row r="20" spans="1:20">
      <c r="A20" s="274">
        <v>3</v>
      </c>
      <c r="B20" s="275">
        <v>7000026407</v>
      </c>
      <c r="C20" s="275">
        <v>20</v>
      </c>
      <c r="D20" s="275" t="s">
        <v>705</v>
      </c>
      <c r="E20" s="275">
        <v>1000020417</v>
      </c>
      <c r="F20" s="275">
        <v>85354010</v>
      </c>
      <c r="G20" s="276"/>
      <c r="H20" s="275">
        <v>18</v>
      </c>
      <c r="I20" s="277"/>
      <c r="J20" s="278" t="s">
        <v>554</v>
      </c>
      <c r="K20" s="275" t="s">
        <v>296</v>
      </c>
      <c r="L20" s="275">
        <v>3</v>
      </c>
      <c r="M20" s="279"/>
      <c r="N20" s="280" t="str">
        <f t="shared" ref="N20:N160" si="2">IF(M20=0, "INCLUDED", IF(ISERROR(M20*L20), M20, M20*L20))</f>
        <v>INCLUDED</v>
      </c>
      <c r="O20" s="281">
        <f>IF(N20="Included",0,N20)</f>
        <v>0</v>
      </c>
      <c r="P20" s="281">
        <f>IF( I20="",H20*(IF(N20="Included",0,N20))/100,I20*(IF(N20="Included",0,N20)))</f>
        <v>0</v>
      </c>
      <c r="Q20" s="281">
        <f>Discount!$H$36</f>
        <v>0</v>
      </c>
      <c r="R20" s="282">
        <f>Q20*O20</f>
        <v>0</v>
      </c>
      <c r="S20" s="282">
        <f>IF(I20="",H20*R20/100,I20*R20)</f>
        <v>0</v>
      </c>
      <c r="T20" s="283">
        <f t="shared" ref="T20:T160" si="3">M20*L20</f>
        <v>0</v>
      </c>
    </row>
    <row r="21" spans="1:20">
      <c r="A21" s="284">
        <v>4</v>
      </c>
      <c r="B21" s="275">
        <v>7000026407</v>
      </c>
      <c r="C21" s="275">
        <v>30</v>
      </c>
      <c r="D21" s="275" t="s">
        <v>705</v>
      </c>
      <c r="E21" s="275">
        <v>1000001695</v>
      </c>
      <c r="F21" s="275">
        <v>85462040</v>
      </c>
      <c r="G21" s="276"/>
      <c r="H21" s="275">
        <v>18</v>
      </c>
      <c r="I21" s="277"/>
      <c r="J21" s="278" t="s">
        <v>555</v>
      </c>
      <c r="K21" s="275" t="s">
        <v>296</v>
      </c>
      <c r="L21" s="275">
        <v>3</v>
      </c>
      <c r="M21" s="279"/>
      <c r="N21" s="280" t="str">
        <f t="shared" si="2"/>
        <v>INCLUDED</v>
      </c>
      <c r="O21" s="281">
        <f t="shared" ref="O21:O160" si="4">IF(N21="Included",0,N21)</f>
        <v>0</v>
      </c>
      <c r="P21" s="281">
        <f t="shared" ref="P21:P134" si="5">IF( I21="",H21*(IF(N21="Included",0,N21))/100,I21*(IF(N21="Included",0,N21)))</f>
        <v>0</v>
      </c>
      <c r="Q21" s="281">
        <f>Discount!$H$36</f>
        <v>0</v>
      </c>
      <c r="R21" s="282">
        <f t="shared" ref="R21:R160" si="6">Q21*O21</f>
        <v>0</v>
      </c>
      <c r="S21" s="282">
        <f t="shared" ref="S21:S160" si="7">IF(I21="",H21*R21/100,I21*R21)</f>
        <v>0</v>
      </c>
      <c r="T21" s="283">
        <f t="shared" si="3"/>
        <v>0</v>
      </c>
    </row>
    <row r="22" spans="1:20" ht="31.2">
      <c r="A22" s="274">
        <v>5</v>
      </c>
      <c r="B22" s="275">
        <v>7000026407</v>
      </c>
      <c r="C22" s="275">
        <v>40</v>
      </c>
      <c r="D22" s="275" t="s">
        <v>706</v>
      </c>
      <c r="E22" s="275">
        <v>1000001690</v>
      </c>
      <c r="F22" s="275">
        <v>85359030</v>
      </c>
      <c r="G22" s="276"/>
      <c r="H22" s="275">
        <v>18</v>
      </c>
      <c r="I22" s="277"/>
      <c r="J22" s="278" t="s">
        <v>719</v>
      </c>
      <c r="K22" s="275" t="s">
        <v>297</v>
      </c>
      <c r="L22" s="275">
        <v>1</v>
      </c>
      <c r="M22" s="279"/>
      <c r="N22" s="280" t="str">
        <f t="shared" ref="N22:N103" si="8">IF(M22=0, "INCLUDED", IF(ISERROR(M22*L22), M22, M22*L22))</f>
        <v>INCLUDED</v>
      </c>
      <c r="O22" s="281">
        <f t="shared" ref="O22:O102" si="9">IF(N22="Included",0,N22)</f>
        <v>0</v>
      </c>
      <c r="P22" s="281">
        <f t="shared" ref="P22:P52" si="10">IF( I22="",H22*(IF(N22="Included",0,N22))/100,I22*(IF(N22="Included",0,N22)))</f>
        <v>0</v>
      </c>
      <c r="Q22" s="281">
        <f>Discount!$H$36</f>
        <v>0</v>
      </c>
      <c r="R22" s="282">
        <f t="shared" ref="R22:R102" si="11">Q22*O22</f>
        <v>0</v>
      </c>
      <c r="S22" s="282">
        <f t="shared" ref="S22:S102" si="12">IF(I22="",H22*R22/100,I22*R22)</f>
        <v>0</v>
      </c>
      <c r="T22" s="283">
        <f t="shared" ref="T22:T103" si="13">M22*L22</f>
        <v>0</v>
      </c>
    </row>
    <row r="23" spans="1:20">
      <c r="A23" s="284">
        <v>6</v>
      </c>
      <c r="B23" s="275">
        <v>7000026407</v>
      </c>
      <c r="C23" s="275">
        <v>50</v>
      </c>
      <c r="D23" s="275" t="s">
        <v>706</v>
      </c>
      <c r="E23" s="275">
        <v>1000029503</v>
      </c>
      <c r="F23" s="275">
        <v>85389000</v>
      </c>
      <c r="G23" s="276"/>
      <c r="H23" s="275">
        <v>18</v>
      </c>
      <c r="I23" s="277"/>
      <c r="J23" s="278" t="s">
        <v>552</v>
      </c>
      <c r="K23" s="275" t="s">
        <v>296</v>
      </c>
      <c r="L23" s="275">
        <v>3</v>
      </c>
      <c r="M23" s="279"/>
      <c r="N23" s="280" t="str">
        <f t="shared" si="8"/>
        <v>INCLUDED</v>
      </c>
      <c r="O23" s="281">
        <f t="shared" si="9"/>
        <v>0</v>
      </c>
      <c r="P23" s="281">
        <f t="shared" si="10"/>
        <v>0</v>
      </c>
      <c r="Q23" s="281">
        <f>Discount!$H$36</f>
        <v>0</v>
      </c>
      <c r="R23" s="282">
        <f t="shared" si="11"/>
        <v>0</v>
      </c>
      <c r="S23" s="282">
        <f t="shared" si="12"/>
        <v>0</v>
      </c>
      <c r="T23" s="283">
        <f t="shared" si="13"/>
        <v>0</v>
      </c>
    </row>
    <row r="24" spans="1:20" ht="46.8">
      <c r="A24" s="274">
        <v>7</v>
      </c>
      <c r="B24" s="275">
        <v>7000026407</v>
      </c>
      <c r="C24" s="275">
        <v>60</v>
      </c>
      <c r="D24" s="275" t="s">
        <v>706</v>
      </c>
      <c r="E24" s="275">
        <v>1000032784</v>
      </c>
      <c r="F24" s="275">
        <v>85359030</v>
      </c>
      <c r="G24" s="276"/>
      <c r="H24" s="275">
        <v>18</v>
      </c>
      <c r="I24" s="277"/>
      <c r="J24" s="278" t="s">
        <v>720</v>
      </c>
      <c r="K24" s="275" t="s">
        <v>297</v>
      </c>
      <c r="L24" s="275">
        <v>2</v>
      </c>
      <c r="M24" s="279"/>
      <c r="N24" s="280" t="str">
        <f t="shared" si="8"/>
        <v>INCLUDED</v>
      </c>
      <c r="O24" s="281">
        <f t="shared" si="9"/>
        <v>0</v>
      </c>
      <c r="P24" s="281">
        <f t="shared" si="10"/>
        <v>0</v>
      </c>
      <c r="Q24" s="281">
        <f>Discount!$H$36</f>
        <v>0</v>
      </c>
      <c r="R24" s="282">
        <f t="shared" si="11"/>
        <v>0</v>
      </c>
      <c r="S24" s="282">
        <f t="shared" si="12"/>
        <v>0</v>
      </c>
      <c r="T24" s="283">
        <f t="shared" si="13"/>
        <v>0</v>
      </c>
    </row>
    <row r="25" spans="1:20" ht="62.4">
      <c r="A25" s="284">
        <v>8</v>
      </c>
      <c r="B25" s="275">
        <v>7000026407</v>
      </c>
      <c r="C25" s="275">
        <v>70</v>
      </c>
      <c r="D25" s="275" t="s">
        <v>706</v>
      </c>
      <c r="E25" s="275">
        <v>1000061111</v>
      </c>
      <c r="F25" s="275">
        <v>85359030</v>
      </c>
      <c r="G25" s="276"/>
      <c r="H25" s="275">
        <v>18</v>
      </c>
      <c r="I25" s="277"/>
      <c r="J25" s="278" t="s">
        <v>721</v>
      </c>
      <c r="K25" s="275" t="s">
        <v>469</v>
      </c>
      <c r="L25" s="275">
        <v>300</v>
      </c>
      <c r="M25" s="279"/>
      <c r="N25" s="280" t="str">
        <f t="shared" si="8"/>
        <v>INCLUDED</v>
      </c>
      <c r="O25" s="281">
        <f t="shared" si="9"/>
        <v>0</v>
      </c>
      <c r="P25" s="281">
        <f t="shared" si="10"/>
        <v>0</v>
      </c>
      <c r="Q25" s="281">
        <f>Discount!$H$36</f>
        <v>0</v>
      </c>
      <c r="R25" s="282">
        <f t="shared" si="11"/>
        <v>0</v>
      </c>
      <c r="S25" s="282">
        <f t="shared" si="12"/>
        <v>0</v>
      </c>
      <c r="T25" s="283">
        <f t="shared" si="13"/>
        <v>0</v>
      </c>
    </row>
    <row r="26" spans="1:20" ht="46.8">
      <c r="A26" s="274">
        <v>9</v>
      </c>
      <c r="B26" s="275">
        <v>7000026407</v>
      </c>
      <c r="C26" s="275">
        <v>90</v>
      </c>
      <c r="D26" s="275" t="s">
        <v>707</v>
      </c>
      <c r="E26" s="275">
        <v>1000004287</v>
      </c>
      <c r="F26" s="275">
        <v>85389000</v>
      </c>
      <c r="G26" s="276"/>
      <c r="H26" s="275">
        <v>18</v>
      </c>
      <c r="I26" s="277"/>
      <c r="J26" s="278" t="s">
        <v>614</v>
      </c>
      <c r="K26" s="275" t="s">
        <v>469</v>
      </c>
      <c r="L26" s="275">
        <v>650</v>
      </c>
      <c r="M26" s="279"/>
      <c r="N26" s="280" t="str">
        <f t="shared" si="8"/>
        <v>INCLUDED</v>
      </c>
      <c r="O26" s="281">
        <f t="shared" si="9"/>
        <v>0</v>
      </c>
      <c r="P26" s="281">
        <f t="shared" si="10"/>
        <v>0</v>
      </c>
      <c r="Q26" s="281">
        <f>Discount!$H$36</f>
        <v>0</v>
      </c>
      <c r="R26" s="282">
        <f t="shared" si="11"/>
        <v>0</v>
      </c>
      <c r="S26" s="282">
        <f t="shared" si="12"/>
        <v>0</v>
      </c>
      <c r="T26" s="283">
        <f t="shared" si="13"/>
        <v>0</v>
      </c>
    </row>
    <row r="27" spans="1:20" ht="31.2">
      <c r="A27" s="284">
        <v>10</v>
      </c>
      <c r="B27" s="275">
        <v>7000026407</v>
      </c>
      <c r="C27" s="275">
        <v>100</v>
      </c>
      <c r="D27" s="275" t="s">
        <v>707</v>
      </c>
      <c r="E27" s="275">
        <v>1000032699</v>
      </c>
      <c r="F27" s="275">
        <v>85389000</v>
      </c>
      <c r="G27" s="276"/>
      <c r="H27" s="275">
        <v>18</v>
      </c>
      <c r="I27" s="277"/>
      <c r="J27" s="278" t="s">
        <v>655</v>
      </c>
      <c r="K27" s="275" t="s">
        <v>296</v>
      </c>
      <c r="L27" s="275">
        <v>3</v>
      </c>
      <c r="M27" s="279"/>
      <c r="N27" s="280" t="str">
        <f t="shared" si="8"/>
        <v>INCLUDED</v>
      </c>
      <c r="O27" s="281">
        <f t="shared" si="9"/>
        <v>0</v>
      </c>
      <c r="P27" s="281">
        <f t="shared" si="10"/>
        <v>0</v>
      </c>
      <c r="Q27" s="281">
        <f>Discount!$H$36</f>
        <v>0</v>
      </c>
      <c r="R27" s="282">
        <f t="shared" si="11"/>
        <v>0</v>
      </c>
      <c r="S27" s="282">
        <f t="shared" si="12"/>
        <v>0</v>
      </c>
      <c r="T27" s="283">
        <f t="shared" si="13"/>
        <v>0</v>
      </c>
    </row>
    <row r="28" spans="1:20" ht="31.2">
      <c r="A28" s="274">
        <v>11</v>
      </c>
      <c r="B28" s="275">
        <v>7000026407</v>
      </c>
      <c r="C28" s="275">
        <v>110</v>
      </c>
      <c r="D28" s="275" t="s">
        <v>707</v>
      </c>
      <c r="E28" s="275">
        <v>1000004637</v>
      </c>
      <c r="F28" s="275">
        <v>85359030</v>
      </c>
      <c r="G28" s="276"/>
      <c r="H28" s="275">
        <v>18</v>
      </c>
      <c r="I28" s="277"/>
      <c r="J28" s="278" t="s">
        <v>612</v>
      </c>
      <c r="K28" s="275" t="s">
        <v>297</v>
      </c>
      <c r="L28" s="275">
        <v>1</v>
      </c>
      <c r="M28" s="279"/>
      <c r="N28" s="280" t="str">
        <f t="shared" si="8"/>
        <v>INCLUDED</v>
      </c>
      <c r="O28" s="281">
        <f t="shared" si="9"/>
        <v>0</v>
      </c>
      <c r="P28" s="281">
        <f t="shared" si="10"/>
        <v>0</v>
      </c>
      <c r="Q28" s="281">
        <f>Discount!$H$36</f>
        <v>0</v>
      </c>
      <c r="R28" s="282">
        <f t="shared" si="11"/>
        <v>0</v>
      </c>
      <c r="S28" s="282">
        <f t="shared" si="12"/>
        <v>0</v>
      </c>
      <c r="T28" s="283">
        <f t="shared" si="13"/>
        <v>0</v>
      </c>
    </row>
    <row r="29" spans="1:20" ht="31.2">
      <c r="A29" s="284">
        <v>12</v>
      </c>
      <c r="B29" s="275">
        <v>7000026407</v>
      </c>
      <c r="C29" s="275">
        <v>120</v>
      </c>
      <c r="D29" s="275" t="s">
        <v>707</v>
      </c>
      <c r="E29" s="275">
        <v>1000004635</v>
      </c>
      <c r="F29" s="275">
        <v>85359030</v>
      </c>
      <c r="G29" s="276"/>
      <c r="H29" s="275">
        <v>18</v>
      </c>
      <c r="I29" s="277"/>
      <c r="J29" s="278" t="s">
        <v>722</v>
      </c>
      <c r="K29" s="275" t="s">
        <v>297</v>
      </c>
      <c r="L29" s="275">
        <v>1</v>
      </c>
      <c r="M29" s="279"/>
      <c r="N29" s="280" t="str">
        <f t="shared" si="8"/>
        <v>INCLUDED</v>
      </c>
      <c r="O29" s="281">
        <f t="shared" si="9"/>
        <v>0</v>
      </c>
      <c r="P29" s="281">
        <f t="shared" si="10"/>
        <v>0</v>
      </c>
      <c r="Q29" s="281">
        <f>Discount!$H$36</f>
        <v>0</v>
      </c>
      <c r="R29" s="282">
        <f t="shared" si="11"/>
        <v>0</v>
      </c>
      <c r="S29" s="282">
        <f t="shared" si="12"/>
        <v>0</v>
      </c>
      <c r="T29" s="283">
        <f t="shared" si="13"/>
        <v>0</v>
      </c>
    </row>
    <row r="30" spans="1:20" ht="46.8">
      <c r="A30" s="274">
        <v>13</v>
      </c>
      <c r="B30" s="275">
        <v>7000026407</v>
      </c>
      <c r="C30" s="275">
        <v>130</v>
      </c>
      <c r="D30" s="275" t="s">
        <v>707</v>
      </c>
      <c r="E30" s="275">
        <v>1000034097</v>
      </c>
      <c r="F30" s="275">
        <v>85389000</v>
      </c>
      <c r="G30" s="276"/>
      <c r="H30" s="275">
        <v>18</v>
      </c>
      <c r="I30" s="277"/>
      <c r="J30" s="278" t="s">
        <v>723</v>
      </c>
      <c r="K30" s="275" t="s">
        <v>297</v>
      </c>
      <c r="L30" s="275">
        <v>1</v>
      </c>
      <c r="M30" s="279"/>
      <c r="N30" s="280" t="str">
        <f t="shared" si="8"/>
        <v>INCLUDED</v>
      </c>
      <c r="O30" s="281">
        <f t="shared" si="9"/>
        <v>0</v>
      </c>
      <c r="P30" s="281">
        <f t="shared" si="10"/>
        <v>0</v>
      </c>
      <c r="Q30" s="281">
        <f>Discount!$H$36</f>
        <v>0</v>
      </c>
      <c r="R30" s="282">
        <f t="shared" si="11"/>
        <v>0</v>
      </c>
      <c r="S30" s="282">
        <f t="shared" si="12"/>
        <v>0</v>
      </c>
      <c r="T30" s="283">
        <f t="shared" si="13"/>
        <v>0</v>
      </c>
    </row>
    <row r="31" spans="1:20">
      <c r="A31" s="284">
        <v>14</v>
      </c>
      <c r="B31" s="275">
        <v>7000026407</v>
      </c>
      <c r="C31" s="275">
        <v>140</v>
      </c>
      <c r="D31" s="275" t="s">
        <v>707</v>
      </c>
      <c r="E31" s="275">
        <v>1000032802</v>
      </c>
      <c r="F31" s="275">
        <v>85359030</v>
      </c>
      <c r="G31" s="276"/>
      <c r="H31" s="275">
        <v>18</v>
      </c>
      <c r="I31" s="277"/>
      <c r="J31" s="278" t="s">
        <v>615</v>
      </c>
      <c r="K31" s="275" t="s">
        <v>297</v>
      </c>
      <c r="L31" s="275">
        <v>2</v>
      </c>
      <c r="M31" s="279"/>
      <c r="N31" s="280" t="str">
        <f t="shared" si="8"/>
        <v>INCLUDED</v>
      </c>
      <c r="O31" s="281">
        <f t="shared" si="9"/>
        <v>0</v>
      </c>
      <c r="P31" s="281">
        <f t="shared" si="10"/>
        <v>0</v>
      </c>
      <c r="Q31" s="281">
        <f>Discount!$H$36</f>
        <v>0</v>
      </c>
      <c r="R31" s="282">
        <f t="shared" si="11"/>
        <v>0</v>
      </c>
      <c r="S31" s="282">
        <f t="shared" si="12"/>
        <v>0</v>
      </c>
      <c r="T31" s="283">
        <f t="shared" si="13"/>
        <v>0</v>
      </c>
    </row>
    <row r="32" spans="1:20" ht="31.2">
      <c r="A32" s="274">
        <v>15</v>
      </c>
      <c r="B32" s="275">
        <v>7000026407</v>
      </c>
      <c r="C32" s="275">
        <v>160</v>
      </c>
      <c r="D32" s="275" t="s">
        <v>708</v>
      </c>
      <c r="E32" s="275">
        <v>1000055446</v>
      </c>
      <c r="F32" s="275">
        <v>85371000</v>
      </c>
      <c r="G32" s="276"/>
      <c r="H32" s="275">
        <v>18</v>
      </c>
      <c r="I32" s="277"/>
      <c r="J32" s="278" t="s">
        <v>656</v>
      </c>
      <c r="K32" s="275" t="s">
        <v>296</v>
      </c>
      <c r="L32" s="275">
        <v>3</v>
      </c>
      <c r="M32" s="279"/>
      <c r="N32" s="280" t="str">
        <f t="shared" si="8"/>
        <v>INCLUDED</v>
      </c>
      <c r="O32" s="281">
        <f t="shared" si="9"/>
        <v>0</v>
      </c>
      <c r="P32" s="281">
        <f t="shared" si="10"/>
        <v>0</v>
      </c>
      <c r="Q32" s="281">
        <f>Discount!$H$36</f>
        <v>0</v>
      </c>
      <c r="R32" s="282">
        <f t="shared" si="11"/>
        <v>0</v>
      </c>
      <c r="S32" s="282">
        <f t="shared" si="12"/>
        <v>0</v>
      </c>
      <c r="T32" s="283">
        <f t="shared" si="13"/>
        <v>0</v>
      </c>
    </row>
    <row r="33" spans="1:20" ht="31.2">
      <c r="A33" s="284">
        <v>16</v>
      </c>
      <c r="B33" s="275">
        <v>7000026407</v>
      </c>
      <c r="C33" s="275">
        <v>170</v>
      </c>
      <c r="D33" s="275" t="s">
        <v>708</v>
      </c>
      <c r="E33" s="275">
        <v>1000002146</v>
      </c>
      <c r="F33" s="275">
        <v>85371000</v>
      </c>
      <c r="G33" s="276"/>
      <c r="H33" s="275">
        <v>18</v>
      </c>
      <c r="I33" s="277"/>
      <c r="J33" s="278" t="s">
        <v>616</v>
      </c>
      <c r="K33" s="275" t="s">
        <v>297</v>
      </c>
      <c r="L33" s="275">
        <v>1</v>
      </c>
      <c r="M33" s="279"/>
      <c r="N33" s="280" t="str">
        <f t="shared" si="8"/>
        <v>INCLUDED</v>
      </c>
      <c r="O33" s="281">
        <f t="shared" si="9"/>
        <v>0</v>
      </c>
      <c r="P33" s="281">
        <f t="shared" si="10"/>
        <v>0</v>
      </c>
      <c r="Q33" s="281">
        <f>Discount!$H$36</f>
        <v>0</v>
      </c>
      <c r="R33" s="282">
        <f t="shared" si="11"/>
        <v>0</v>
      </c>
      <c r="S33" s="282">
        <f t="shared" si="12"/>
        <v>0</v>
      </c>
      <c r="T33" s="283">
        <f t="shared" si="13"/>
        <v>0</v>
      </c>
    </row>
    <row r="34" spans="1:20">
      <c r="A34" s="274">
        <v>17</v>
      </c>
      <c r="B34" s="275">
        <v>7000026407</v>
      </c>
      <c r="C34" s="275">
        <v>180</v>
      </c>
      <c r="D34" s="275" t="s">
        <v>708</v>
      </c>
      <c r="E34" s="275">
        <v>1000025391</v>
      </c>
      <c r="F34" s="275">
        <v>82032000</v>
      </c>
      <c r="G34" s="276"/>
      <c r="H34" s="275">
        <v>18</v>
      </c>
      <c r="I34" s="277"/>
      <c r="J34" s="278" t="s">
        <v>508</v>
      </c>
      <c r="K34" s="275" t="s">
        <v>296</v>
      </c>
      <c r="L34" s="275">
        <v>1</v>
      </c>
      <c r="M34" s="279"/>
      <c r="N34" s="280" t="str">
        <f t="shared" si="8"/>
        <v>INCLUDED</v>
      </c>
      <c r="O34" s="281">
        <f t="shared" si="9"/>
        <v>0</v>
      </c>
      <c r="P34" s="281">
        <f t="shared" si="10"/>
        <v>0</v>
      </c>
      <c r="Q34" s="281">
        <f>Discount!$H$36</f>
        <v>0</v>
      </c>
      <c r="R34" s="282">
        <f t="shared" si="11"/>
        <v>0</v>
      </c>
      <c r="S34" s="282">
        <f t="shared" si="12"/>
        <v>0</v>
      </c>
      <c r="T34" s="283">
        <f t="shared" si="13"/>
        <v>0</v>
      </c>
    </row>
    <row r="35" spans="1:20" ht="31.2">
      <c r="A35" s="284">
        <v>18</v>
      </c>
      <c r="B35" s="275">
        <v>7000026407</v>
      </c>
      <c r="C35" s="275">
        <v>190</v>
      </c>
      <c r="D35" s="275" t="s">
        <v>708</v>
      </c>
      <c r="E35" s="275">
        <v>1000004274</v>
      </c>
      <c r="F35" s="275">
        <v>85371000</v>
      </c>
      <c r="G35" s="276"/>
      <c r="H35" s="275">
        <v>18</v>
      </c>
      <c r="I35" s="277"/>
      <c r="J35" s="278" t="s">
        <v>724</v>
      </c>
      <c r="K35" s="275" t="s">
        <v>296</v>
      </c>
      <c r="L35" s="275">
        <v>1</v>
      </c>
      <c r="M35" s="279"/>
      <c r="N35" s="280" t="str">
        <f t="shared" si="8"/>
        <v>INCLUDED</v>
      </c>
      <c r="O35" s="281">
        <f t="shared" si="9"/>
        <v>0</v>
      </c>
      <c r="P35" s="281">
        <f t="shared" si="10"/>
        <v>0</v>
      </c>
      <c r="Q35" s="281">
        <f>Discount!$H$36</f>
        <v>0</v>
      </c>
      <c r="R35" s="282">
        <f t="shared" si="11"/>
        <v>0</v>
      </c>
      <c r="S35" s="282">
        <f t="shared" si="12"/>
        <v>0</v>
      </c>
      <c r="T35" s="283">
        <f t="shared" si="13"/>
        <v>0</v>
      </c>
    </row>
    <row r="36" spans="1:20" ht="31.2">
      <c r="A36" s="274">
        <v>19</v>
      </c>
      <c r="B36" s="275">
        <v>7000026407</v>
      </c>
      <c r="C36" s="275">
        <v>200</v>
      </c>
      <c r="D36" s="275" t="s">
        <v>708</v>
      </c>
      <c r="E36" s="275">
        <v>1000055443</v>
      </c>
      <c r="F36" s="275">
        <v>85371000</v>
      </c>
      <c r="G36" s="276"/>
      <c r="H36" s="275">
        <v>18</v>
      </c>
      <c r="I36" s="277"/>
      <c r="J36" s="278" t="s">
        <v>725</v>
      </c>
      <c r="K36" s="275" t="s">
        <v>296</v>
      </c>
      <c r="L36" s="275">
        <v>1</v>
      </c>
      <c r="M36" s="279"/>
      <c r="N36" s="280" t="str">
        <f t="shared" si="8"/>
        <v>INCLUDED</v>
      </c>
      <c r="O36" s="281">
        <f t="shared" si="9"/>
        <v>0</v>
      </c>
      <c r="P36" s="281">
        <f t="shared" si="10"/>
        <v>0</v>
      </c>
      <c r="Q36" s="281">
        <f>Discount!$H$36</f>
        <v>0</v>
      </c>
      <c r="R36" s="282">
        <f t="shared" si="11"/>
        <v>0</v>
      </c>
      <c r="S36" s="282">
        <f t="shared" si="12"/>
        <v>0</v>
      </c>
      <c r="T36" s="283">
        <f t="shared" si="13"/>
        <v>0</v>
      </c>
    </row>
    <row r="37" spans="1:20" ht="31.2">
      <c r="A37" s="284">
        <v>20</v>
      </c>
      <c r="B37" s="275">
        <v>7000026407</v>
      </c>
      <c r="C37" s="275">
        <v>210</v>
      </c>
      <c r="D37" s="275" t="s">
        <v>708</v>
      </c>
      <c r="E37" s="275">
        <v>1000001167</v>
      </c>
      <c r="F37" s="275">
        <v>85371000</v>
      </c>
      <c r="G37" s="276"/>
      <c r="H37" s="275">
        <v>18</v>
      </c>
      <c r="I37" s="277"/>
      <c r="J37" s="278" t="s">
        <v>556</v>
      </c>
      <c r="K37" s="275" t="s">
        <v>297</v>
      </c>
      <c r="L37" s="275">
        <v>1</v>
      </c>
      <c r="M37" s="279"/>
      <c r="N37" s="280" t="str">
        <f t="shared" si="8"/>
        <v>INCLUDED</v>
      </c>
      <c r="O37" s="281">
        <f t="shared" si="9"/>
        <v>0</v>
      </c>
      <c r="P37" s="281">
        <f t="shared" si="10"/>
        <v>0</v>
      </c>
      <c r="Q37" s="281">
        <f>Discount!$H$36</f>
        <v>0</v>
      </c>
      <c r="R37" s="282">
        <f t="shared" si="11"/>
        <v>0</v>
      </c>
      <c r="S37" s="282">
        <f t="shared" si="12"/>
        <v>0</v>
      </c>
      <c r="T37" s="283">
        <f t="shared" si="13"/>
        <v>0</v>
      </c>
    </row>
    <row r="38" spans="1:20" ht="31.2">
      <c r="A38" s="274">
        <v>21</v>
      </c>
      <c r="B38" s="275">
        <v>7000026407</v>
      </c>
      <c r="C38" s="275">
        <v>1450</v>
      </c>
      <c r="D38" s="275" t="s">
        <v>709</v>
      </c>
      <c r="E38" s="275">
        <v>1000001333</v>
      </c>
      <c r="F38" s="275">
        <v>85371000</v>
      </c>
      <c r="G38" s="276"/>
      <c r="H38" s="275">
        <v>18</v>
      </c>
      <c r="I38" s="277"/>
      <c r="J38" s="278" t="s">
        <v>557</v>
      </c>
      <c r="K38" s="275" t="s">
        <v>296</v>
      </c>
      <c r="L38" s="275">
        <v>1</v>
      </c>
      <c r="M38" s="279"/>
      <c r="N38" s="280" t="str">
        <f t="shared" si="8"/>
        <v>INCLUDED</v>
      </c>
      <c r="O38" s="281">
        <f t="shared" si="9"/>
        <v>0</v>
      </c>
      <c r="P38" s="281">
        <f t="shared" si="10"/>
        <v>0</v>
      </c>
      <c r="Q38" s="281">
        <f>Discount!$H$36</f>
        <v>0</v>
      </c>
      <c r="R38" s="282">
        <f t="shared" si="11"/>
        <v>0</v>
      </c>
      <c r="S38" s="282">
        <f t="shared" si="12"/>
        <v>0</v>
      </c>
      <c r="T38" s="283">
        <f t="shared" si="13"/>
        <v>0</v>
      </c>
    </row>
    <row r="39" spans="1:20" ht="31.2">
      <c r="A39" s="284">
        <v>22</v>
      </c>
      <c r="B39" s="275">
        <v>7000026407</v>
      </c>
      <c r="C39" s="275">
        <v>1460</v>
      </c>
      <c r="D39" s="275" t="s">
        <v>709</v>
      </c>
      <c r="E39" s="275">
        <v>1000003409</v>
      </c>
      <c r="F39" s="275">
        <v>85371000</v>
      </c>
      <c r="G39" s="276"/>
      <c r="H39" s="275">
        <v>18</v>
      </c>
      <c r="I39" s="277"/>
      <c r="J39" s="278" t="s">
        <v>617</v>
      </c>
      <c r="K39" s="275" t="s">
        <v>296</v>
      </c>
      <c r="L39" s="275">
        <v>2</v>
      </c>
      <c r="M39" s="279"/>
      <c r="N39" s="280" t="str">
        <f t="shared" si="8"/>
        <v>INCLUDED</v>
      </c>
      <c r="O39" s="281">
        <f t="shared" si="9"/>
        <v>0</v>
      </c>
      <c r="P39" s="281">
        <f t="shared" si="10"/>
        <v>0</v>
      </c>
      <c r="Q39" s="281">
        <f>Discount!$H$36</f>
        <v>0</v>
      </c>
      <c r="R39" s="282">
        <f t="shared" si="11"/>
        <v>0</v>
      </c>
      <c r="S39" s="282">
        <f t="shared" si="12"/>
        <v>0</v>
      </c>
      <c r="T39" s="283">
        <f t="shared" si="13"/>
        <v>0</v>
      </c>
    </row>
    <row r="40" spans="1:20" ht="31.2">
      <c r="A40" s="274">
        <v>23</v>
      </c>
      <c r="B40" s="275">
        <v>7000026407</v>
      </c>
      <c r="C40" s="275">
        <v>1470</v>
      </c>
      <c r="D40" s="275" t="s">
        <v>709</v>
      </c>
      <c r="E40" s="275">
        <v>1000003411</v>
      </c>
      <c r="F40" s="275">
        <v>85371000</v>
      </c>
      <c r="G40" s="276"/>
      <c r="H40" s="275">
        <v>18</v>
      </c>
      <c r="I40" s="277"/>
      <c r="J40" s="278" t="s">
        <v>618</v>
      </c>
      <c r="K40" s="275" t="s">
        <v>296</v>
      </c>
      <c r="L40" s="275">
        <v>1</v>
      </c>
      <c r="M40" s="279"/>
      <c r="N40" s="280" t="str">
        <f t="shared" si="8"/>
        <v>INCLUDED</v>
      </c>
      <c r="O40" s="281">
        <f t="shared" si="9"/>
        <v>0</v>
      </c>
      <c r="P40" s="281">
        <f t="shared" si="10"/>
        <v>0</v>
      </c>
      <c r="Q40" s="281">
        <f>Discount!$H$36</f>
        <v>0</v>
      </c>
      <c r="R40" s="282">
        <f t="shared" si="11"/>
        <v>0</v>
      </c>
      <c r="S40" s="282">
        <f t="shared" si="12"/>
        <v>0</v>
      </c>
      <c r="T40" s="283">
        <f t="shared" si="13"/>
        <v>0</v>
      </c>
    </row>
    <row r="41" spans="1:20" ht="46.8">
      <c r="A41" s="284">
        <v>24</v>
      </c>
      <c r="B41" s="275">
        <v>7000026407</v>
      </c>
      <c r="C41" s="275">
        <v>1480</v>
      </c>
      <c r="D41" s="275" t="s">
        <v>673</v>
      </c>
      <c r="E41" s="275">
        <v>1000011334</v>
      </c>
      <c r="F41" s="275">
        <v>72169990</v>
      </c>
      <c r="G41" s="276"/>
      <c r="H41" s="275">
        <v>18</v>
      </c>
      <c r="I41" s="277"/>
      <c r="J41" s="278" t="s">
        <v>496</v>
      </c>
      <c r="K41" s="275" t="s">
        <v>297</v>
      </c>
      <c r="L41" s="275">
        <v>1</v>
      </c>
      <c r="M41" s="279"/>
      <c r="N41" s="280" t="str">
        <f t="shared" si="8"/>
        <v>INCLUDED</v>
      </c>
      <c r="O41" s="281">
        <f t="shared" si="9"/>
        <v>0</v>
      </c>
      <c r="P41" s="281">
        <f t="shared" si="10"/>
        <v>0</v>
      </c>
      <c r="Q41" s="281">
        <f>Discount!$H$36</f>
        <v>0</v>
      </c>
      <c r="R41" s="282">
        <f t="shared" si="11"/>
        <v>0</v>
      </c>
      <c r="S41" s="282">
        <f t="shared" si="12"/>
        <v>0</v>
      </c>
      <c r="T41" s="283">
        <f t="shared" si="13"/>
        <v>0</v>
      </c>
    </row>
    <row r="42" spans="1:20" ht="46.8">
      <c r="A42" s="274">
        <v>25</v>
      </c>
      <c r="B42" s="275">
        <v>7000026407</v>
      </c>
      <c r="C42" s="275">
        <v>1490</v>
      </c>
      <c r="D42" s="275" t="s">
        <v>673</v>
      </c>
      <c r="E42" s="275">
        <v>1000011252</v>
      </c>
      <c r="F42" s="275">
        <v>72169990</v>
      </c>
      <c r="G42" s="276"/>
      <c r="H42" s="275">
        <v>18</v>
      </c>
      <c r="I42" s="277"/>
      <c r="J42" s="278" t="s">
        <v>726</v>
      </c>
      <c r="K42" s="275" t="s">
        <v>297</v>
      </c>
      <c r="L42" s="275">
        <v>1</v>
      </c>
      <c r="M42" s="279"/>
      <c r="N42" s="280" t="str">
        <f t="shared" si="8"/>
        <v>INCLUDED</v>
      </c>
      <c r="O42" s="281">
        <f t="shared" si="9"/>
        <v>0</v>
      </c>
      <c r="P42" s="281">
        <f t="shared" si="10"/>
        <v>0</v>
      </c>
      <c r="Q42" s="281">
        <f>Discount!$H$36</f>
        <v>0</v>
      </c>
      <c r="R42" s="282">
        <f t="shared" si="11"/>
        <v>0</v>
      </c>
      <c r="S42" s="282">
        <f t="shared" si="12"/>
        <v>0</v>
      </c>
      <c r="T42" s="283">
        <f t="shared" si="13"/>
        <v>0</v>
      </c>
    </row>
    <row r="43" spans="1:20" ht="31.2">
      <c r="A43" s="284">
        <v>26</v>
      </c>
      <c r="B43" s="275">
        <v>7000026407</v>
      </c>
      <c r="C43" s="275">
        <v>250</v>
      </c>
      <c r="D43" s="275" t="s">
        <v>710</v>
      </c>
      <c r="E43" s="275">
        <v>1000004952</v>
      </c>
      <c r="F43" s="275">
        <v>94059900</v>
      </c>
      <c r="G43" s="276"/>
      <c r="H43" s="275">
        <v>18</v>
      </c>
      <c r="I43" s="277"/>
      <c r="J43" s="278" t="s">
        <v>527</v>
      </c>
      <c r="K43" s="275" t="s">
        <v>296</v>
      </c>
      <c r="L43" s="275">
        <v>1</v>
      </c>
      <c r="M43" s="279"/>
      <c r="N43" s="280" t="str">
        <f t="shared" si="8"/>
        <v>INCLUDED</v>
      </c>
      <c r="O43" s="281">
        <f t="shared" si="9"/>
        <v>0</v>
      </c>
      <c r="P43" s="281">
        <f t="shared" si="10"/>
        <v>0</v>
      </c>
      <c r="Q43" s="281">
        <f>Discount!$H$36</f>
        <v>0</v>
      </c>
      <c r="R43" s="282">
        <f t="shared" si="11"/>
        <v>0</v>
      </c>
      <c r="S43" s="282">
        <f t="shared" si="12"/>
        <v>0</v>
      </c>
      <c r="T43" s="283">
        <f t="shared" si="13"/>
        <v>0</v>
      </c>
    </row>
    <row r="44" spans="1:20" ht="31.2">
      <c r="A44" s="274">
        <v>27</v>
      </c>
      <c r="B44" s="275">
        <v>7000026407</v>
      </c>
      <c r="C44" s="275">
        <v>260</v>
      </c>
      <c r="D44" s="275" t="s">
        <v>710</v>
      </c>
      <c r="E44" s="275">
        <v>1000038039</v>
      </c>
      <c r="F44" s="275">
        <v>94051090</v>
      </c>
      <c r="G44" s="276"/>
      <c r="H44" s="275">
        <v>18</v>
      </c>
      <c r="I44" s="277"/>
      <c r="J44" s="278" t="s">
        <v>727</v>
      </c>
      <c r="K44" s="275" t="s">
        <v>296</v>
      </c>
      <c r="L44" s="275">
        <v>10</v>
      </c>
      <c r="M44" s="279"/>
      <c r="N44" s="280" t="str">
        <f t="shared" si="8"/>
        <v>INCLUDED</v>
      </c>
      <c r="O44" s="281">
        <f t="shared" si="9"/>
        <v>0</v>
      </c>
      <c r="P44" s="281">
        <f t="shared" si="10"/>
        <v>0</v>
      </c>
      <c r="Q44" s="281">
        <f>Discount!$H$36</f>
        <v>0</v>
      </c>
      <c r="R44" s="282">
        <f t="shared" si="11"/>
        <v>0</v>
      </c>
      <c r="S44" s="282">
        <f t="shared" si="12"/>
        <v>0</v>
      </c>
      <c r="T44" s="283">
        <f t="shared" si="13"/>
        <v>0</v>
      </c>
    </row>
    <row r="45" spans="1:20" ht="31.2">
      <c r="A45" s="284">
        <v>28</v>
      </c>
      <c r="B45" s="275">
        <v>7000026407</v>
      </c>
      <c r="C45" s="275">
        <v>270</v>
      </c>
      <c r="D45" s="275" t="s">
        <v>710</v>
      </c>
      <c r="E45" s="275">
        <v>1000038325</v>
      </c>
      <c r="F45" s="275">
        <v>94059900</v>
      </c>
      <c r="G45" s="276"/>
      <c r="H45" s="275">
        <v>18</v>
      </c>
      <c r="I45" s="277"/>
      <c r="J45" s="278" t="s">
        <v>503</v>
      </c>
      <c r="K45" s="275" t="s">
        <v>296</v>
      </c>
      <c r="L45" s="275">
        <v>10</v>
      </c>
      <c r="M45" s="279"/>
      <c r="N45" s="280" t="str">
        <f t="shared" si="8"/>
        <v>INCLUDED</v>
      </c>
      <c r="O45" s="281">
        <f t="shared" si="9"/>
        <v>0</v>
      </c>
      <c r="P45" s="281">
        <f t="shared" si="10"/>
        <v>0</v>
      </c>
      <c r="Q45" s="281">
        <f>Discount!$H$36</f>
        <v>0</v>
      </c>
      <c r="R45" s="282">
        <f t="shared" si="11"/>
        <v>0</v>
      </c>
      <c r="S45" s="282">
        <f t="shared" si="12"/>
        <v>0</v>
      </c>
      <c r="T45" s="283">
        <f t="shared" si="13"/>
        <v>0</v>
      </c>
    </row>
    <row r="46" spans="1:20" ht="31.2">
      <c r="A46" s="274">
        <v>29</v>
      </c>
      <c r="B46" s="275">
        <v>7000026407</v>
      </c>
      <c r="C46" s="275">
        <v>280</v>
      </c>
      <c r="D46" s="275" t="s">
        <v>710</v>
      </c>
      <c r="E46" s="275">
        <v>1000001050</v>
      </c>
      <c r="F46" s="275">
        <v>94059900</v>
      </c>
      <c r="G46" s="276"/>
      <c r="H46" s="275">
        <v>18</v>
      </c>
      <c r="I46" s="277"/>
      <c r="J46" s="278" t="s">
        <v>728</v>
      </c>
      <c r="K46" s="275" t="s">
        <v>296</v>
      </c>
      <c r="L46" s="275">
        <v>1</v>
      </c>
      <c r="M46" s="279"/>
      <c r="N46" s="280" t="str">
        <f t="shared" si="8"/>
        <v>INCLUDED</v>
      </c>
      <c r="O46" s="281">
        <f t="shared" si="9"/>
        <v>0</v>
      </c>
      <c r="P46" s="281">
        <f t="shared" si="10"/>
        <v>0</v>
      </c>
      <c r="Q46" s="281">
        <f>Discount!$H$36</f>
        <v>0</v>
      </c>
      <c r="R46" s="282">
        <f t="shared" si="11"/>
        <v>0</v>
      </c>
      <c r="S46" s="282">
        <f t="shared" si="12"/>
        <v>0</v>
      </c>
      <c r="T46" s="283">
        <f t="shared" si="13"/>
        <v>0</v>
      </c>
    </row>
    <row r="47" spans="1:20">
      <c r="A47" s="284">
        <v>30</v>
      </c>
      <c r="B47" s="275">
        <v>7000026407</v>
      </c>
      <c r="C47" s="275">
        <v>290</v>
      </c>
      <c r="D47" s="275" t="s">
        <v>710</v>
      </c>
      <c r="E47" s="275">
        <v>1000014547</v>
      </c>
      <c r="F47" s="275">
        <v>85371000</v>
      </c>
      <c r="G47" s="276"/>
      <c r="H47" s="275">
        <v>18</v>
      </c>
      <c r="I47" s="277"/>
      <c r="J47" s="278" t="s">
        <v>497</v>
      </c>
      <c r="K47" s="275" t="s">
        <v>296</v>
      </c>
      <c r="L47" s="275">
        <v>2</v>
      </c>
      <c r="M47" s="279"/>
      <c r="N47" s="280" t="str">
        <f t="shared" si="8"/>
        <v>INCLUDED</v>
      </c>
      <c r="O47" s="281">
        <f t="shared" si="9"/>
        <v>0</v>
      </c>
      <c r="P47" s="281">
        <f t="shared" si="10"/>
        <v>0</v>
      </c>
      <c r="Q47" s="281">
        <f>Discount!$H$36</f>
        <v>0</v>
      </c>
      <c r="R47" s="282">
        <f t="shared" si="11"/>
        <v>0</v>
      </c>
      <c r="S47" s="282">
        <f t="shared" si="12"/>
        <v>0</v>
      </c>
      <c r="T47" s="283">
        <f t="shared" si="13"/>
        <v>0</v>
      </c>
    </row>
    <row r="48" spans="1:20">
      <c r="A48" s="274">
        <v>31</v>
      </c>
      <c r="B48" s="275">
        <v>7000026407</v>
      </c>
      <c r="C48" s="275">
        <v>300</v>
      </c>
      <c r="D48" s="275" t="s">
        <v>710</v>
      </c>
      <c r="E48" s="275">
        <v>1000001894</v>
      </c>
      <c r="F48" s="275">
        <v>94059900</v>
      </c>
      <c r="G48" s="276"/>
      <c r="H48" s="275">
        <v>18</v>
      </c>
      <c r="I48" s="277"/>
      <c r="J48" s="278" t="s">
        <v>619</v>
      </c>
      <c r="K48" s="275" t="s">
        <v>296</v>
      </c>
      <c r="L48" s="275">
        <v>1</v>
      </c>
      <c r="M48" s="279"/>
      <c r="N48" s="280" t="str">
        <f t="shared" si="8"/>
        <v>INCLUDED</v>
      </c>
      <c r="O48" s="281">
        <f t="shared" si="9"/>
        <v>0</v>
      </c>
      <c r="P48" s="281">
        <f t="shared" si="10"/>
        <v>0</v>
      </c>
      <c r="Q48" s="281">
        <f>Discount!$H$36</f>
        <v>0</v>
      </c>
      <c r="R48" s="282">
        <f t="shared" si="11"/>
        <v>0</v>
      </c>
      <c r="S48" s="282">
        <f t="shared" si="12"/>
        <v>0</v>
      </c>
      <c r="T48" s="283">
        <f t="shared" si="13"/>
        <v>0</v>
      </c>
    </row>
    <row r="49" spans="1:20" ht="46.8">
      <c r="A49" s="284">
        <v>32</v>
      </c>
      <c r="B49" s="275">
        <v>7000026407</v>
      </c>
      <c r="C49" s="275">
        <v>320</v>
      </c>
      <c r="D49" s="275" t="s">
        <v>711</v>
      </c>
      <c r="E49" s="275">
        <v>1000012069</v>
      </c>
      <c r="F49" s="275">
        <v>84248990</v>
      </c>
      <c r="G49" s="276"/>
      <c r="H49" s="275">
        <v>18</v>
      </c>
      <c r="I49" s="277"/>
      <c r="J49" s="278" t="s">
        <v>729</v>
      </c>
      <c r="K49" s="275" t="s">
        <v>297</v>
      </c>
      <c r="L49" s="275">
        <v>1</v>
      </c>
      <c r="M49" s="279"/>
      <c r="N49" s="280" t="str">
        <f t="shared" si="8"/>
        <v>INCLUDED</v>
      </c>
      <c r="O49" s="281">
        <f t="shared" si="9"/>
        <v>0</v>
      </c>
      <c r="P49" s="281">
        <f t="shared" si="10"/>
        <v>0</v>
      </c>
      <c r="Q49" s="281">
        <f>Discount!$H$36</f>
        <v>0</v>
      </c>
      <c r="R49" s="282">
        <f t="shared" si="11"/>
        <v>0</v>
      </c>
      <c r="S49" s="282">
        <f t="shared" si="12"/>
        <v>0</v>
      </c>
      <c r="T49" s="283">
        <f t="shared" si="13"/>
        <v>0</v>
      </c>
    </row>
    <row r="50" spans="1:20">
      <c r="A50" s="274">
        <v>33</v>
      </c>
      <c r="B50" s="275">
        <v>7000026407</v>
      </c>
      <c r="C50" s="275">
        <v>330</v>
      </c>
      <c r="D50" s="275" t="s">
        <v>711</v>
      </c>
      <c r="E50" s="275">
        <v>1000012022</v>
      </c>
      <c r="F50" s="275">
        <v>84241000</v>
      </c>
      <c r="G50" s="276"/>
      <c r="H50" s="275">
        <v>18</v>
      </c>
      <c r="I50" s="277"/>
      <c r="J50" s="278" t="s">
        <v>502</v>
      </c>
      <c r="K50" s="275" t="s">
        <v>296</v>
      </c>
      <c r="L50" s="275">
        <v>1</v>
      </c>
      <c r="M50" s="279"/>
      <c r="N50" s="280" t="str">
        <f t="shared" si="8"/>
        <v>INCLUDED</v>
      </c>
      <c r="O50" s="281">
        <f t="shared" si="9"/>
        <v>0</v>
      </c>
      <c r="P50" s="281">
        <f t="shared" si="10"/>
        <v>0</v>
      </c>
      <c r="Q50" s="281">
        <f>Discount!$H$36</f>
        <v>0</v>
      </c>
      <c r="R50" s="282">
        <f t="shared" si="11"/>
        <v>0</v>
      </c>
      <c r="S50" s="282">
        <f t="shared" si="12"/>
        <v>0</v>
      </c>
      <c r="T50" s="283">
        <f t="shared" si="13"/>
        <v>0</v>
      </c>
    </row>
    <row r="51" spans="1:20">
      <c r="A51" s="284">
        <v>34</v>
      </c>
      <c r="B51" s="275">
        <v>7000026407</v>
      </c>
      <c r="C51" s="275">
        <v>350</v>
      </c>
      <c r="D51" s="275" t="s">
        <v>654</v>
      </c>
      <c r="E51" s="275">
        <v>1000004304</v>
      </c>
      <c r="F51" s="275">
        <v>85371000</v>
      </c>
      <c r="G51" s="276"/>
      <c r="H51" s="275">
        <v>18</v>
      </c>
      <c r="I51" s="277"/>
      <c r="J51" s="278" t="s">
        <v>534</v>
      </c>
      <c r="K51" s="275" t="s">
        <v>297</v>
      </c>
      <c r="L51" s="275">
        <v>1</v>
      </c>
      <c r="M51" s="279"/>
      <c r="N51" s="280" t="str">
        <f t="shared" si="8"/>
        <v>INCLUDED</v>
      </c>
      <c r="O51" s="281">
        <f t="shared" si="9"/>
        <v>0</v>
      </c>
      <c r="P51" s="281">
        <f t="shared" si="10"/>
        <v>0</v>
      </c>
      <c r="Q51" s="281">
        <f>Discount!$H$36</f>
        <v>0</v>
      </c>
      <c r="R51" s="282">
        <f t="shared" si="11"/>
        <v>0</v>
      </c>
      <c r="S51" s="282">
        <f t="shared" si="12"/>
        <v>0</v>
      </c>
      <c r="T51" s="283">
        <f t="shared" si="13"/>
        <v>0</v>
      </c>
    </row>
    <row r="52" spans="1:20">
      <c r="A52" s="274">
        <v>35</v>
      </c>
      <c r="B52" s="275">
        <v>7000026407</v>
      </c>
      <c r="C52" s="275">
        <v>1510</v>
      </c>
      <c r="D52" s="275" t="s">
        <v>712</v>
      </c>
      <c r="E52" s="275">
        <v>1000031964</v>
      </c>
      <c r="F52" s="275">
        <v>85446020</v>
      </c>
      <c r="G52" s="276"/>
      <c r="H52" s="275">
        <v>18</v>
      </c>
      <c r="I52" s="277"/>
      <c r="J52" s="278" t="s">
        <v>536</v>
      </c>
      <c r="K52" s="275" t="s">
        <v>298</v>
      </c>
      <c r="L52" s="275">
        <v>3</v>
      </c>
      <c r="M52" s="279"/>
      <c r="N52" s="280" t="str">
        <f t="shared" si="8"/>
        <v>INCLUDED</v>
      </c>
      <c r="O52" s="281">
        <f t="shared" si="9"/>
        <v>0</v>
      </c>
      <c r="P52" s="281">
        <f t="shared" si="10"/>
        <v>0</v>
      </c>
      <c r="Q52" s="281">
        <f>Discount!$H$36</f>
        <v>0</v>
      </c>
      <c r="R52" s="282">
        <f t="shared" si="11"/>
        <v>0</v>
      </c>
      <c r="S52" s="282">
        <f t="shared" si="12"/>
        <v>0</v>
      </c>
      <c r="T52" s="283">
        <f t="shared" si="13"/>
        <v>0</v>
      </c>
    </row>
    <row r="53" spans="1:20" s="291" customFormat="1">
      <c r="A53" s="284">
        <v>36</v>
      </c>
      <c r="B53" s="286">
        <v>7000026407</v>
      </c>
      <c r="C53" s="286">
        <v>1520</v>
      </c>
      <c r="D53" s="286" t="s">
        <v>712</v>
      </c>
      <c r="E53" s="286">
        <v>1000031987</v>
      </c>
      <c r="F53" s="286">
        <v>85446020</v>
      </c>
      <c r="G53" s="276"/>
      <c r="H53" s="275">
        <v>18</v>
      </c>
      <c r="I53" s="277"/>
      <c r="J53" s="287" t="s">
        <v>506</v>
      </c>
      <c r="K53" s="286" t="s">
        <v>298</v>
      </c>
      <c r="L53" s="275">
        <v>3</v>
      </c>
      <c r="M53" s="279"/>
      <c r="N53" s="280" t="str">
        <f t="shared" si="8"/>
        <v>INCLUDED</v>
      </c>
      <c r="O53" s="288">
        <f t="shared" si="9"/>
        <v>0</v>
      </c>
      <c r="P53" s="288">
        <f>IF( I53="",H53*(IF(N53="Included",0,N53))/100,I53*(IF(N53="Included",0,N53)))</f>
        <v>0</v>
      </c>
      <c r="Q53" s="288">
        <f>Discount!$H$36</f>
        <v>0</v>
      </c>
      <c r="R53" s="289">
        <f t="shared" si="11"/>
        <v>0</v>
      </c>
      <c r="S53" s="289">
        <f t="shared" si="12"/>
        <v>0</v>
      </c>
      <c r="T53" s="290">
        <f t="shared" si="13"/>
        <v>0</v>
      </c>
    </row>
    <row r="54" spans="1:20">
      <c r="A54" s="274">
        <v>37</v>
      </c>
      <c r="B54" s="275">
        <v>7000026407</v>
      </c>
      <c r="C54" s="275">
        <v>1530</v>
      </c>
      <c r="D54" s="275" t="s">
        <v>712</v>
      </c>
      <c r="E54" s="275">
        <v>1000031887</v>
      </c>
      <c r="F54" s="275">
        <v>85446020</v>
      </c>
      <c r="G54" s="276"/>
      <c r="H54" s="275">
        <v>18</v>
      </c>
      <c r="I54" s="277"/>
      <c r="J54" s="278" t="s">
        <v>507</v>
      </c>
      <c r="K54" s="275" t="s">
        <v>298</v>
      </c>
      <c r="L54" s="275">
        <v>1</v>
      </c>
      <c r="M54" s="279"/>
      <c r="N54" s="280" t="str">
        <f t="shared" si="8"/>
        <v>INCLUDED</v>
      </c>
      <c r="O54" s="281">
        <f t="shared" si="9"/>
        <v>0</v>
      </c>
      <c r="P54" s="281">
        <f>IF( I54="",H54*(IF(N54="Included",0,N54))/100,I54*(IF(N54="Included",0,N54)))</f>
        <v>0</v>
      </c>
      <c r="Q54" s="281">
        <f>Discount!$H$36</f>
        <v>0</v>
      </c>
      <c r="R54" s="282">
        <f t="shared" si="11"/>
        <v>0</v>
      </c>
      <c r="S54" s="282">
        <f t="shared" si="12"/>
        <v>0</v>
      </c>
      <c r="T54" s="283">
        <f t="shared" si="13"/>
        <v>0</v>
      </c>
    </row>
    <row r="55" spans="1:20">
      <c r="A55" s="284">
        <v>38</v>
      </c>
      <c r="B55" s="275">
        <v>7000026407</v>
      </c>
      <c r="C55" s="275">
        <v>1540</v>
      </c>
      <c r="D55" s="275" t="s">
        <v>712</v>
      </c>
      <c r="E55" s="275">
        <v>1000056264</v>
      </c>
      <c r="F55" s="275">
        <v>85446020</v>
      </c>
      <c r="G55" s="276"/>
      <c r="H55" s="275">
        <v>18</v>
      </c>
      <c r="I55" s="277"/>
      <c r="J55" s="278" t="s">
        <v>511</v>
      </c>
      <c r="K55" s="275" t="s">
        <v>298</v>
      </c>
      <c r="L55" s="275">
        <v>2</v>
      </c>
      <c r="M55" s="279"/>
      <c r="N55" s="280" t="str">
        <f t="shared" si="8"/>
        <v>INCLUDED</v>
      </c>
      <c r="O55" s="281">
        <f t="shared" si="9"/>
        <v>0</v>
      </c>
      <c r="P55" s="281">
        <f t="shared" ref="P55:P92" si="14">IF( I55="",H55*(IF(N55="Included",0,N55))/100,I55*(IF(N55="Included",0,N55)))</f>
        <v>0</v>
      </c>
      <c r="Q55" s="281">
        <f>Discount!$H$36</f>
        <v>0</v>
      </c>
      <c r="R55" s="282">
        <f t="shared" si="11"/>
        <v>0</v>
      </c>
      <c r="S55" s="282">
        <f t="shared" si="12"/>
        <v>0</v>
      </c>
      <c r="T55" s="283">
        <f t="shared" si="13"/>
        <v>0</v>
      </c>
    </row>
    <row r="56" spans="1:20">
      <c r="A56" s="274">
        <v>39</v>
      </c>
      <c r="B56" s="275">
        <v>7000026407</v>
      </c>
      <c r="C56" s="275">
        <v>1550</v>
      </c>
      <c r="D56" s="275" t="s">
        <v>712</v>
      </c>
      <c r="E56" s="275">
        <v>1000031951</v>
      </c>
      <c r="F56" s="275">
        <v>85446090</v>
      </c>
      <c r="G56" s="276"/>
      <c r="H56" s="275">
        <v>18</v>
      </c>
      <c r="I56" s="277"/>
      <c r="J56" s="278" t="s">
        <v>498</v>
      </c>
      <c r="K56" s="275" t="s">
        <v>298</v>
      </c>
      <c r="L56" s="275">
        <v>0.6</v>
      </c>
      <c r="M56" s="279"/>
      <c r="N56" s="280" t="str">
        <f t="shared" si="8"/>
        <v>INCLUDED</v>
      </c>
      <c r="O56" s="281">
        <f t="shared" si="9"/>
        <v>0</v>
      </c>
      <c r="P56" s="281">
        <f t="shared" si="14"/>
        <v>0</v>
      </c>
      <c r="Q56" s="281">
        <f>Discount!$H$36</f>
        <v>0</v>
      </c>
      <c r="R56" s="282">
        <f t="shared" si="11"/>
        <v>0</v>
      </c>
      <c r="S56" s="282">
        <f t="shared" si="12"/>
        <v>0</v>
      </c>
      <c r="T56" s="283">
        <f t="shared" si="13"/>
        <v>0</v>
      </c>
    </row>
    <row r="57" spans="1:20">
      <c r="A57" s="284">
        <v>40</v>
      </c>
      <c r="B57" s="275">
        <v>7000026407</v>
      </c>
      <c r="C57" s="275">
        <v>1560</v>
      </c>
      <c r="D57" s="275" t="s">
        <v>712</v>
      </c>
      <c r="E57" s="275">
        <v>1000031957</v>
      </c>
      <c r="F57" s="275">
        <v>85446020</v>
      </c>
      <c r="G57" s="276"/>
      <c r="H57" s="275">
        <v>18</v>
      </c>
      <c r="I57" s="277"/>
      <c r="J57" s="278" t="s">
        <v>528</v>
      </c>
      <c r="K57" s="275" t="s">
        <v>298</v>
      </c>
      <c r="L57" s="275">
        <v>2</v>
      </c>
      <c r="M57" s="279"/>
      <c r="N57" s="280" t="str">
        <f t="shared" si="8"/>
        <v>INCLUDED</v>
      </c>
      <c r="O57" s="281">
        <f t="shared" si="9"/>
        <v>0</v>
      </c>
      <c r="P57" s="281">
        <f t="shared" si="14"/>
        <v>0</v>
      </c>
      <c r="Q57" s="281">
        <f>Discount!$H$36</f>
        <v>0</v>
      </c>
      <c r="R57" s="282">
        <f t="shared" si="11"/>
        <v>0</v>
      </c>
      <c r="S57" s="282">
        <f t="shared" si="12"/>
        <v>0</v>
      </c>
      <c r="T57" s="283">
        <f t="shared" si="13"/>
        <v>0</v>
      </c>
    </row>
    <row r="58" spans="1:20">
      <c r="A58" s="274">
        <v>41</v>
      </c>
      <c r="B58" s="275">
        <v>7000026407</v>
      </c>
      <c r="C58" s="275">
        <v>1570</v>
      </c>
      <c r="D58" s="275" t="s">
        <v>712</v>
      </c>
      <c r="E58" s="275">
        <v>1000031953</v>
      </c>
      <c r="F58" s="275">
        <v>85446020</v>
      </c>
      <c r="G58" s="276"/>
      <c r="H58" s="275">
        <v>18</v>
      </c>
      <c r="I58" s="277"/>
      <c r="J58" s="278" t="s">
        <v>504</v>
      </c>
      <c r="K58" s="275" t="s">
        <v>298</v>
      </c>
      <c r="L58" s="275">
        <v>1</v>
      </c>
      <c r="M58" s="279"/>
      <c r="N58" s="280" t="str">
        <f t="shared" si="8"/>
        <v>INCLUDED</v>
      </c>
      <c r="O58" s="281">
        <f t="shared" si="9"/>
        <v>0</v>
      </c>
      <c r="P58" s="281">
        <f t="shared" si="14"/>
        <v>0</v>
      </c>
      <c r="Q58" s="281">
        <f>Discount!$H$36</f>
        <v>0</v>
      </c>
      <c r="R58" s="282">
        <f t="shared" si="11"/>
        <v>0</v>
      </c>
      <c r="S58" s="282">
        <f t="shared" si="12"/>
        <v>0</v>
      </c>
      <c r="T58" s="283">
        <f t="shared" si="13"/>
        <v>0</v>
      </c>
    </row>
    <row r="59" spans="1:20">
      <c r="A59" s="284">
        <v>42</v>
      </c>
      <c r="B59" s="275">
        <v>7000026407</v>
      </c>
      <c r="C59" s="275">
        <v>1580</v>
      </c>
      <c r="D59" s="275" t="s">
        <v>712</v>
      </c>
      <c r="E59" s="275">
        <v>1000031976</v>
      </c>
      <c r="F59" s="275">
        <v>85446020</v>
      </c>
      <c r="G59" s="276"/>
      <c r="H59" s="275">
        <v>18</v>
      </c>
      <c r="I59" s="277"/>
      <c r="J59" s="278" t="s">
        <v>505</v>
      </c>
      <c r="K59" s="275" t="s">
        <v>298</v>
      </c>
      <c r="L59" s="275">
        <v>2</v>
      </c>
      <c r="M59" s="279"/>
      <c r="N59" s="280" t="str">
        <f t="shared" si="8"/>
        <v>INCLUDED</v>
      </c>
      <c r="O59" s="281">
        <f t="shared" si="9"/>
        <v>0</v>
      </c>
      <c r="P59" s="281">
        <f t="shared" si="14"/>
        <v>0</v>
      </c>
      <c r="Q59" s="281">
        <f>Discount!$H$36</f>
        <v>0</v>
      </c>
      <c r="R59" s="282">
        <f t="shared" si="11"/>
        <v>0</v>
      </c>
      <c r="S59" s="282">
        <f t="shared" si="12"/>
        <v>0</v>
      </c>
      <c r="T59" s="283">
        <f t="shared" si="13"/>
        <v>0</v>
      </c>
    </row>
    <row r="60" spans="1:20">
      <c r="A60" s="274">
        <v>43</v>
      </c>
      <c r="B60" s="275">
        <v>7000026407</v>
      </c>
      <c r="C60" s="275">
        <v>1590</v>
      </c>
      <c r="D60" s="275" t="s">
        <v>712</v>
      </c>
      <c r="E60" s="275">
        <v>1000031943</v>
      </c>
      <c r="F60" s="275">
        <v>85446020</v>
      </c>
      <c r="G60" s="276"/>
      <c r="H60" s="275">
        <v>18</v>
      </c>
      <c r="I60" s="277"/>
      <c r="J60" s="278" t="s">
        <v>510</v>
      </c>
      <c r="K60" s="275" t="s">
        <v>298</v>
      </c>
      <c r="L60" s="275">
        <v>2</v>
      </c>
      <c r="M60" s="279"/>
      <c r="N60" s="280" t="str">
        <f t="shared" si="8"/>
        <v>INCLUDED</v>
      </c>
      <c r="O60" s="281">
        <f t="shared" si="9"/>
        <v>0</v>
      </c>
      <c r="P60" s="281">
        <f t="shared" si="14"/>
        <v>0</v>
      </c>
      <c r="Q60" s="281">
        <f>Discount!$H$36</f>
        <v>0</v>
      </c>
      <c r="R60" s="282">
        <f t="shared" si="11"/>
        <v>0</v>
      </c>
      <c r="S60" s="282">
        <f t="shared" si="12"/>
        <v>0</v>
      </c>
      <c r="T60" s="283">
        <f t="shared" si="13"/>
        <v>0</v>
      </c>
    </row>
    <row r="61" spans="1:20">
      <c r="A61" s="284">
        <v>44</v>
      </c>
      <c r="B61" s="275">
        <v>7000026407</v>
      </c>
      <c r="C61" s="275">
        <v>1600</v>
      </c>
      <c r="D61" s="275" t="s">
        <v>712</v>
      </c>
      <c r="E61" s="275">
        <v>1000031985</v>
      </c>
      <c r="F61" s="275">
        <v>85446020</v>
      </c>
      <c r="G61" s="276"/>
      <c r="H61" s="275">
        <v>18</v>
      </c>
      <c r="I61" s="277"/>
      <c r="J61" s="278" t="s">
        <v>509</v>
      </c>
      <c r="K61" s="275" t="s">
        <v>298</v>
      </c>
      <c r="L61" s="275">
        <v>2</v>
      </c>
      <c r="M61" s="279"/>
      <c r="N61" s="280" t="str">
        <f t="shared" si="8"/>
        <v>INCLUDED</v>
      </c>
      <c r="O61" s="281">
        <f t="shared" si="9"/>
        <v>0</v>
      </c>
      <c r="P61" s="281">
        <f t="shared" si="14"/>
        <v>0</v>
      </c>
      <c r="Q61" s="281">
        <f>Discount!$H$36</f>
        <v>0</v>
      </c>
      <c r="R61" s="282">
        <f t="shared" si="11"/>
        <v>0</v>
      </c>
      <c r="S61" s="282">
        <f t="shared" si="12"/>
        <v>0</v>
      </c>
      <c r="T61" s="283">
        <f t="shared" si="13"/>
        <v>0</v>
      </c>
    </row>
    <row r="62" spans="1:20" ht="46.8">
      <c r="A62" s="274">
        <v>45</v>
      </c>
      <c r="B62" s="275">
        <v>7000026407</v>
      </c>
      <c r="C62" s="275">
        <v>1620</v>
      </c>
      <c r="D62" s="275" t="s">
        <v>713</v>
      </c>
      <c r="E62" s="275">
        <v>1000055980</v>
      </c>
      <c r="F62" s="275">
        <v>72169990</v>
      </c>
      <c r="G62" s="276"/>
      <c r="H62" s="275">
        <v>18</v>
      </c>
      <c r="I62" s="277"/>
      <c r="J62" s="278" t="s">
        <v>730</v>
      </c>
      <c r="K62" s="275" t="s">
        <v>296</v>
      </c>
      <c r="L62" s="275">
        <v>3</v>
      </c>
      <c r="M62" s="279"/>
      <c r="N62" s="280" t="str">
        <f t="shared" si="8"/>
        <v>INCLUDED</v>
      </c>
      <c r="O62" s="281">
        <f t="shared" si="9"/>
        <v>0</v>
      </c>
      <c r="P62" s="281">
        <f t="shared" si="14"/>
        <v>0</v>
      </c>
      <c r="Q62" s="281">
        <f>Discount!$H$36</f>
        <v>0</v>
      </c>
      <c r="R62" s="282">
        <f t="shared" si="11"/>
        <v>0</v>
      </c>
      <c r="S62" s="282">
        <f t="shared" si="12"/>
        <v>0</v>
      </c>
      <c r="T62" s="283">
        <f t="shared" si="13"/>
        <v>0</v>
      </c>
    </row>
    <row r="63" spans="1:20" ht="46.8">
      <c r="A63" s="284">
        <v>46</v>
      </c>
      <c r="B63" s="275">
        <v>7000026407</v>
      </c>
      <c r="C63" s="275">
        <v>1610</v>
      </c>
      <c r="D63" s="275" t="s">
        <v>713</v>
      </c>
      <c r="E63" s="275">
        <v>1000055975</v>
      </c>
      <c r="F63" s="275">
        <v>72169990</v>
      </c>
      <c r="G63" s="276"/>
      <c r="H63" s="275">
        <v>18</v>
      </c>
      <c r="I63" s="277"/>
      <c r="J63" s="278" t="s">
        <v>731</v>
      </c>
      <c r="K63" s="275" t="s">
        <v>296</v>
      </c>
      <c r="L63" s="275">
        <v>3</v>
      </c>
      <c r="M63" s="279"/>
      <c r="N63" s="280" t="str">
        <f t="shared" si="8"/>
        <v>INCLUDED</v>
      </c>
      <c r="O63" s="281">
        <f t="shared" si="9"/>
        <v>0</v>
      </c>
      <c r="P63" s="281">
        <f t="shared" si="14"/>
        <v>0</v>
      </c>
      <c r="Q63" s="281">
        <f>Discount!$H$36</f>
        <v>0</v>
      </c>
      <c r="R63" s="282">
        <f t="shared" si="11"/>
        <v>0</v>
      </c>
      <c r="S63" s="282">
        <f t="shared" si="12"/>
        <v>0</v>
      </c>
      <c r="T63" s="283">
        <f t="shared" si="13"/>
        <v>0</v>
      </c>
    </row>
    <row r="64" spans="1:20" ht="46.8">
      <c r="A64" s="274">
        <v>47</v>
      </c>
      <c r="B64" s="275">
        <v>7000026407</v>
      </c>
      <c r="C64" s="275">
        <v>1630</v>
      </c>
      <c r="D64" s="275" t="s">
        <v>713</v>
      </c>
      <c r="E64" s="275">
        <v>1000055985</v>
      </c>
      <c r="F64" s="275">
        <v>72169990</v>
      </c>
      <c r="G64" s="276"/>
      <c r="H64" s="275">
        <v>18</v>
      </c>
      <c r="I64" s="277"/>
      <c r="J64" s="278" t="s">
        <v>732</v>
      </c>
      <c r="K64" s="275" t="s">
        <v>296</v>
      </c>
      <c r="L64" s="275">
        <v>3</v>
      </c>
      <c r="M64" s="279"/>
      <c r="N64" s="280" t="str">
        <f t="shared" si="8"/>
        <v>INCLUDED</v>
      </c>
      <c r="O64" s="281">
        <f t="shared" si="9"/>
        <v>0</v>
      </c>
      <c r="P64" s="281">
        <f t="shared" si="14"/>
        <v>0</v>
      </c>
      <c r="Q64" s="281">
        <f>Discount!$H$36</f>
        <v>0</v>
      </c>
      <c r="R64" s="282">
        <f t="shared" si="11"/>
        <v>0</v>
      </c>
      <c r="S64" s="282">
        <f t="shared" si="12"/>
        <v>0</v>
      </c>
      <c r="T64" s="283">
        <f t="shared" si="13"/>
        <v>0</v>
      </c>
    </row>
    <row r="65" spans="1:20" ht="46.8">
      <c r="A65" s="284">
        <v>48</v>
      </c>
      <c r="B65" s="275">
        <v>7000026407</v>
      </c>
      <c r="C65" s="275">
        <v>1640</v>
      </c>
      <c r="D65" s="275" t="s">
        <v>713</v>
      </c>
      <c r="E65" s="275">
        <v>1000055987</v>
      </c>
      <c r="F65" s="275">
        <v>72169990</v>
      </c>
      <c r="G65" s="276"/>
      <c r="H65" s="275">
        <v>18</v>
      </c>
      <c r="I65" s="277"/>
      <c r="J65" s="278" t="s">
        <v>733</v>
      </c>
      <c r="K65" s="275" t="s">
        <v>296</v>
      </c>
      <c r="L65" s="275">
        <v>3</v>
      </c>
      <c r="M65" s="279"/>
      <c r="N65" s="280" t="str">
        <f t="shared" si="8"/>
        <v>INCLUDED</v>
      </c>
      <c r="O65" s="281">
        <f t="shared" si="9"/>
        <v>0</v>
      </c>
      <c r="P65" s="281">
        <f t="shared" si="14"/>
        <v>0</v>
      </c>
      <c r="Q65" s="281">
        <f>Discount!$H$36</f>
        <v>0</v>
      </c>
      <c r="R65" s="282">
        <f t="shared" si="11"/>
        <v>0</v>
      </c>
      <c r="S65" s="282">
        <f t="shared" si="12"/>
        <v>0</v>
      </c>
      <c r="T65" s="283">
        <f t="shared" si="13"/>
        <v>0</v>
      </c>
    </row>
    <row r="66" spans="1:20" ht="124.8">
      <c r="A66" s="274">
        <v>49</v>
      </c>
      <c r="B66" s="275">
        <v>7000026407</v>
      </c>
      <c r="C66" s="275">
        <v>370</v>
      </c>
      <c r="D66" s="275" t="s">
        <v>551</v>
      </c>
      <c r="E66" s="275">
        <v>1000030433</v>
      </c>
      <c r="F66" s="275">
        <v>85287390</v>
      </c>
      <c r="G66" s="276"/>
      <c r="H66" s="275">
        <v>18</v>
      </c>
      <c r="I66" s="277"/>
      <c r="J66" s="278" t="s">
        <v>513</v>
      </c>
      <c r="K66" s="275" t="s">
        <v>297</v>
      </c>
      <c r="L66" s="275">
        <v>1</v>
      </c>
      <c r="M66" s="279"/>
      <c r="N66" s="280" t="str">
        <f t="shared" si="8"/>
        <v>INCLUDED</v>
      </c>
      <c r="O66" s="281">
        <f t="shared" si="9"/>
        <v>0</v>
      </c>
      <c r="P66" s="281">
        <f t="shared" si="14"/>
        <v>0</v>
      </c>
      <c r="Q66" s="281">
        <f>Discount!$H$36</f>
        <v>0</v>
      </c>
      <c r="R66" s="282">
        <f t="shared" si="11"/>
        <v>0</v>
      </c>
      <c r="S66" s="282">
        <f t="shared" si="12"/>
        <v>0</v>
      </c>
      <c r="T66" s="283">
        <f t="shared" si="13"/>
        <v>0</v>
      </c>
    </row>
    <row r="67" spans="1:20" ht="31.2">
      <c r="A67" s="284">
        <v>50</v>
      </c>
      <c r="B67" s="275">
        <v>7000026407</v>
      </c>
      <c r="C67" s="275">
        <v>1660</v>
      </c>
      <c r="D67" s="275" t="s">
        <v>714</v>
      </c>
      <c r="E67" s="275">
        <v>1000030932</v>
      </c>
      <c r="F67" s="275">
        <v>85049010</v>
      </c>
      <c r="G67" s="276"/>
      <c r="H67" s="275">
        <v>18</v>
      </c>
      <c r="I67" s="277"/>
      <c r="J67" s="278" t="s">
        <v>734</v>
      </c>
      <c r="K67" s="275" t="s">
        <v>296</v>
      </c>
      <c r="L67" s="275">
        <v>1</v>
      </c>
      <c r="M67" s="279"/>
      <c r="N67" s="280" t="str">
        <f t="shared" si="8"/>
        <v>INCLUDED</v>
      </c>
      <c r="O67" s="281">
        <f t="shared" si="9"/>
        <v>0</v>
      </c>
      <c r="P67" s="281">
        <f t="shared" si="14"/>
        <v>0</v>
      </c>
      <c r="Q67" s="281">
        <f>Discount!$H$36</f>
        <v>0</v>
      </c>
      <c r="R67" s="282">
        <f t="shared" si="11"/>
        <v>0</v>
      </c>
      <c r="S67" s="282">
        <f t="shared" si="12"/>
        <v>0</v>
      </c>
      <c r="T67" s="283">
        <f t="shared" si="13"/>
        <v>0</v>
      </c>
    </row>
    <row r="68" spans="1:20" ht="31.2">
      <c r="A68" s="274">
        <v>51</v>
      </c>
      <c r="B68" s="275">
        <v>7000026407</v>
      </c>
      <c r="C68" s="275">
        <v>1670</v>
      </c>
      <c r="D68" s="275" t="s">
        <v>714</v>
      </c>
      <c r="E68" s="275">
        <v>1000030923</v>
      </c>
      <c r="F68" s="275">
        <v>85049010</v>
      </c>
      <c r="G68" s="276"/>
      <c r="H68" s="275">
        <v>18</v>
      </c>
      <c r="I68" s="277"/>
      <c r="J68" s="278" t="s">
        <v>735</v>
      </c>
      <c r="K68" s="275" t="s">
        <v>296</v>
      </c>
      <c r="L68" s="275">
        <v>1</v>
      </c>
      <c r="M68" s="279"/>
      <c r="N68" s="280" t="str">
        <f t="shared" si="8"/>
        <v>INCLUDED</v>
      </c>
      <c r="O68" s="281">
        <f t="shared" si="9"/>
        <v>0</v>
      </c>
      <c r="P68" s="281">
        <f t="shared" si="14"/>
        <v>0</v>
      </c>
      <c r="Q68" s="281">
        <f>Discount!$H$36</f>
        <v>0</v>
      </c>
      <c r="R68" s="282">
        <f t="shared" si="11"/>
        <v>0</v>
      </c>
      <c r="S68" s="282">
        <f t="shared" si="12"/>
        <v>0</v>
      </c>
      <c r="T68" s="283">
        <f t="shared" si="13"/>
        <v>0</v>
      </c>
    </row>
    <row r="69" spans="1:20" ht="31.2">
      <c r="A69" s="284">
        <v>52</v>
      </c>
      <c r="B69" s="275">
        <v>7000026407</v>
      </c>
      <c r="C69" s="275">
        <v>1680</v>
      </c>
      <c r="D69" s="275" t="s">
        <v>714</v>
      </c>
      <c r="E69" s="275">
        <v>1000030935</v>
      </c>
      <c r="F69" s="275">
        <v>85049010</v>
      </c>
      <c r="G69" s="276"/>
      <c r="H69" s="275">
        <v>18</v>
      </c>
      <c r="I69" s="277"/>
      <c r="J69" s="278" t="s">
        <v>736</v>
      </c>
      <c r="K69" s="275" t="s">
        <v>296</v>
      </c>
      <c r="L69" s="275">
        <v>1</v>
      </c>
      <c r="M69" s="279"/>
      <c r="N69" s="280" t="str">
        <f t="shared" si="8"/>
        <v>INCLUDED</v>
      </c>
      <c r="O69" s="281">
        <f t="shared" si="9"/>
        <v>0</v>
      </c>
      <c r="P69" s="281">
        <f t="shared" si="14"/>
        <v>0</v>
      </c>
      <c r="Q69" s="281">
        <f>Discount!$H$36</f>
        <v>0</v>
      </c>
      <c r="R69" s="282">
        <f t="shared" si="11"/>
        <v>0</v>
      </c>
      <c r="S69" s="282">
        <f t="shared" si="12"/>
        <v>0</v>
      </c>
      <c r="T69" s="283">
        <f t="shared" si="13"/>
        <v>0</v>
      </c>
    </row>
    <row r="70" spans="1:20" ht="31.2">
      <c r="A70" s="274">
        <v>53</v>
      </c>
      <c r="B70" s="275">
        <v>7000026407</v>
      </c>
      <c r="C70" s="275">
        <v>1690</v>
      </c>
      <c r="D70" s="275" t="s">
        <v>714</v>
      </c>
      <c r="E70" s="275">
        <v>1000002071</v>
      </c>
      <c r="F70" s="275">
        <v>85049010</v>
      </c>
      <c r="G70" s="276"/>
      <c r="H70" s="275">
        <v>18</v>
      </c>
      <c r="I70" s="277"/>
      <c r="J70" s="278" t="s">
        <v>737</v>
      </c>
      <c r="K70" s="275" t="s">
        <v>296</v>
      </c>
      <c r="L70" s="275">
        <v>1</v>
      </c>
      <c r="M70" s="279"/>
      <c r="N70" s="280" t="str">
        <f t="shared" si="8"/>
        <v>INCLUDED</v>
      </c>
      <c r="O70" s="281">
        <f t="shared" si="9"/>
        <v>0</v>
      </c>
      <c r="P70" s="281">
        <f t="shared" si="14"/>
        <v>0</v>
      </c>
      <c r="Q70" s="281">
        <f>Discount!$H$36</f>
        <v>0</v>
      </c>
      <c r="R70" s="282">
        <f t="shared" si="11"/>
        <v>0</v>
      </c>
      <c r="S70" s="282">
        <f t="shared" si="12"/>
        <v>0</v>
      </c>
      <c r="T70" s="283">
        <f t="shared" si="13"/>
        <v>0</v>
      </c>
    </row>
    <row r="71" spans="1:20" ht="31.2">
      <c r="A71" s="284">
        <v>54</v>
      </c>
      <c r="B71" s="275">
        <v>7000026407</v>
      </c>
      <c r="C71" s="275">
        <v>1700</v>
      </c>
      <c r="D71" s="275" t="s">
        <v>714</v>
      </c>
      <c r="E71" s="275">
        <v>1000032089</v>
      </c>
      <c r="F71" s="275">
        <v>85049010</v>
      </c>
      <c r="G71" s="276"/>
      <c r="H71" s="275">
        <v>18</v>
      </c>
      <c r="I71" s="277"/>
      <c r="J71" s="278" t="s">
        <v>738</v>
      </c>
      <c r="K71" s="275" t="s">
        <v>739</v>
      </c>
      <c r="L71" s="275">
        <v>10</v>
      </c>
      <c r="M71" s="279"/>
      <c r="N71" s="280" t="str">
        <f t="shared" ref="N71" si="15">IF(M71=0, "INCLUDED", IF(ISERROR(M71*L71), M71, M71*L71))</f>
        <v>INCLUDED</v>
      </c>
      <c r="O71" s="281">
        <f t="shared" ref="O71" si="16">IF(N71="Included",0,N71)</f>
        <v>0</v>
      </c>
      <c r="P71" s="281">
        <f t="shared" ref="P71" si="17">IF( I71="",H71*(IF(N71="Included",0,N71))/100,I71*(IF(N71="Included",0,N71)))</f>
        <v>0</v>
      </c>
      <c r="Q71" s="281">
        <f>Discount!$H$36</f>
        <v>0</v>
      </c>
      <c r="R71" s="282">
        <f t="shared" ref="R71" si="18">Q71*O71</f>
        <v>0</v>
      </c>
      <c r="S71" s="282">
        <f t="shared" ref="S71" si="19">IF(I71="",H71*R71/100,I71*R71)</f>
        <v>0</v>
      </c>
      <c r="T71" s="283">
        <f t="shared" ref="T71" si="20">M71*L71</f>
        <v>0</v>
      </c>
    </row>
    <row r="72" spans="1:20" ht="31.2">
      <c r="A72" s="274">
        <v>55</v>
      </c>
      <c r="B72" s="275">
        <v>7000026407</v>
      </c>
      <c r="C72" s="275">
        <v>1710</v>
      </c>
      <c r="D72" s="275" t="s">
        <v>714</v>
      </c>
      <c r="E72" s="275">
        <v>1000049425</v>
      </c>
      <c r="F72" s="275">
        <v>85049010</v>
      </c>
      <c r="G72" s="276"/>
      <c r="H72" s="275">
        <v>18</v>
      </c>
      <c r="I72" s="277"/>
      <c r="J72" s="278" t="s">
        <v>740</v>
      </c>
      <c r="K72" s="275" t="s">
        <v>297</v>
      </c>
      <c r="L72" s="275">
        <v>1</v>
      </c>
      <c r="M72" s="279"/>
      <c r="N72" s="280" t="str">
        <f t="shared" si="8"/>
        <v>INCLUDED</v>
      </c>
      <c r="O72" s="281">
        <f t="shared" si="9"/>
        <v>0</v>
      </c>
      <c r="P72" s="281">
        <f t="shared" si="14"/>
        <v>0</v>
      </c>
      <c r="Q72" s="281">
        <f>Discount!$H$36</f>
        <v>0</v>
      </c>
      <c r="R72" s="282">
        <f t="shared" si="11"/>
        <v>0</v>
      </c>
      <c r="S72" s="282">
        <f t="shared" si="12"/>
        <v>0</v>
      </c>
      <c r="T72" s="283">
        <f t="shared" si="13"/>
        <v>0</v>
      </c>
    </row>
    <row r="73" spans="1:20" ht="31.2">
      <c r="A73" s="284">
        <v>56</v>
      </c>
      <c r="B73" s="275">
        <v>7000026407</v>
      </c>
      <c r="C73" s="275">
        <v>1720</v>
      </c>
      <c r="D73" s="275" t="s">
        <v>714</v>
      </c>
      <c r="E73" s="275">
        <v>1000007922</v>
      </c>
      <c r="F73" s="275">
        <v>85049010</v>
      </c>
      <c r="G73" s="276"/>
      <c r="H73" s="275">
        <v>18</v>
      </c>
      <c r="I73" s="277"/>
      <c r="J73" s="278" t="s">
        <v>741</v>
      </c>
      <c r="K73" s="275" t="s">
        <v>297</v>
      </c>
      <c r="L73" s="275">
        <v>1</v>
      </c>
      <c r="M73" s="279"/>
      <c r="N73" s="280" t="str">
        <f t="shared" si="8"/>
        <v>INCLUDED</v>
      </c>
      <c r="O73" s="281">
        <f t="shared" si="9"/>
        <v>0</v>
      </c>
      <c r="P73" s="281">
        <f t="shared" si="14"/>
        <v>0</v>
      </c>
      <c r="Q73" s="281">
        <f>Discount!$H$36</f>
        <v>0</v>
      </c>
      <c r="R73" s="282">
        <f t="shared" si="11"/>
        <v>0</v>
      </c>
      <c r="S73" s="282">
        <f t="shared" si="12"/>
        <v>0</v>
      </c>
      <c r="T73" s="283">
        <f t="shared" si="13"/>
        <v>0</v>
      </c>
    </row>
    <row r="74" spans="1:20" ht="31.2">
      <c r="A74" s="274">
        <v>57</v>
      </c>
      <c r="B74" s="275">
        <v>7000026407</v>
      </c>
      <c r="C74" s="275">
        <v>1730</v>
      </c>
      <c r="D74" s="275" t="s">
        <v>714</v>
      </c>
      <c r="E74" s="275">
        <v>1000017322</v>
      </c>
      <c r="F74" s="275">
        <v>85049010</v>
      </c>
      <c r="G74" s="276"/>
      <c r="H74" s="275">
        <v>18</v>
      </c>
      <c r="I74" s="277"/>
      <c r="J74" s="278" t="s">
        <v>742</v>
      </c>
      <c r="K74" s="275" t="s">
        <v>296</v>
      </c>
      <c r="L74" s="275">
        <v>1</v>
      </c>
      <c r="M74" s="279"/>
      <c r="N74" s="280" t="str">
        <f t="shared" si="8"/>
        <v>INCLUDED</v>
      </c>
      <c r="O74" s="281">
        <f t="shared" si="9"/>
        <v>0</v>
      </c>
      <c r="P74" s="281">
        <f t="shared" si="14"/>
        <v>0</v>
      </c>
      <c r="Q74" s="281">
        <f>Discount!$H$36</f>
        <v>0</v>
      </c>
      <c r="R74" s="282">
        <f t="shared" si="11"/>
        <v>0</v>
      </c>
      <c r="S74" s="282">
        <f t="shared" si="12"/>
        <v>0</v>
      </c>
      <c r="T74" s="283">
        <f t="shared" si="13"/>
        <v>0</v>
      </c>
    </row>
    <row r="75" spans="1:20" ht="31.2">
      <c r="A75" s="284">
        <v>58</v>
      </c>
      <c r="B75" s="275">
        <v>7000026407</v>
      </c>
      <c r="C75" s="275">
        <v>390</v>
      </c>
      <c r="D75" s="275" t="s">
        <v>715</v>
      </c>
      <c r="E75" s="275">
        <v>1000058332</v>
      </c>
      <c r="F75" s="275">
        <v>85359030</v>
      </c>
      <c r="G75" s="276"/>
      <c r="H75" s="275">
        <v>18</v>
      </c>
      <c r="I75" s="277"/>
      <c r="J75" s="278" t="s">
        <v>644</v>
      </c>
      <c r="K75" s="275" t="s">
        <v>296</v>
      </c>
      <c r="L75" s="275">
        <v>2</v>
      </c>
      <c r="M75" s="279"/>
      <c r="N75" s="280" t="str">
        <f t="shared" si="8"/>
        <v>INCLUDED</v>
      </c>
      <c r="O75" s="281">
        <f t="shared" si="9"/>
        <v>0</v>
      </c>
      <c r="P75" s="281">
        <f t="shared" si="14"/>
        <v>0</v>
      </c>
      <c r="Q75" s="281">
        <f>Discount!$H$36</f>
        <v>0</v>
      </c>
      <c r="R75" s="282">
        <f t="shared" si="11"/>
        <v>0</v>
      </c>
      <c r="S75" s="282">
        <f t="shared" si="12"/>
        <v>0</v>
      </c>
      <c r="T75" s="283">
        <f t="shared" si="13"/>
        <v>0</v>
      </c>
    </row>
    <row r="76" spans="1:20" ht="46.8">
      <c r="A76" s="274">
        <v>59</v>
      </c>
      <c r="B76" s="275">
        <v>7000026407</v>
      </c>
      <c r="C76" s="275">
        <v>400</v>
      </c>
      <c r="D76" s="275" t="s">
        <v>715</v>
      </c>
      <c r="E76" s="275">
        <v>1000049817</v>
      </c>
      <c r="F76" s="275">
        <v>85359030</v>
      </c>
      <c r="G76" s="276"/>
      <c r="H76" s="275">
        <v>18</v>
      </c>
      <c r="I76" s="277"/>
      <c r="J76" s="278" t="s">
        <v>645</v>
      </c>
      <c r="K76" s="275" t="s">
        <v>297</v>
      </c>
      <c r="L76" s="275">
        <v>3</v>
      </c>
      <c r="M76" s="279"/>
      <c r="N76" s="280" t="str">
        <f t="shared" si="8"/>
        <v>INCLUDED</v>
      </c>
      <c r="O76" s="281">
        <f t="shared" si="9"/>
        <v>0</v>
      </c>
      <c r="P76" s="281">
        <f t="shared" si="14"/>
        <v>0</v>
      </c>
      <c r="Q76" s="281">
        <f>Discount!$H$36</f>
        <v>0</v>
      </c>
      <c r="R76" s="282">
        <f t="shared" si="11"/>
        <v>0</v>
      </c>
      <c r="S76" s="282">
        <f t="shared" si="12"/>
        <v>0</v>
      </c>
      <c r="T76" s="283">
        <f t="shared" si="13"/>
        <v>0</v>
      </c>
    </row>
    <row r="77" spans="1:20" ht="46.8">
      <c r="A77" s="284">
        <v>60</v>
      </c>
      <c r="B77" s="275">
        <v>7000026407</v>
      </c>
      <c r="C77" s="275">
        <v>410</v>
      </c>
      <c r="D77" s="275" t="s">
        <v>715</v>
      </c>
      <c r="E77" s="275">
        <v>1000049753</v>
      </c>
      <c r="F77" s="275">
        <v>85359030</v>
      </c>
      <c r="G77" s="276"/>
      <c r="H77" s="275">
        <v>18</v>
      </c>
      <c r="I77" s="277"/>
      <c r="J77" s="278" t="s">
        <v>646</v>
      </c>
      <c r="K77" s="275" t="s">
        <v>297</v>
      </c>
      <c r="L77" s="275">
        <v>2</v>
      </c>
      <c r="M77" s="279"/>
      <c r="N77" s="280" t="str">
        <f t="shared" si="8"/>
        <v>INCLUDED</v>
      </c>
      <c r="O77" s="281">
        <f t="shared" si="9"/>
        <v>0</v>
      </c>
      <c r="P77" s="281">
        <f t="shared" si="14"/>
        <v>0</v>
      </c>
      <c r="Q77" s="281">
        <f>Discount!$H$36</f>
        <v>0</v>
      </c>
      <c r="R77" s="282">
        <f t="shared" si="11"/>
        <v>0</v>
      </c>
      <c r="S77" s="282">
        <f t="shared" si="12"/>
        <v>0</v>
      </c>
      <c r="T77" s="283">
        <f t="shared" si="13"/>
        <v>0</v>
      </c>
    </row>
    <row r="78" spans="1:20" ht="46.8">
      <c r="A78" s="274">
        <v>61</v>
      </c>
      <c r="B78" s="275">
        <v>7000026407</v>
      </c>
      <c r="C78" s="275">
        <v>420</v>
      </c>
      <c r="D78" s="275" t="s">
        <v>715</v>
      </c>
      <c r="E78" s="275">
        <v>1000049762</v>
      </c>
      <c r="F78" s="275">
        <v>85359030</v>
      </c>
      <c r="G78" s="276"/>
      <c r="H78" s="275">
        <v>18</v>
      </c>
      <c r="I78" s="277"/>
      <c r="J78" s="278" t="s">
        <v>647</v>
      </c>
      <c r="K78" s="275" t="s">
        <v>297</v>
      </c>
      <c r="L78" s="275">
        <v>3</v>
      </c>
      <c r="M78" s="279"/>
      <c r="N78" s="280" t="str">
        <f t="shared" si="8"/>
        <v>INCLUDED</v>
      </c>
      <c r="O78" s="281">
        <f t="shared" si="9"/>
        <v>0</v>
      </c>
      <c r="P78" s="281">
        <f t="shared" si="14"/>
        <v>0</v>
      </c>
      <c r="Q78" s="281">
        <f>Discount!$H$36</f>
        <v>0</v>
      </c>
      <c r="R78" s="282">
        <f t="shared" si="11"/>
        <v>0</v>
      </c>
      <c r="S78" s="282">
        <f t="shared" si="12"/>
        <v>0</v>
      </c>
      <c r="T78" s="283">
        <f t="shared" si="13"/>
        <v>0</v>
      </c>
    </row>
    <row r="79" spans="1:20" ht="31.2">
      <c r="A79" s="284">
        <v>62</v>
      </c>
      <c r="B79" s="275">
        <v>7000026407</v>
      </c>
      <c r="C79" s="275">
        <v>430</v>
      </c>
      <c r="D79" s="275" t="s">
        <v>715</v>
      </c>
      <c r="E79" s="275">
        <v>1000058330</v>
      </c>
      <c r="F79" s="275">
        <v>85359030</v>
      </c>
      <c r="G79" s="276"/>
      <c r="H79" s="275">
        <v>18</v>
      </c>
      <c r="I79" s="277"/>
      <c r="J79" s="278" t="s">
        <v>648</v>
      </c>
      <c r="K79" s="275" t="s">
        <v>297</v>
      </c>
      <c r="L79" s="275">
        <v>1</v>
      </c>
      <c r="M79" s="279"/>
      <c r="N79" s="280" t="str">
        <f t="shared" si="8"/>
        <v>INCLUDED</v>
      </c>
      <c r="O79" s="281">
        <f t="shared" si="9"/>
        <v>0</v>
      </c>
      <c r="P79" s="281">
        <f t="shared" si="14"/>
        <v>0</v>
      </c>
      <c r="Q79" s="281">
        <f>Discount!$H$36</f>
        <v>0</v>
      </c>
      <c r="R79" s="282">
        <f t="shared" si="11"/>
        <v>0</v>
      </c>
      <c r="S79" s="282">
        <f t="shared" si="12"/>
        <v>0</v>
      </c>
      <c r="T79" s="283">
        <f t="shared" si="13"/>
        <v>0</v>
      </c>
    </row>
    <row r="80" spans="1:20" ht="31.2">
      <c r="A80" s="274">
        <v>63</v>
      </c>
      <c r="B80" s="275">
        <v>7000026407</v>
      </c>
      <c r="C80" s="275">
        <v>440</v>
      </c>
      <c r="D80" s="275" t="s">
        <v>715</v>
      </c>
      <c r="E80" s="275">
        <v>1000049750</v>
      </c>
      <c r="F80" s="275">
        <v>85359030</v>
      </c>
      <c r="G80" s="276"/>
      <c r="H80" s="275">
        <v>18</v>
      </c>
      <c r="I80" s="277"/>
      <c r="J80" s="278" t="s">
        <v>649</v>
      </c>
      <c r="K80" s="275" t="s">
        <v>297</v>
      </c>
      <c r="L80" s="275">
        <v>1</v>
      </c>
      <c r="M80" s="279"/>
      <c r="N80" s="280" t="str">
        <f t="shared" si="8"/>
        <v>INCLUDED</v>
      </c>
      <c r="O80" s="281">
        <f t="shared" si="9"/>
        <v>0</v>
      </c>
      <c r="P80" s="281">
        <f t="shared" si="14"/>
        <v>0</v>
      </c>
      <c r="Q80" s="281">
        <f>Discount!$H$36</f>
        <v>0</v>
      </c>
      <c r="R80" s="282">
        <f t="shared" si="11"/>
        <v>0</v>
      </c>
      <c r="S80" s="282">
        <f t="shared" si="12"/>
        <v>0</v>
      </c>
      <c r="T80" s="283">
        <f t="shared" si="13"/>
        <v>0</v>
      </c>
    </row>
    <row r="81" spans="1:20" ht="31.2">
      <c r="A81" s="284">
        <v>64</v>
      </c>
      <c r="B81" s="275">
        <v>7000026407</v>
      </c>
      <c r="C81" s="275">
        <v>450</v>
      </c>
      <c r="D81" s="275" t="s">
        <v>715</v>
      </c>
      <c r="E81" s="275">
        <v>1000058331</v>
      </c>
      <c r="F81" s="275">
        <v>85359030</v>
      </c>
      <c r="G81" s="276"/>
      <c r="H81" s="275">
        <v>18</v>
      </c>
      <c r="I81" s="277"/>
      <c r="J81" s="278" t="s">
        <v>650</v>
      </c>
      <c r="K81" s="275" t="s">
        <v>514</v>
      </c>
      <c r="L81" s="275">
        <v>1</v>
      </c>
      <c r="M81" s="279"/>
      <c r="N81" s="280" t="str">
        <f t="shared" si="8"/>
        <v>INCLUDED</v>
      </c>
      <c r="O81" s="281">
        <f t="shared" si="9"/>
        <v>0</v>
      </c>
      <c r="P81" s="281">
        <f t="shared" si="14"/>
        <v>0</v>
      </c>
      <c r="Q81" s="281">
        <f>Discount!$H$36</f>
        <v>0</v>
      </c>
      <c r="R81" s="282">
        <f t="shared" si="11"/>
        <v>0</v>
      </c>
      <c r="S81" s="282">
        <f t="shared" si="12"/>
        <v>0</v>
      </c>
      <c r="T81" s="283">
        <f t="shared" si="13"/>
        <v>0</v>
      </c>
    </row>
    <row r="82" spans="1:20" ht="62.4">
      <c r="A82" s="274">
        <v>65</v>
      </c>
      <c r="B82" s="275">
        <v>7000026407</v>
      </c>
      <c r="C82" s="275">
        <v>460</v>
      </c>
      <c r="D82" s="275" t="s">
        <v>715</v>
      </c>
      <c r="E82" s="275">
        <v>1000049783</v>
      </c>
      <c r="F82" s="275">
        <v>85359030</v>
      </c>
      <c r="G82" s="276"/>
      <c r="H82" s="275">
        <v>18</v>
      </c>
      <c r="I82" s="277"/>
      <c r="J82" s="278" t="s">
        <v>651</v>
      </c>
      <c r="K82" s="275" t="s">
        <v>297</v>
      </c>
      <c r="L82" s="275">
        <v>1</v>
      </c>
      <c r="M82" s="279"/>
      <c r="N82" s="280" t="str">
        <f t="shared" si="8"/>
        <v>INCLUDED</v>
      </c>
      <c r="O82" s="281">
        <f t="shared" si="9"/>
        <v>0</v>
      </c>
      <c r="P82" s="281">
        <f t="shared" si="14"/>
        <v>0</v>
      </c>
      <c r="Q82" s="281">
        <f>Discount!$H$36</f>
        <v>0</v>
      </c>
      <c r="R82" s="282">
        <f t="shared" si="11"/>
        <v>0</v>
      </c>
      <c r="S82" s="282">
        <f t="shared" si="12"/>
        <v>0</v>
      </c>
      <c r="T82" s="283">
        <f t="shared" si="13"/>
        <v>0</v>
      </c>
    </row>
    <row r="83" spans="1:20" ht="31.2">
      <c r="A83" s="284">
        <v>66</v>
      </c>
      <c r="B83" s="275">
        <v>7000026407</v>
      </c>
      <c r="C83" s="275">
        <v>470</v>
      </c>
      <c r="D83" s="275" t="s">
        <v>715</v>
      </c>
      <c r="E83" s="275">
        <v>1000049505</v>
      </c>
      <c r="F83" s="275">
        <v>85359030</v>
      </c>
      <c r="G83" s="276"/>
      <c r="H83" s="275">
        <v>18</v>
      </c>
      <c r="I83" s="277"/>
      <c r="J83" s="278" t="s">
        <v>652</v>
      </c>
      <c r="K83" s="275" t="s">
        <v>296</v>
      </c>
      <c r="L83" s="275">
        <v>1</v>
      </c>
      <c r="M83" s="279"/>
      <c r="N83" s="280" t="str">
        <f t="shared" si="8"/>
        <v>INCLUDED</v>
      </c>
      <c r="O83" s="281">
        <f t="shared" si="9"/>
        <v>0</v>
      </c>
      <c r="P83" s="281">
        <f t="shared" si="14"/>
        <v>0</v>
      </c>
      <c r="Q83" s="281">
        <f>Discount!$H$36</f>
        <v>0</v>
      </c>
      <c r="R83" s="282">
        <f t="shared" si="11"/>
        <v>0</v>
      </c>
      <c r="S83" s="282">
        <f t="shared" si="12"/>
        <v>0</v>
      </c>
      <c r="T83" s="283">
        <f t="shared" si="13"/>
        <v>0</v>
      </c>
    </row>
    <row r="84" spans="1:20" ht="46.8">
      <c r="A84" s="274">
        <v>67</v>
      </c>
      <c r="B84" s="275">
        <v>7000026407</v>
      </c>
      <c r="C84" s="275">
        <v>480</v>
      </c>
      <c r="D84" s="275" t="s">
        <v>715</v>
      </c>
      <c r="E84" s="275">
        <v>1000058334</v>
      </c>
      <c r="F84" s="275">
        <v>85359030</v>
      </c>
      <c r="G84" s="276"/>
      <c r="H84" s="275">
        <v>18</v>
      </c>
      <c r="I84" s="277"/>
      <c r="J84" s="278" t="s">
        <v>657</v>
      </c>
      <c r="K84" s="275" t="s">
        <v>296</v>
      </c>
      <c r="L84" s="275">
        <v>1</v>
      </c>
      <c r="M84" s="279"/>
      <c r="N84" s="280" t="str">
        <f t="shared" si="8"/>
        <v>INCLUDED</v>
      </c>
      <c r="O84" s="281">
        <f t="shared" si="9"/>
        <v>0</v>
      </c>
      <c r="P84" s="281">
        <f t="shared" si="14"/>
        <v>0</v>
      </c>
      <c r="Q84" s="281">
        <f>Discount!$H$36</f>
        <v>0</v>
      </c>
      <c r="R84" s="282">
        <f t="shared" si="11"/>
        <v>0</v>
      </c>
      <c r="S84" s="282">
        <f t="shared" si="12"/>
        <v>0</v>
      </c>
      <c r="T84" s="283">
        <f t="shared" si="13"/>
        <v>0</v>
      </c>
    </row>
    <row r="85" spans="1:20" ht="46.8">
      <c r="A85" s="284">
        <v>68</v>
      </c>
      <c r="B85" s="275">
        <v>7000026407</v>
      </c>
      <c r="C85" s="275">
        <v>490</v>
      </c>
      <c r="D85" s="275" t="s">
        <v>715</v>
      </c>
      <c r="E85" s="275">
        <v>1000058329</v>
      </c>
      <c r="F85" s="275">
        <v>85359030</v>
      </c>
      <c r="G85" s="276"/>
      <c r="H85" s="275">
        <v>18</v>
      </c>
      <c r="I85" s="277"/>
      <c r="J85" s="278" t="s">
        <v>658</v>
      </c>
      <c r="K85" s="275" t="s">
        <v>296</v>
      </c>
      <c r="L85" s="275">
        <v>1</v>
      </c>
      <c r="M85" s="279"/>
      <c r="N85" s="280" t="str">
        <f t="shared" si="8"/>
        <v>INCLUDED</v>
      </c>
      <c r="O85" s="281">
        <f t="shared" si="9"/>
        <v>0</v>
      </c>
      <c r="P85" s="281">
        <f t="shared" si="14"/>
        <v>0</v>
      </c>
      <c r="Q85" s="281">
        <f>Discount!$H$36</f>
        <v>0</v>
      </c>
      <c r="R85" s="282">
        <f t="shared" si="11"/>
        <v>0</v>
      </c>
      <c r="S85" s="282">
        <f t="shared" si="12"/>
        <v>0</v>
      </c>
      <c r="T85" s="283">
        <f t="shared" si="13"/>
        <v>0</v>
      </c>
    </row>
    <row r="86" spans="1:20" ht="31.2">
      <c r="A86" s="274">
        <v>69</v>
      </c>
      <c r="B86" s="275">
        <v>7000026407</v>
      </c>
      <c r="C86" s="275">
        <v>500</v>
      </c>
      <c r="D86" s="275" t="s">
        <v>715</v>
      </c>
      <c r="E86" s="275">
        <v>1000058333</v>
      </c>
      <c r="F86" s="275">
        <v>85359030</v>
      </c>
      <c r="G86" s="276"/>
      <c r="H86" s="275">
        <v>18</v>
      </c>
      <c r="I86" s="277"/>
      <c r="J86" s="278" t="s">
        <v>659</v>
      </c>
      <c r="K86" s="275" t="s">
        <v>296</v>
      </c>
      <c r="L86" s="275">
        <v>1</v>
      </c>
      <c r="M86" s="279"/>
      <c r="N86" s="280" t="str">
        <f t="shared" si="8"/>
        <v>INCLUDED</v>
      </c>
      <c r="O86" s="281">
        <f t="shared" si="9"/>
        <v>0</v>
      </c>
      <c r="P86" s="281">
        <f t="shared" si="14"/>
        <v>0</v>
      </c>
      <c r="Q86" s="281">
        <f>Discount!$H$36</f>
        <v>0</v>
      </c>
      <c r="R86" s="282">
        <f t="shared" si="11"/>
        <v>0</v>
      </c>
      <c r="S86" s="282">
        <f t="shared" si="12"/>
        <v>0</v>
      </c>
      <c r="T86" s="283">
        <f t="shared" si="13"/>
        <v>0</v>
      </c>
    </row>
    <row r="87" spans="1:20" ht="62.4">
      <c r="A87" s="284">
        <v>70</v>
      </c>
      <c r="B87" s="275">
        <v>7000026407</v>
      </c>
      <c r="C87" s="275">
        <v>510</v>
      </c>
      <c r="D87" s="275" t="s">
        <v>715</v>
      </c>
      <c r="E87" s="275">
        <v>1000049498</v>
      </c>
      <c r="F87" s="275">
        <v>85359030</v>
      </c>
      <c r="G87" s="276"/>
      <c r="H87" s="275">
        <v>18</v>
      </c>
      <c r="I87" s="277"/>
      <c r="J87" s="278" t="s">
        <v>660</v>
      </c>
      <c r="K87" s="275" t="s">
        <v>297</v>
      </c>
      <c r="L87" s="275">
        <v>1</v>
      </c>
      <c r="M87" s="279"/>
      <c r="N87" s="280" t="str">
        <f t="shared" si="8"/>
        <v>INCLUDED</v>
      </c>
      <c r="O87" s="281">
        <f t="shared" si="9"/>
        <v>0</v>
      </c>
      <c r="P87" s="281">
        <f t="shared" si="14"/>
        <v>0</v>
      </c>
      <c r="Q87" s="281">
        <f>Discount!$H$36</f>
        <v>0</v>
      </c>
      <c r="R87" s="282">
        <f t="shared" si="11"/>
        <v>0</v>
      </c>
      <c r="S87" s="282">
        <f t="shared" si="12"/>
        <v>0</v>
      </c>
      <c r="T87" s="283">
        <f t="shared" si="13"/>
        <v>0</v>
      </c>
    </row>
    <row r="88" spans="1:20" ht="62.4">
      <c r="A88" s="274">
        <v>71</v>
      </c>
      <c r="B88" s="275">
        <v>7000026407</v>
      </c>
      <c r="C88" s="275">
        <v>520</v>
      </c>
      <c r="D88" s="275" t="s">
        <v>715</v>
      </c>
      <c r="E88" s="275">
        <v>1000058317</v>
      </c>
      <c r="F88" s="275">
        <v>85359030</v>
      </c>
      <c r="G88" s="276"/>
      <c r="H88" s="275">
        <v>18</v>
      </c>
      <c r="I88" s="277"/>
      <c r="J88" s="278" t="s">
        <v>661</v>
      </c>
      <c r="K88" s="275" t="s">
        <v>297</v>
      </c>
      <c r="L88" s="275">
        <v>1</v>
      </c>
      <c r="M88" s="279"/>
      <c r="N88" s="280" t="str">
        <f t="shared" si="8"/>
        <v>INCLUDED</v>
      </c>
      <c r="O88" s="281">
        <f t="shared" si="9"/>
        <v>0</v>
      </c>
      <c r="P88" s="281">
        <f t="shared" si="14"/>
        <v>0</v>
      </c>
      <c r="Q88" s="281">
        <f>Discount!$H$36</f>
        <v>0</v>
      </c>
      <c r="R88" s="282">
        <f t="shared" si="11"/>
        <v>0</v>
      </c>
      <c r="S88" s="282">
        <f t="shared" si="12"/>
        <v>0</v>
      </c>
      <c r="T88" s="283">
        <f t="shared" si="13"/>
        <v>0</v>
      </c>
    </row>
    <row r="89" spans="1:20" ht="31.2">
      <c r="A89" s="284">
        <v>72</v>
      </c>
      <c r="B89" s="275">
        <v>7000026407</v>
      </c>
      <c r="C89" s="275">
        <v>530</v>
      </c>
      <c r="D89" s="275" t="s">
        <v>715</v>
      </c>
      <c r="E89" s="275">
        <v>1000021873</v>
      </c>
      <c r="F89" s="275">
        <v>85389000</v>
      </c>
      <c r="G89" s="276"/>
      <c r="H89" s="275">
        <v>18</v>
      </c>
      <c r="I89" s="277"/>
      <c r="J89" s="278" t="s">
        <v>662</v>
      </c>
      <c r="K89" s="275" t="s">
        <v>297</v>
      </c>
      <c r="L89" s="275">
        <v>3</v>
      </c>
      <c r="M89" s="279"/>
      <c r="N89" s="280" t="str">
        <f t="shared" si="8"/>
        <v>INCLUDED</v>
      </c>
      <c r="O89" s="281">
        <f t="shared" si="9"/>
        <v>0</v>
      </c>
      <c r="P89" s="281">
        <f t="shared" si="14"/>
        <v>0</v>
      </c>
      <c r="Q89" s="281">
        <f>Discount!$H$36</f>
        <v>0</v>
      </c>
      <c r="R89" s="282">
        <f t="shared" si="11"/>
        <v>0</v>
      </c>
      <c r="S89" s="282">
        <f t="shared" si="12"/>
        <v>0</v>
      </c>
      <c r="T89" s="283">
        <f t="shared" si="13"/>
        <v>0</v>
      </c>
    </row>
    <row r="90" spans="1:20" ht="31.2">
      <c r="A90" s="274">
        <v>73</v>
      </c>
      <c r="B90" s="275">
        <v>7000026407</v>
      </c>
      <c r="C90" s="275">
        <v>540</v>
      </c>
      <c r="D90" s="275" t="s">
        <v>715</v>
      </c>
      <c r="E90" s="275">
        <v>1000009208</v>
      </c>
      <c r="F90" s="275">
        <v>85389000</v>
      </c>
      <c r="G90" s="276"/>
      <c r="H90" s="275">
        <v>18</v>
      </c>
      <c r="I90" s="277"/>
      <c r="J90" s="278" t="s">
        <v>663</v>
      </c>
      <c r="K90" s="275" t="s">
        <v>297</v>
      </c>
      <c r="L90" s="275">
        <v>3</v>
      </c>
      <c r="M90" s="279"/>
      <c r="N90" s="280" t="str">
        <f t="shared" si="8"/>
        <v>INCLUDED</v>
      </c>
      <c r="O90" s="281">
        <f t="shared" si="9"/>
        <v>0</v>
      </c>
      <c r="P90" s="281">
        <f t="shared" si="14"/>
        <v>0</v>
      </c>
      <c r="Q90" s="281">
        <f>Discount!$H$36</f>
        <v>0</v>
      </c>
      <c r="R90" s="282">
        <f t="shared" si="11"/>
        <v>0</v>
      </c>
      <c r="S90" s="282">
        <f t="shared" si="12"/>
        <v>0</v>
      </c>
      <c r="T90" s="283">
        <f t="shared" si="13"/>
        <v>0</v>
      </c>
    </row>
    <row r="91" spans="1:20" ht="46.8">
      <c r="A91" s="284">
        <v>74</v>
      </c>
      <c r="B91" s="275">
        <v>7000026407</v>
      </c>
      <c r="C91" s="275">
        <v>550</v>
      </c>
      <c r="D91" s="275" t="s">
        <v>715</v>
      </c>
      <c r="E91" s="275">
        <v>1000058324</v>
      </c>
      <c r="F91" s="275">
        <v>85359030</v>
      </c>
      <c r="G91" s="276"/>
      <c r="H91" s="275">
        <v>18</v>
      </c>
      <c r="I91" s="277"/>
      <c r="J91" s="278" t="s">
        <v>664</v>
      </c>
      <c r="K91" s="275" t="s">
        <v>297</v>
      </c>
      <c r="L91" s="275">
        <v>1</v>
      </c>
      <c r="M91" s="279"/>
      <c r="N91" s="280" t="str">
        <f t="shared" si="8"/>
        <v>INCLUDED</v>
      </c>
      <c r="O91" s="281">
        <f t="shared" si="9"/>
        <v>0</v>
      </c>
      <c r="P91" s="281">
        <f t="shared" si="14"/>
        <v>0</v>
      </c>
      <c r="Q91" s="281">
        <f>Discount!$H$36</f>
        <v>0</v>
      </c>
      <c r="R91" s="282">
        <f t="shared" si="11"/>
        <v>0</v>
      </c>
      <c r="S91" s="282">
        <f t="shared" si="12"/>
        <v>0</v>
      </c>
      <c r="T91" s="283">
        <f t="shared" si="13"/>
        <v>0</v>
      </c>
    </row>
    <row r="92" spans="1:20" ht="31.2">
      <c r="A92" s="274">
        <v>75</v>
      </c>
      <c r="B92" s="275">
        <v>7000026407</v>
      </c>
      <c r="C92" s="275">
        <v>560</v>
      </c>
      <c r="D92" s="275" t="s">
        <v>715</v>
      </c>
      <c r="E92" s="275">
        <v>1000007067</v>
      </c>
      <c r="F92" s="275">
        <v>85389000</v>
      </c>
      <c r="G92" s="276"/>
      <c r="H92" s="275">
        <v>18</v>
      </c>
      <c r="I92" s="277"/>
      <c r="J92" s="278" t="s">
        <v>665</v>
      </c>
      <c r="K92" s="275" t="s">
        <v>297</v>
      </c>
      <c r="L92" s="275">
        <v>2</v>
      </c>
      <c r="M92" s="279"/>
      <c r="N92" s="280" t="str">
        <f t="shared" si="8"/>
        <v>INCLUDED</v>
      </c>
      <c r="O92" s="281">
        <f t="shared" si="9"/>
        <v>0</v>
      </c>
      <c r="P92" s="281">
        <f t="shared" si="14"/>
        <v>0</v>
      </c>
      <c r="Q92" s="281">
        <f>Discount!$H$36</f>
        <v>0</v>
      </c>
      <c r="R92" s="282">
        <f t="shared" si="11"/>
        <v>0</v>
      </c>
      <c r="S92" s="282">
        <f t="shared" si="12"/>
        <v>0</v>
      </c>
      <c r="T92" s="283">
        <f t="shared" si="13"/>
        <v>0</v>
      </c>
    </row>
    <row r="93" spans="1:20" ht="31.2">
      <c r="A93" s="284">
        <v>76</v>
      </c>
      <c r="B93" s="275">
        <v>7000026407</v>
      </c>
      <c r="C93" s="275">
        <v>570</v>
      </c>
      <c r="D93" s="275" t="s">
        <v>715</v>
      </c>
      <c r="E93" s="275">
        <v>1000058323</v>
      </c>
      <c r="F93" s="275">
        <v>85359030</v>
      </c>
      <c r="G93" s="276"/>
      <c r="H93" s="275">
        <v>18</v>
      </c>
      <c r="I93" s="277"/>
      <c r="J93" s="278" t="s">
        <v>666</v>
      </c>
      <c r="K93" s="275" t="s">
        <v>296</v>
      </c>
      <c r="L93" s="275">
        <v>2</v>
      </c>
      <c r="M93" s="279"/>
      <c r="N93" s="280" t="str">
        <f t="shared" si="8"/>
        <v>INCLUDED</v>
      </c>
      <c r="O93" s="281">
        <f t="shared" si="9"/>
        <v>0</v>
      </c>
      <c r="P93" s="281">
        <f t="shared" ref="P93:P102" si="21">IF( I93="",H93*(IF(N93="Included",0,N93))/100,I93*(IF(N93="Included",0,N93)))</f>
        <v>0</v>
      </c>
      <c r="Q93" s="281">
        <f>Discount!$H$36</f>
        <v>0</v>
      </c>
      <c r="R93" s="282">
        <f t="shared" si="11"/>
        <v>0</v>
      </c>
      <c r="S93" s="282">
        <f t="shared" si="12"/>
        <v>0</v>
      </c>
      <c r="T93" s="283">
        <f t="shared" si="13"/>
        <v>0</v>
      </c>
    </row>
    <row r="94" spans="1:20" ht="46.8">
      <c r="A94" s="274">
        <v>77</v>
      </c>
      <c r="B94" s="275">
        <v>7000026407</v>
      </c>
      <c r="C94" s="275">
        <v>580</v>
      </c>
      <c r="D94" s="275" t="s">
        <v>715</v>
      </c>
      <c r="E94" s="275">
        <v>1000058320</v>
      </c>
      <c r="F94" s="275">
        <v>85359030</v>
      </c>
      <c r="G94" s="276"/>
      <c r="H94" s="275">
        <v>18</v>
      </c>
      <c r="I94" s="277"/>
      <c r="J94" s="278" t="s">
        <v>667</v>
      </c>
      <c r="K94" s="275" t="s">
        <v>297</v>
      </c>
      <c r="L94" s="275">
        <v>1</v>
      </c>
      <c r="M94" s="279"/>
      <c r="N94" s="280" t="str">
        <f t="shared" si="8"/>
        <v>INCLUDED</v>
      </c>
      <c r="O94" s="281">
        <f t="shared" si="9"/>
        <v>0</v>
      </c>
      <c r="P94" s="281">
        <f t="shared" si="21"/>
        <v>0</v>
      </c>
      <c r="Q94" s="281">
        <f>Discount!$H$36</f>
        <v>0</v>
      </c>
      <c r="R94" s="282">
        <f t="shared" si="11"/>
        <v>0</v>
      </c>
      <c r="S94" s="282">
        <f t="shared" si="12"/>
        <v>0</v>
      </c>
      <c r="T94" s="283">
        <f t="shared" si="13"/>
        <v>0</v>
      </c>
    </row>
    <row r="95" spans="1:20" ht="46.8">
      <c r="A95" s="284">
        <v>78</v>
      </c>
      <c r="B95" s="275">
        <v>7000026407</v>
      </c>
      <c r="C95" s="275">
        <v>590</v>
      </c>
      <c r="D95" s="275" t="s">
        <v>715</v>
      </c>
      <c r="E95" s="275">
        <v>1000049759</v>
      </c>
      <c r="F95" s="275">
        <v>85359030</v>
      </c>
      <c r="G95" s="276"/>
      <c r="H95" s="275">
        <v>18</v>
      </c>
      <c r="I95" s="277"/>
      <c r="J95" s="278" t="s">
        <v>668</v>
      </c>
      <c r="K95" s="275" t="s">
        <v>297</v>
      </c>
      <c r="L95" s="275">
        <v>1</v>
      </c>
      <c r="M95" s="279"/>
      <c r="N95" s="280" t="str">
        <f t="shared" si="8"/>
        <v>INCLUDED</v>
      </c>
      <c r="O95" s="281">
        <f t="shared" si="9"/>
        <v>0</v>
      </c>
      <c r="P95" s="281">
        <f t="shared" si="21"/>
        <v>0</v>
      </c>
      <c r="Q95" s="281">
        <f>Discount!$H$36</f>
        <v>0</v>
      </c>
      <c r="R95" s="282">
        <f t="shared" si="11"/>
        <v>0</v>
      </c>
      <c r="S95" s="282">
        <f t="shared" si="12"/>
        <v>0</v>
      </c>
      <c r="T95" s="283">
        <f t="shared" si="13"/>
        <v>0</v>
      </c>
    </row>
    <row r="96" spans="1:20" ht="46.8">
      <c r="A96" s="274">
        <v>79</v>
      </c>
      <c r="B96" s="275">
        <v>7000026407</v>
      </c>
      <c r="C96" s="275">
        <v>600</v>
      </c>
      <c r="D96" s="275" t="s">
        <v>715</v>
      </c>
      <c r="E96" s="275">
        <v>1000058319</v>
      </c>
      <c r="F96" s="275">
        <v>85359030</v>
      </c>
      <c r="G96" s="276"/>
      <c r="H96" s="275">
        <v>18</v>
      </c>
      <c r="I96" s="277"/>
      <c r="J96" s="278" t="s">
        <v>669</v>
      </c>
      <c r="K96" s="275" t="s">
        <v>297</v>
      </c>
      <c r="L96" s="275">
        <v>1</v>
      </c>
      <c r="M96" s="279"/>
      <c r="N96" s="280" t="str">
        <f t="shared" si="8"/>
        <v>INCLUDED</v>
      </c>
      <c r="O96" s="281">
        <f t="shared" si="9"/>
        <v>0</v>
      </c>
      <c r="P96" s="281">
        <f t="shared" si="21"/>
        <v>0</v>
      </c>
      <c r="Q96" s="281">
        <f>Discount!$H$36</f>
        <v>0</v>
      </c>
      <c r="R96" s="282">
        <f t="shared" si="11"/>
        <v>0</v>
      </c>
      <c r="S96" s="282">
        <f t="shared" si="12"/>
        <v>0</v>
      </c>
      <c r="T96" s="283">
        <f t="shared" si="13"/>
        <v>0</v>
      </c>
    </row>
    <row r="97" spans="1:20" ht="31.2">
      <c r="A97" s="284">
        <v>80</v>
      </c>
      <c r="B97" s="275">
        <v>7000026407</v>
      </c>
      <c r="C97" s="275">
        <v>610</v>
      </c>
      <c r="D97" s="275" t="s">
        <v>715</v>
      </c>
      <c r="E97" s="275">
        <v>1000058322</v>
      </c>
      <c r="F97" s="275">
        <v>85359030</v>
      </c>
      <c r="G97" s="276"/>
      <c r="H97" s="275">
        <v>18</v>
      </c>
      <c r="I97" s="277"/>
      <c r="J97" s="278" t="s">
        <v>670</v>
      </c>
      <c r="K97" s="275" t="s">
        <v>297</v>
      </c>
      <c r="L97" s="275">
        <v>1</v>
      </c>
      <c r="M97" s="279"/>
      <c r="N97" s="280" t="str">
        <f t="shared" si="8"/>
        <v>INCLUDED</v>
      </c>
      <c r="O97" s="281">
        <f t="shared" si="9"/>
        <v>0</v>
      </c>
      <c r="P97" s="281">
        <f t="shared" si="21"/>
        <v>0</v>
      </c>
      <c r="Q97" s="281">
        <f>Discount!$H$36</f>
        <v>0</v>
      </c>
      <c r="R97" s="282">
        <f t="shared" si="11"/>
        <v>0</v>
      </c>
      <c r="S97" s="282">
        <f t="shared" si="12"/>
        <v>0</v>
      </c>
      <c r="T97" s="283">
        <f t="shared" si="13"/>
        <v>0</v>
      </c>
    </row>
    <row r="98" spans="1:20" ht="31.2">
      <c r="A98" s="274">
        <v>81</v>
      </c>
      <c r="B98" s="275">
        <v>7000026407</v>
      </c>
      <c r="C98" s="275">
        <v>620</v>
      </c>
      <c r="D98" s="275" t="s">
        <v>715</v>
      </c>
      <c r="E98" s="275">
        <v>1000049835</v>
      </c>
      <c r="F98" s="275">
        <v>85359030</v>
      </c>
      <c r="G98" s="276"/>
      <c r="H98" s="275">
        <v>18</v>
      </c>
      <c r="I98" s="277"/>
      <c r="J98" s="278" t="s">
        <v>671</v>
      </c>
      <c r="K98" s="275" t="s">
        <v>297</v>
      </c>
      <c r="L98" s="275">
        <v>1</v>
      </c>
      <c r="M98" s="279"/>
      <c r="N98" s="280" t="str">
        <f t="shared" si="8"/>
        <v>INCLUDED</v>
      </c>
      <c r="O98" s="281">
        <f t="shared" si="9"/>
        <v>0</v>
      </c>
      <c r="P98" s="281">
        <f t="shared" si="21"/>
        <v>0</v>
      </c>
      <c r="Q98" s="281">
        <f>Discount!$H$36</f>
        <v>0</v>
      </c>
      <c r="R98" s="282">
        <f t="shared" si="11"/>
        <v>0</v>
      </c>
      <c r="S98" s="282">
        <f t="shared" si="12"/>
        <v>0</v>
      </c>
      <c r="T98" s="283">
        <f t="shared" si="13"/>
        <v>0</v>
      </c>
    </row>
    <row r="99" spans="1:20" ht="46.8">
      <c r="A99" s="284">
        <v>82</v>
      </c>
      <c r="B99" s="275">
        <v>7000026407</v>
      </c>
      <c r="C99" s="275">
        <v>630</v>
      </c>
      <c r="D99" s="275" t="s">
        <v>715</v>
      </c>
      <c r="E99" s="275">
        <v>1000049795</v>
      </c>
      <c r="F99" s="275">
        <v>85359030</v>
      </c>
      <c r="G99" s="276"/>
      <c r="H99" s="275">
        <v>18</v>
      </c>
      <c r="I99" s="277"/>
      <c r="J99" s="278" t="s">
        <v>672</v>
      </c>
      <c r="K99" s="275" t="s">
        <v>297</v>
      </c>
      <c r="L99" s="275">
        <v>1</v>
      </c>
      <c r="M99" s="279"/>
      <c r="N99" s="280" t="str">
        <f t="shared" si="8"/>
        <v>INCLUDED</v>
      </c>
      <c r="O99" s="281">
        <f t="shared" si="9"/>
        <v>0</v>
      </c>
      <c r="P99" s="281">
        <f t="shared" si="21"/>
        <v>0</v>
      </c>
      <c r="Q99" s="281">
        <f>Discount!$H$36</f>
        <v>0</v>
      </c>
      <c r="R99" s="282">
        <f t="shared" si="11"/>
        <v>0</v>
      </c>
      <c r="S99" s="282">
        <f t="shared" si="12"/>
        <v>0</v>
      </c>
      <c r="T99" s="283">
        <f t="shared" si="13"/>
        <v>0</v>
      </c>
    </row>
    <row r="100" spans="1:20" ht="46.8">
      <c r="A100" s="274">
        <v>83</v>
      </c>
      <c r="B100" s="275">
        <v>7000026407</v>
      </c>
      <c r="C100" s="275">
        <v>640</v>
      </c>
      <c r="D100" s="275" t="s">
        <v>715</v>
      </c>
      <c r="E100" s="275">
        <v>1000049808</v>
      </c>
      <c r="F100" s="275">
        <v>85359030</v>
      </c>
      <c r="G100" s="276"/>
      <c r="H100" s="275">
        <v>18</v>
      </c>
      <c r="I100" s="277"/>
      <c r="J100" s="278" t="s">
        <v>620</v>
      </c>
      <c r="K100" s="275" t="s">
        <v>297</v>
      </c>
      <c r="L100" s="275">
        <v>1</v>
      </c>
      <c r="M100" s="279"/>
      <c r="N100" s="280" t="str">
        <f t="shared" si="8"/>
        <v>INCLUDED</v>
      </c>
      <c r="O100" s="281">
        <f t="shared" si="9"/>
        <v>0</v>
      </c>
      <c r="P100" s="281">
        <f t="shared" si="21"/>
        <v>0</v>
      </c>
      <c r="Q100" s="281">
        <f>Discount!$H$36</f>
        <v>0</v>
      </c>
      <c r="R100" s="282">
        <f t="shared" si="11"/>
        <v>0</v>
      </c>
      <c r="S100" s="282">
        <f t="shared" si="12"/>
        <v>0</v>
      </c>
      <c r="T100" s="283">
        <f t="shared" si="13"/>
        <v>0</v>
      </c>
    </row>
    <row r="101" spans="1:20" ht="46.8">
      <c r="A101" s="284">
        <v>84</v>
      </c>
      <c r="B101" s="275">
        <v>7000026407</v>
      </c>
      <c r="C101" s="275">
        <v>650</v>
      </c>
      <c r="D101" s="275" t="s">
        <v>715</v>
      </c>
      <c r="E101" s="275">
        <v>1000049805</v>
      </c>
      <c r="F101" s="275">
        <v>85359030</v>
      </c>
      <c r="G101" s="276"/>
      <c r="H101" s="275">
        <v>18</v>
      </c>
      <c r="I101" s="277"/>
      <c r="J101" s="278" t="s">
        <v>621</v>
      </c>
      <c r="K101" s="275" t="s">
        <v>297</v>
      </c>
      <c r="L101" s="275">
        <v>1</v>
      </c>
      <c r="M101" s="279"/>
      <c r="N101" s="280" t="str">
        <f t="shared" si="8"/>
        <v>INCLUDED</v>
      </c>
      <c r="O101" s="281">
        <f t="shared" si="9"/>
        <v>0</v>
      </c>
      <c r="P101" s="281">
        <f t="shared" si="21"/>
        <v>0</v>
      </c>
      <c r="Q101" s="281">
        <f>Discount!$H$36</f>
        <v>0</v>
      </c>
      <c r="R101" s="282">
        <f t="shared" si="11"/>
        <v>0</v>
      </c>
      <c r="S101" s="282">
        <f t="shared" si="12"/>
        <v>0</v>
      </c>
      <c r="T101" s="283">
        <f t="shared" si="13"/>
        <v>0</v>
      </c>
    </row>
    <row r="102" spans="1:20" ht="46.8">
      <c r="A102" s="274">
        <v>85</v>
      </c>
      <c r="B102" s="275">
        <v>7000026407</v>
      </c>
      <c r="C102" s="275">
        <v>660</v>
      </c>
      <c r="D102" s="275" t="s">
        <v>715</v>
      </c>
      <c r="E102" s="275">
        <v>1000058321</v>
      </c>
      <c r="F102" s="275">
        <v>85359030</v>
      </c>
      <c r="G102" s="276"/>
      <c r="H102" s="275">
        <v>18</v>
      </c>
      <c r="I102" s="277"/>
      <c r="J102" s="278" t="s">
        <v>622</v>
      </c>
      <c r="K102" s="275" t="s">
        <v>297</v>
      </c>
      <c r="L102" s="275">
        <v>1</v>
      </c>
      <c r="M102" s="279"/>
      <c r="N102" s="280" t="str">
        <f t="shared" si="8"/>
        <v>INCLUDED</v>
      </c>
      <c r="O102" s="281">
        <f t="shared" si="9"/>
        <v>0</v>
      </c>
      <c r="P102" s="281">
        <f t="shared" si="21"/>
        <v>0</v>
      </c>
      <c r="Q102" s="281">
        <f>Discount!$H$36</f>
        <v>0</v>
      </c>
      <c r="R102" s="282">
        <f t="shared" si="11"/>
        <v>0</v>
      </c>
      <c r="S102" s="282">
        <f t="shared" si="12"/>
        <v>0</v>
      </c>
      <c r="T102" s="283">
        <f t="shared" si="13"/>
        <v>0</v>
      </c>
    </row>
    <row r="103" spans="1:20" ht="46.8">
      <c r="A103" s="284">
        <v>86</v>
      </c>
      <c r="B103" s="275">
        <v>7000026407</v>
      </c>
      <c r="C103" s="275">
        <v>670</v>
      </c>
      <c r="D103" s="275" t="s">
        <v>715</v>
      </c>
      <c r="E103" s="275">
        <v>1000049799</v>
      </c>
      <c r="F103" s="275">
        <v>85359030</v>
      </c>
      <c r="G103" s="276"/>
      <c r="H103" s="275">
        <v>18</v>
      </c>
      <c r="I103" s="277"/>
      <c r="J103" s="278" t="s">
        <v>623</v>
      </c>
      <c r="K103" s="275" t="s">
        <v>297</v>
      </c>
      <c r="L103" s="275">
        <v>1</v>
      </c>
      <c r="M103" s="279"/>
      <c r="N103" s="280" t="str">
        <f t="shared" si="8"/>
        <v>INCLUDED</v>
      </c>
      <c r="O103" s="281">
        <f>IF(N103="Included",0,N103)</f>
        <v>0</v>
      </c>
      <c r="P103" s="281">
        <f>IF( I103="",H103*(IF(N103="Included",0,N103))/100,I103*(IF(N103="Included",0,N103)))</f>
        <v>0</v>
      </c>
      <c r="Q103" s="281">
        <f>Discount!$H$36</f>
        <v>0</v>
      </c>
      <c r="R103" s="282">
        <f>Q103*O103</f>
        <v>0</v>
      </c>
      <c r="S103" s="282">
        <f>IF(I103="",H103*R103/100,I103*R103)</f>
        <v>0</v>
      </c>
      <c r="T103" s="283">
        <f t="shared" si="13"/>
        <v>0</v>
      </c>
    </row>
    <row r="104" spans="1:20" ht="62.4">
      <c r="A104" s="274">
        <v>87</v>
      </c>
      <c r="B104" s="275">
        <v>7000026407</v>
      </c>
      <c r="C104" s="275">
        <v>680</v>
      </c>
      <c r="D104" s="275" t="s">
        <v>715</v>
      </c>
      <c r="E104" s="275">
        <v>1000058325</v>
      </c>
      <c r="F104" s="275">
        <v>85359030</v>
      </c>
      <c r="G104" s="276"/>
      <c r="H104" s="275">
        <v>18</v>
      </c>
      <c r="I104" s="277"/>
      <c r="J104" s="278" t="s">
        <v>624</v>
      </c>
      <c r="K104" s="275" t="s">
        <v>297</v>
      </c>
      <c r="L104" s="275">
        <v>1</v>
      </c>
      <c r="M104" s="279"/>
      <c r="N104" s="280" t="str">
        <f t="shared" si="2"/>
        <v>INCLUDED</v>
      </c>
      <c r="O104" s="281">
        <f t="shared" si="4"/>
        <v>0</v>
      </c>
      <c r="P104" s="281">
        <f t="shared" si="5"/>
        <v>0</v>
      </c>
      <c r="Q104" s="281">
        <f>Discount!$H$36</f>
        <v>0</v>
      </c>
      <c r="R104" s="282">
        <f t="shared" si="6"/>
        <v>0</v>
      </c>
      <c r="S104" s="282">
        <f t="shared" si="7"/>
        <v>0</v>
      </c>
      <c r="T104" s="283">
        <f t="shared" si="3"/>
        <v>0</v>
      </c>
    </row>
    <row r="105" spans="1:20" ht="62.4">
      <c r="A105" s="284">
        <v>88</v>
      </c>
      <c r="B105" s="275">
        <v>7000026407</v>
      </c>
      <c r="C105" s="275">
        <v>690</v>
      </c>
      <c r="D105" s="275" t="s">
        <v>715</v>
      </c>
      <c r="E105" s="275">
        <v>1000058318</v>
      </c>
      <c r="F105" s="275">
        <v>85359030</v>
      </c>
      <c r="G105" s="276"/>
      <c r="H105" s="275">
        <v>18</v>
      </c>
      <c r="I105" s="277"/>
      <c r="J105" s="278" t="s">
        <v>625</v>
      </c>
      <c r="K105" s="275" t="s">
        <v>297</v>
      </c>
      <c r="L105" s="275">
        <v>1</v>
      </c>
      <c r="M105" s="279"/>
      <c r="N105" s="280" t="str">
        <f t="shared" si="2"/>
        <v>INCLUDED</v>
      </c>
      <c r="O105" s="281">
        <f t="shared" si="4"/>
        <v>0</v>
      </c>
      <c r="P105" s="281">
        <f t="shared" si="5"/>
        <v>0</v>
      </c>
      <c r="Q105" s="281">
        <f>Discount!$H$36</f>
        <v>0</v>
      </c>
      <c r="R105" s="282">
        <f t="shared" si="6"/>
        <v>0</v>
      </c>
      <c r="S105" s="282">
        <f t="shared" si="7"/>
        <v>0</v>
      </c>
      <c r="T105" s="283">
        <f t="shared" si="3"/>
        <v>0</v>
      </c>
    </row>
    <row r="106" spans="1:20" ht="46.8">
      <c r="A106" s="274">
        <v>89</v>
      </c>
      <c r="B106" s="275">
        <v>7000026407</v>
      </c>
      <c r="C106" s="275">
        <v>700</v>
      </c>
      <c r="D106" s="275" t="s">
        <v>715</v>
      </c>
      <c r="E106" s="275">
        <v>1000049495</v>
      </c>
      <c r="F106" s="275">
        <v>85359030</v>
      </c>
      <c r="G106" s="276"/>
      <c r="H106" s="275">
        <v>18</v>
      </c>
      <c r="I106" s="277"/>
      <c r="J106" s="278" t="s">
        <v>626</v>
      </c>
      <c r="K106" s="275" t="s">
        <v>297</v>
      </c>
      <c r="L106" s="275">
        <v>1</v>
      </c>
      <c r="M106" s="279"/>
      <c r="N106" s="280" t="str">
        <f t="shared" si="2"/>
        <v>INCLUDED</v>
      </c>
      <c r="O106" s="281">
        <f t="shared" si="4"/>
        <v>0</v>
      </c>
      <c r="P106" s="281">
        <f t="shared" si="5"/>
        <v>0</v>
      </c>
      <c r="Q106" s="281">
        <f>Discount!$H$36</f>
        <v>0</v>
      </c>
      <c r="R106" s="282">
        <f t="shared" si="6"/>
        <v>0</v>
      </c>
      <c r="S106" s="282">
        <f t="shared" si="7"/>
        <v>0</v>
      </c>
      <c r="T106" s="283">
        <f t="shared" si="3"/>
        <v>0</v>
      </c>
    </row>
    <row r="107" spans="1:20" ht="46.8">
      <c r="A107" s="284">
        <v>90</v>
      </c>
      <c r="B107" s="275">
        <v>7000026407</v>
      </c>
      <c r="C107" s="275">
        <v>710</v>
      </c>
      <c r="D107" s="275" t="s">
        <v>715</v>
      </c>
      <c r="E107" s="275">
        <v>1000049802</v>
      </c>
      <c r="F107" s="275">
        <v>85359030</v>
      </c>
      <c r="G107" s="276"/>
      <c r="H107" s="275">
        <v>18</v>
      </c>
      <c r="I107" s="277"/>
      <c r="J107" s="278" t="s">
        <v>627</v>
      </c>
      <c r="K107" s="275" t="s">
        <v>297</v>
      </c>
      <c r="L107" s="275">
        <v>1</v>
      </c>
      <c r="M107" s="279"/>
      <c r="N107" s="280" t="str">
        <f t="shared" si="2"/>
        <v>INCLUDED</v>
      </c>
      <c r="O107" s="281">
        <f t="shared" si="4"/>
        <v>0</v>
      </c>
      <c r="P107" s="281">
        <f t="shared" si="5"/>
        <v>0</v>
      </c>
      <c r="Q107" s="281">
        <f>Discount!$H$36</f>
        <v>0</v>
      </c>
      <c r="R107" s="282">
        <f t="shared" si="6"/>
        <v>0</v>
      </c>
      <c r="S107" s="282">
        <f t="shared" si="7"/>
        <v>0</v>
      </c>
      <c r="T107" s="283">
        <f t="shared" si="3"/>
        <v>0</v>
      </c>
    </row>
    <row r="108" spans="1:20" ht="405.6">
      <c r="A108" s="274">
        <v>91</v>
      </c>
      <c r="B108" s="275">
        <v>7000026407</v>
      </c>
      <c r="C108" s="275">
        <v>720</v>
      </c>
      <c r="D108" s="275" t="s">
        <v>715</v>
      </c>
      <c r="E108" s="275">
        <v>1000058374</v>
      </c>
      <c r="F108" s="275">
        <v>85359030</v>
      </c>
      <c r="G108" s="276"/>
      <c r="H108" s="275">
        <v>18</v>
      </c>
      <c r="I108" s="277"/>
      <c r="J108" s="278" t="s">
        <v>628</v>
      </c>
      <c r="K108" s="275" t="s">
        <v>296</v>
      </c>
      <c r="L108" s="275">
        <v>1</v>
      </c>
      <c r="M108" s="279"/>
      <c r="N108" s="280" t="str">
        <f t="shared" si="2"/>
        <v>INCLUDED</v>
      </c>
      <c r="O108" s="281">
        <f t="shared" si="4"/>
        <v>0</v>
      </c>
      <c r="P108" s="281">
        <f t="shared" si="5"/>
        <v>0</v>
      </c>
      <c r="Q108" s="281">
        <f>Discount!$H$36</f>
        <v>0</v>
      </c>
      <c r="R108" s="282">
        <f t="shared" si="6"/>
        <v>0</v>
      </c>
      <c r="S108" s="282">
        <f t="shared" si="7"/>
        <v>0</v>
      </c>
      <c r="T108" s="283">
        <f t="shared" si="3"/>
        <v>0</v>
      </c>
    </row>
    <row r="109" spans="1:20" ht="265.2">
      <c r="A109" s="284">
        <v>92</v>
      </c>
      <c r="B109" s="275">
        <v>7000026407</v>
      </c>
      <c r="C109" s="275">
        <v>730</v>
      </c>
      <c r="D109" s="275" t="s">
        <v>715</v>
      </c>
      <c r="E109" s="275">
        <v>1000058314</v>
      </c>
      <c r="F109" s="275">
        <v>85359030</v>
      </c>
      <c r="G109" s="276"/>
      <c r="H109" s="275">
        <v>18</v>
      </c>
      <c r="I109" s="277"/>
      <c r="J109" s="278" t="s">
        <v>629</v>
      </c>
      <c r="K109" s="275" t="s">
        <v>296</v>
      </c>
      <c r="L109" s="275">
        <v>1</v>
      </c>
      <c r="M109" s="279"/>
      <c r="N109" s="280" t="str">
        <f t="shared" si="2"/>
        <v>INCLUDED</v>
      </c>
      <c r="O109" s="281">
        <f t="shared" si="4"/>
        <v>0</v>
      </c>
      <c r="P109" s="281">
        <f t="shared" si="5"/>
        <v>0</v>
      </c>
      <c r="Q109" s="281">
        <f>Discount!$H$36</f>
        <v>0</v>
      </c>
      <c r="R109" s="282">
        <f t="shared" si="6"/>
        <v>0</v>
      </c>
      <c r="S109" s="282">
        <f t="shared" si="7"/>
        <v>0</v>
      </c>
      <c r="T109" s="283">
        <f t="shared" si="3"/>
        <v>0</v>
      </c>
    </row>
    <row r="110" spans="1:20" ht="265.2">
      <c r="A110" s="274">
        <v>93</v>
      </c>
      <c r="B110" s="275">
        <v>7000026407</v>
      </c>
      <c r="C110" s="275">
        <v>740</v>
      </c>
      <c r="D110" s="275" t="s">
        <v>715</v>
      </c>
      <c r="E110" s="275">
        <v>1000058310</v>
      </c>
      <c r="F110" s="275">
        <v>85359030</v>
      </c>
      <c r="G110" s="276"/>
      <c r="H110" s="275">
        <v>18</v>
      </c>
      <c r="I110" s="277"/>
      <c r="J110" s="278" t="s">
        <v>630</v>
      </c>
      <c r="K110" s="275" t="s">
        <v>296</v>
      </c>
      <c r="L110" s="275">
        <v>1</v>
      </c>
      <c r="M110" s="279"/>
      <c r="N110" s="280" t="str">
        <f t="shared" si="2"/>
        <v>INCLUDED</v>
      </c>
      <c r="O110" s="281">
        <f t="shared" si="4"/>
        <v>0</v>
      </c>
      <c r="P110" s="281">
        <f t="shared" si="5"/>
        <v>0</v>
      </c>
      <c r="Q110" s="281">
        <f>Discount!$H$36</f>
        <v>0</v>
      </c>
      <c r="R110" s="282">
        <f t="shared" si="6"/>
        <v>0</v>
      </c>
      <c r="S110" s="282">
        <f t="shared" si="7"/>
        <v>0</v>
      </c>
      <c r="T110" s="283">
        <f t="shared" si="3"/>
        <v>0</v>
      </c>
    </row>
    <row r="111" spans="1:20" ht="109.2">
      <c r="A111" s="284">
        <v>94</v>
      </c>
      <c r="B111" s="275">
        <v>7000026407</v>
      </c>
      <c r="C111" s="275">
        <v>750</v>
      </c>
      <c r="D111" s="275" t="s">
        <v>715</v>
      </c>
      <c r="E111" s="275">
        <v>1000058305</v>
      </c>
      <c r="F111" s="275">
        <v>85359030</v>
      </c>
      <c r="G111" s="276"/>
      <c r="H111" s="275">
        <v>18</v>
      </c>
      <c r="I111" s="277"/>
      <c r="J111" s="278" t="s">
        <v>631</v>
      </c>
      <c r="K111" s="275" t="s">
        <v>297</v>
      </c>
      <c r="L111" s="275">
        <v>1</v>
      </c>
      <c r="M111" s="279"/>
      <c r="N111" s="280" t="str">
        <f t="shared" si="2"/>
        <v>INCLUDED</v>
      </c>
      <c r="O111" s="281">
        <f t="shared" si="4"/>
        <v>0</v>
      </c>
      <c r="P111" s="281">
        <f t="shared" si="5"/>
        <v>0</v>
      </c>
      <c r="Q111" s="281">
        <f>Discount!$H$36</f>
        <v>0</v>
      </c>
      <c r="R111" s="282">
        <f t="shared" si="6"/>
        <v>0</v>
      </c>
      <c r="S111" s="282">
        <f t="shared" si="7"/>
        <v>0</v>
      </c>
      <c r="T111" s="283">
        <f t="shared" si="3"/>
        <v>0</v>
      </c>
    </row>
    <row r="112" spans="1:20" ht="109.2">
      <c r="A112" s="274">
        <v>95</v>
      </c>
      <c r="B112" s="275">
        <v>7000026407</v>
      </c>
      <c r="C112" s="275">
        <v>760</v>
      </c>
      <c r="D112" s="275" t="s">
        <v>715</v>
      </c>
      <c r="E112" s="275">
        <v>1000058312</v>
      </c>
      <c r="F112" s="275">
        <v>85359030</v>
      </c>
      <c r="G112" s="276"/>
      <c r="H112" s="275">
        <v>18</v>
      </c>
      <c r="I112" s="277"/>
      <c r="J112" s="278" t="s">
        <v>632</v>
      </c>
      <c r="K112" s="275" t="s">
        <v>297</v>
      </c>
      <c r="L112" s="275">
        <v>1</v>
      </c>
      <c r="M112" s="279"/>
      <c r="N112" s="280" t="str">
        <f t="shared" si="2"/>
        <v>INCLUDED</v>
      </c>
      <c r="O112" s="281">
        <f t="shared" si="4"/>
        <v>0</v>
      </c>
      <c r="P112" s="281">
        <f t="shared" si="5"/>
        <v>0</v>
      </c>
      <c r="Q112" s="281">
        <f>Discount!$H$36</f>
        <v>0</v>
      </c>
      <c r="R112" s="282">
        <f t="shared" si="6"/>
        <v>0</v>
      </c>
      <c r="S112" s="282">
        <f t="shared" si="7"/>
        <v>0</v>
      </c>
      <c r="T112" s="283">
        <f t="shared" si="3"/>
        <v>0</v>
      </c>
    </row>
    <row r="113" spans="1:20" ht="109.2">
      <c r="A113" s="284">
        <v>96</v>
      </c>
      <c r="B113" s="275">
        <v>7000026407</v>
      </c>
      <c r="C113" s="275">
        <v>770</v>
      </c>
      <c r="D113" s="275" t="s">
        <v>715</v>
      </c>
      <c r="E113" s="275">
        <v>1000058308</v>
      </c>
      <c r="F113" s="275">
        <v>85359030</v>
      </c>
      <c r="G113" s="276"/>
      <c r="H113" s="275">
        <v>18</v>
      </c>
      <c r="I113" s="277"/>
      <c r="J113" s="278" t="s">
        <v>633</v>
      </c>
      <c r="K113" s="275" t="s">
        <v>297</v>
      </c>
      <c r="L113" s="275">
        <v>1</v>
      </c>
      <c r="M113" s="279"/>
      <c r="N113" s="280" t="str">
        <f t="shared" si="2"/>
        <v>INCLUDED</v>
      </c>
      <c r="O113" s="281">
        <f t="shared" si="4"/>
        <v>0</v>
      </c>
      <c r="P113" s="281">
        <f t="shared" si="5"/>
        <v>0</v>
      </c>
      <c r="Q113" s="281">
        <f>Discount!$H$36</f>
        <v>0</v>
      </c>
      <c r="R113" s="282">
        <f t="shared" si="6"/>
        <v>0</v>
      </c>
      <c r="S113" s="282">
        <f t="shared" si="7"/>
        <v>0</v>
      </c>
      <c r="T113" s="283">
        <f t="shared" si="3"/>
        <v>0</v>
      </c>
    </row>
    <row r="114" spans="1:20" ht="31.2">
      <c r="A114" s="274">
        <v>97</v>
      </c>
      <c r="B114" s="275">
        <v>7000026407</v>
      </c>
      <c r="C114" s="275">
        <v>780</v>
      </c>
      <c r="D114" s="275" t="s">
        <v>715</v>
      </c>
      <c r="E114" s="275">
        <v>1000049776</v>
      </c>
      <c r="F114" s="275">
        <v>85359030</v>
      </c>
      <c r="G114" s="276"/>
      <c r="H114" s="275">
        <v>18</v>
      </c>
      <c r="I114" s="277"/>
      <c r="J114" s="278" t="s">
        <v>634</v>
      </c>
      <c r="K114" s="275" t="s">
        <v>297</v>
      </c>
      <c r="L114" s="275">
        <v>2</v>
      </c>
      <c r="M114" s="279"/>
      <c r="N114" s="280" t="str">
        <f t="shared" si="2"/>
        <v>INCLUDED</v>
      </c>
      <c r="O114" s="281">
        <f t="shared" si="4"/>
        <v>0</v>
      </c>
      <c r="P114" s="281">
        <f t="shared" si="5"/>
        <v>0</v>
      </c>
      <c r="Q114" s="281">
        <f>Discount!$H$36</f>
        <v>0</v>
      </c>
      <c r="R114" s="282">
        <f t="shared" si="6"/>
        <v>0</v>
      </c>
      <c r="S114" s="282">
        <f t="shared" si="7"/>
        <v>0</v>
      </c>
      <c r="T114" s="283">
        <f t="shared" si="3"/>
        <v>0</v>
      </c>
    </row>
    <row r="115" spans="1:20" ht="46.8">
      <c r="A115" s="284">
        <v>98</v>
      </c>
      <c r="B115" s="275">
        <v>7000026407</v>
      </c>
      <c r="C115" s="275">
        <v>790</v>
      </c>
      <c r="D115" s="275" t="s">
        <v>715</v>
      </c>
      <c r="E115" s="275">
        <v>1000049778</v>
      </c>
      <c r="F115" s="275">
        <v>85359030</v>
      </c>
      <c r="G115" s="276"/>
      <c r="H115" s="275">
        <v>18</v>
      </c>
      <c r="I115" s="277"/>
      <c r="J115" s="278" t="s">
        <v>635</v>
      </c>
      <c r="K115" s="275" t="s">
        <v>297</v>
      </c>
      <c r="L115" s="275">
        <v>2</v>
      </c>
      <c r="M115" s="279"/>
      <c r="N115" s="280" t="str">
        <f t="shared" si="2"/>
        <v>INCLUDED</v>
      </c>
      <c r="O115" s="281">
        <f t="shared" si="4"/>
        <v>0</v>
      </c>
      <c r="P115" s="281">
        <f t="shared" si="5"/>
        <v>0</v>
      </c>
      <c r="Q115" s="281">
        <f>Discount!$H$36</f>
        <v>0</v>
      </c>
      <c r="R115" s="282">
        <f t="shared" si="6"/>
        <v>0</v>
      </c>
      <c r="S115" s="282">
        <f t="shared" si="7"/>
        <v>0</v>
      </c>
      <c r="T115" s="283">
        <f t="shared" si="3"/>
        <v>0</v>
      </c>
    </row>
    <row r="116" spans="1:20" ht="46.8">
      <c r="A116" s="274">
        <v>99</v>
      </c>
      <c r="B116" s="275">
        <v>7000026407</v>
      </c>
      <c r="C116" s="275">
        <v>800</v>
      </c>
      <c r="D116" s="275" t="s">
        <v>715</v>
      </c>
      <c r="E116" s="275">
        <v>1000049777</v>
      </c>
      <c r="F116" s="275">
        <v>85359030</v>
      </c>
      <c r="G116" s="276"/>
      <c r="H116" s="275">
        <v>18</v>
      </c>
      <c r="I116" s="277"/>
      <c r="J116" s="278" t="s">
        <v>636</v>
      </c>
      <c r="K116" s="275" t="s">
        <v>297</v>
      </c>
      <c r="L116" s="275">
        <v>2</v>
      </c>
      <c r="M116" s="279"/>
      <c r="N116" s="280" t="str">
        <f t="shared" si="2"/>
        <v>INCLUDED</v>
      </c>
      <c r="O116" s="281">
        <f t="shared" si="4"/>
        <v>0</v>
      </c>
      <c r="P116" s="281">
        <f t="shared" si="5"/>
        <v>0</v>
      </c>
      <c r="Q116" s="281">
        <f>Discount!$H$36</f>
        <v>0</v>
      </c>
      <c r="R116" s="282">
        <f t="shared" si="6"/>
        <v>0</v>
      </c>
      <c r="S116" s="282">
        <f t="shared" si="7"/>
        <v>0</v>
      </c>
      <c r="T116" s="283">
        <f t="shared" si="3"/>
        <v>0</v>
      </c>
    </row>
    <row r="117" spans="1:20" ht="31.2">
      <c r="A117" s="284">
        <v>100</v>
      </c>
      <c r="B117" s="275">
        <v>7000026407</v>
      </c>
      <c r="C117" s="275">
        <v>810</v>
      </c>
      <c r="D117" s="275" t="s">
        <v>715</v>
      </c>
      <c r="E117" s="275">
        <v>1000058306</v>
      </c>
      <c r="F117" s="275">
        <v>85359030</v>
      </c>
      <c r="G117" s="276"/>
      <c r="H117" s="275">
        <v>18</v>
      </c>
      <c r="I117" s="277"/>
      <c r="J117" s="278" t="s">
        <v>637</v>
      </c>
      <c r="K117" s="275" t="s">
        <v>297</v>
      </c>
      <c r="L117" s="275">
        <v>1</v>
      </c>
      <c r="M117" s="279"/>
      <c r="N117" s="280" t="str">
        <f t="shared" si="2"/>
        <v>INCLUDED</v>
      </c>
      <c r="O117" s="281">
        <f t="shared" si="4"/>
        <v>0</v>
      </c>
      <c r="P117" s="281">
        <f t="shared" si="5"/>
        <v>0</v>
      </c>
      <c r="Q117" s="281">
        <f>Discount!$H$36</f>
        <v>0</v>
      </c>
      <c r="R117" s="282">
        <f t="shared" si="6"/>
        <v>0</v>
      </c>
      <c r="S117" s="282">
        <f t="shared" si="7"/>
        <v>0</v>
      </c>
      <c r="T117" s="283">
        <f t="shared" si="3"/>
        <v>0</v>
      </c>
    </row>
    <row r="118" spans="1:20" ht="31.2">
      <c r="A118" s="274">
        <v>101</v>
      </c>
      <c r="B118" s="275">
        <v>7000026407</v>
      </c>
      <c r="C118" s="275">
        <v>820</v>
      </c>
      <c r="D118" s="275" t="s">
        <v>715</v>
      </c>
      <c r="E118" s="275">
        <v>1000058313</v>
      </c>
      <c r="F118" s="275">
        <v>85359030</v>
      </c>
      <c r="G118" s="276"/>
      <c r="H118" s="275">
        <v>18</v>
      </c>
      <c r="I118" s="277"/>
      <c r="J118" s="278" t="s">
        <v>638</v>
      </c>
      <c r="K118" s="275" t="s">
        <v>297</v>
      </c>
      <c r="L118" s="275">
        <v>1</v>
      </c>
      <c r="M118" s="279"/>
      <c r="N118" s="280" t="str">
        <f t="shared" si="2"/>
        <v>INCLUDED</v>
      </c>
      <c r="O118" s="281">
        <f t="shared" si="4"/>
        <v>0</v>
      </c>
      <c r="P118" s="281">
        <f t="shared" si="5"/>
        <v>0</v>
      </c>
      <c r="Q118" s="281">
        <f>Discount!$H$36</f>
        <v>0</v>
      </c>
      <c r="R118" s="282">
        <f t="shared" si="6"/>
        <v>0</v>
      </c>
      <c r="S118" s="282">
        <f t="shared" si="7"/>
        <v>0</v>
      </c>
      <c r="T118" s="283">
        <f t="shared" si="3"/>
        <v>0</v>
      </c>
    </row>
    <row r="119" spans="1:20" ht="31.2">
      <c r="A119" s="284">
        <v>102</v>
      </c>
      <c r="B119" s="275">
        <v>7000026407</v>
      </c>
      <c r="C119" s="275">
        <v>830</v>
      </c>
      <c r="D119" s="275" t="s">
        <v>715</v>
      </c>
      <c r="E119" s="275">
        <v>1000058309</v>
      </c>
      <c r="F119" s="275">
        <v>85359030</v>
      </c>
      <c r="G119" s="276"/>
      <c r="H119" s="275">
        <v>18</v>
      </c>
      <c r="I119" s="277"/>
      <c r="J119" s="278" t="s">
        <v>639</v>
      </c>
      <c r="K119" s="275" t="s">
        <v>297</v>
      </c>
      <c r="L119" s="275">
        <v>1</v>
      </c>
      <c r="M119" s="279"/>
      <c r="N119" s="280" t="str">
        <f t="shared" si="2"/>
        <v>INCLUDED</v>
      </c>
      <c r="O119" s="281">
        <f t="shared" si="4"/>
        <v>0</v>
      </c>
      <c r="P119" s="281">
        <f t="shared" si="5"/>
        <v>0</v>
      </c>
      <c r="Q119" s="281">
        <f>Discount!$H$36</f>
        <v>0</v>
      </c>
      <c r="R119" s="282">
        <f t="shared" si="6"/>
        <v>0</v>
      </c>
      <c r="S119" s="282">
        <f t="shared" si="7"/>
        <v>0</v>
      </c>
      <c r="T119" s="283">
        <f t="shared" si="3"/>
        <v>0</v>
      </c>
    </row>
    <row r="120" spans="1:20" ht="31.2">
      <c r="A120" s="274">
        <v>103</v>
      </c>
      <c r="B120" s="275">
        <v>7000026407</v>
      </c>
      <c r="C120" s="275">
        <v>840</v>
      </c>
      <c r="D120" s="275" t="s">
        <v>715</v>
      </c>
      <c r="E120" s="275">
        <v>1000058307</v>
      </c>
      <c r="F120" s="275">
        <v>85359030</v>
      </c>
      <c r="G120" s="276"/>
      <c r="H120" s="275">
        <v>18</v>
      </c>
      <c r="I120" s="277"/>
      <c r="J120" s="278" t="s">
        <v>640</v>
      </c>
      <c r="K120" s="275" t="s">
        <v>296</v>
      </c>
      <c r="L120" s="275">
        <v>1</v>
      </c>
      <c r="M120" s="279"/>
      <c r="N120" s="280" t="str">
        <f t="shared" si="2"/>
        <v>INCLUDED</v>
      </c>
      <c r="O120" s="281">
        <f t="shared" si="4"/>
        <v>0</v>
      </c>
      <c r="P120" s="281">
        <f t="shared" si="5"/>
        <v>0</v>
      </c>
      <c r="Q120" s="281">
        <f>Discount!$H$36</f>
        <v>0</v>
      </c>
      <c r="R120" s="282">
        <f t="shared" si="6"/>
        <v>0</v>
      </c>
      <c r="S120" s="282">
        <f t="shared" si="7"/>
        <v>0</v>
      </c>
      <c r="T120" s="283">
        <f t="shared" si="3"/>
        <v>0</v>
      </c>
    </row>
    <row r="121" spans="1:20" ht="31.2">
      <c r="A121" s="284">
        <v>104</v>
      </c>
      <c r="B121" s="275">
        <v>7000026407</v>
      </c>
      <c r="C121" s="275">
        <v>850</v>
      </c>
      <c r="D121" s="275" t="s">
        <v>715</v>
      </c>
      <c r="E121" s="275">
        <v>1000058315</v>
      </c>
      <c r="F121" s="275">
        <v>85359030</v>
      </c>
      <c r="G121" s="276"/>
      <c r="H121" s="275">
        <v>18</v>
      </c>
      <c r="I121" s="277"/>
      <c r="J121" s="278" t="s">
        <v>641</v>
      </c>
      <c r="K121" s="275" t="s">
        <v>296</v>
      </c>
      <c r="L121" s="275">
        <v>1</v>
      </c>
      <c r="M121" s="279"/>
      <c r="N121" s="280" t="str">
        <f t="shared" si="2"/>
        <v>INCLUDED</v>
      </c>
      <c r="O121" s="281">
        <f t="shared" si="4"/>
        <v>0</v>
      </c>
      <c r="P121" s="281">
        <f t="shared" si="5"/>
        <v>0</v>
      </c>
      <c r="Q121" s="281">
        <f>Discount!$H$36</f>
        <v>0</v>
      </c>
      <c r="R121" s="282">
        <f t="shared" si="6"/>
        <v>0</v>
      </c>
      <c r="S121" s="282">
        <f t="shared" si="7"/>
        <v>0</v>
      </c>
      <c r="T121" s="283">
        <f t="shared" si="3"/>
        <v>0</v>
      </c>
    </row>
    <row r="122" spans="1:20" ht="46.8">
      <c r="A122" s="274">
        <v>105</v>
      </c>
      <c r="B122" s="275">
        <v>7000026407</v>
      </c>
      <c r="C122" s="275">
        <v>860</v>
      </c>
      <c r="D122" s="275" t="s">
        <v>715</v>
      </c>
      <c r="E122" s="275">
        <v>1000058327</v>
      </c>
      <c r="F122" s="275">
        <v>85359030</v>
      </c>
      <c r="G122" s="276"/>
      <c r="H122" s="275">
        <v>18</v>
      </c>
      <c r="I122" s="277"/>
      <c r="J122" s="278" t="s">
        <v>642</v>
      </c>
      <c r="K122" s="275" t="s">
        <v>296</v>
      </c>
      <c r="L122" s="275">
        <v>1</v>
      </c>
      <c r="M122" s="279"/>
      <c r="N122" s="280" t="str">
        <f t="shared" si="2"/>
        <v>INCLUDED</v>
      </c>
      <c r="O122" s="281">
        <f t="shared" si="4"/>
        <v>0</v>
      </c>
      <c r="P122" s="281">
        <f t="shared" si="5"/>
        <v>0</v>
      </c>
      <c r="Q122" s="281">
        <f>Discount!$H$36</f>
        <v>0</v>
      </c>
      <c r="R122" s="282">
        <f t="shared" si="6"/>
        <v>0</v>
      </c>
      <c r="S122" s="282">
        <f t="shared" si="7"/>
        <v>0</v>
      </c>
      <c r="T122" s="283">
        <f t="shared" si="3"/>
        <v>0</v>
      </c>
    </row>
    <row r="123" spans="1:20" ht="46.8">
      <c r="A123" s="284">
        <v>106</v>
      </c>
      <c r="B123" s="275">
        <v>7000026407</v>
      </c>
      <c r="C123" s="275">
        <v>870</v>
      </c>
      <c r="D123" s="275" t="s">
        <v>715</v>
      </c>
      <c r="E123" s="275">
        <v>1000058326</v>
      </c>
      <c r="F123" s="275">
        <v>85359030</v>
      </c>
      <c r="G123" s="276"/>
      <c r="H123" s="275">
        <v>18</v>
      </c>
      <c r="I123" s="277"/>
      <c r="J123" s="278" t="s">
        <v>643</v>
      </c>
      <c r="K123" s="275" t="s">
        <v>296</v>
      </c>
      <c r="L123" s="275">
        <v>1</v>
      </c>
      <c r="M123" s="279"/>
      <c r="N123" s="280" t="str">
        <f t="shared" si="2"/>
        <v>INCLUDED</v>
      </c>
      <c r="O123" s="281">
        <f t="shared" si="4"/>
        <v>0</v>
      </c>
      <c r="P123" s="281">
        <f t="shared" si="5"/>
        <v>0</v>
      </c>
      <c r="Q123" s="281">
        <f>Discount!$H$36</f>
        <v>0</v>
      </c>
      <c r="R123" s="282">
        <f t="shared" si="6"/>
        <v>0</v>
      </c>
      <c r="S123" s="282">
        <f t="shared" si="7"/>
        <v>0</v>
      </c>
      <c r="T123" s="283">
        <f t="shared" si="3"/>
        <v>0</v>
      </c>
    </row>
    <row r="124" spans="1:20" ht="46.8">
      <c r="A124" s="274">
        <v>107</v>
      </c>
      <c r="B124" s="275">
        <v>7000026407</v>
      </c>
      <c r="C124" s="275">
        <v>880</v>
      </c>
      <c r="D124" s="275" t="s">
        <v>715</v>
      </c>
      <c r="E124" s="275">
        <v>1000058316</v>
      </c>
      <c r="F124" s="275">
        <v>85359030</v>
      </c>
      <c r="G124" s="276"/>
      <c r="H124" s="275">
        <v>18</v>
      </c>
      <c r="I124" s="277"/>
      <c r="J124" s="278" t="s">
        <v>743</v>
      </c>
      <c r="K124" s="275" t="s">
        <v>297</v>
      </c>
      <c r="L124" s="275">
        <v>1</v>
      </c>
      <c r="M124" s="279"/>
      <c r="N124" s="280" t="str">
        <f t="shared" si="2"/>
        <v>INCLUDED</v>
      </c>
      <c r="O124" s="281">
        <f t="shared" si="4"/>
        <v>0</v>
      </c>
      <c r="P124" s="281">
        <f t="shared" si="5"/>
        <v>0</v>
      </c>
      <c r="Q124" s="281">
        <f>Discount!$H$36</f>
        <v>0</v>
      </c>
      <c r="R124" s="282">
        <f t="shared" si="6"/>
        <v>0</v>
      </c>
      <c r="S124" s="282">
        <f t="shared" si="7"/>
        <v>0</v>
      </c>
      <c r="T124" s="283">
        <f t="shared" si="3"/>
        <v>0</v>
      </c>
    </row>
    <row r="125" spans="1:20" ht="31.2">
      <c r="A125" s="284">
        <v>108</v>
      </c>
      <c r="B125" s="275">
        <v>7000026407</v>
      </c>
      <c r="C125" s="275">
        <v>890</v>
      </c>
      <c r="D125" s="275" t="s">
        <v>716</v>
      </c>
      <c r="E125" s="275">
        <v>1000058295</v>
      </c>
      <c r="F125" s="275">
        <v>85359030</v>
      </c>
      <c r="G125" s="276"/>
      <c r="H125" s="275">
        <v>18</v>
      </c>
      <c r="I125" s="277"/>
      <c r="J125" s="278" t="s">
        <v>744</v>
      </c>
      <c r="K125" s="275" t="s">
        <v>297</v>
      </c>
      <c r="L125" s="275">
        <v>1</v>
      </c>
      <c r="M125" s="279"/>
      <c r="N125" s="280" t="str">
        <f t="shared" si="2"/>
        <v>INCLUDED</v>
      </c>
      <c r="O125" s="281">
        <f t="shared" si="4"/>
        <v>0</v>
      </c>
      <c r="P125" s="281">
        <f t="shared" si="5"/>
        <v>0</v>
      </c>
      <c r="Q125" s="281">
        <f>Discount!$H$36</f>
        <v>0</v>
      </c>
      <c r="R125" s="282">
        <f t="shared" si="6"/>
        <v>0</v>
      </c>
      <c r="S125" s="282">
        <f t="shared" si="7"/>
        <v>0</v>
      </c>
      <c r="T125" s="283">
        <f t="shared" si="3"/>
        <v>0</v>
      </c>
    </row>
    <row r="126" spans="1:20" ht="31.2">
      <c r="A126" s="274">
        <v>109</v>
      </c>
      <c r="B126" s="275">
        <v>7000026407</v>
      </c>
      <c r="C126" s="275">
        <v>900</v>
      </c>
      <c r="D126" s="275" t="s">
        <v>716</v>
      </c>
      <c r="E126" s="275">
        <v>1000058300</v>
      </c>
      <c r="F126" s="275">
        <v>85359030</v>
      </c>
      <c r="G126" s="276"/>
      <c r="H126" s="275">
        <v>18</v>
      </c>
      <c r="I126" s="277"/>
      <c r="J126" s="278" t="s">
        <v>560</v>
      </c>
      <c r="K126" s="275" t="s">
        <v>296</v>
      </c>
      <c r="L126" s="275">
        <v>2</v>
      </c>
      <c r="M126" s="279"/>
      <c r="N126" s="280" t="str">
        <f t="shared" si="2"/>
        <v>INCLUDED</v>
      </c>
      <c r="O126" s="281">
        <f t="shared" si="4"/>
        <v>0</v>
      </c>
      <c r="P126" s="281">
        <f t="shared" si="5"/>
        <v>0</v>
      </c>
      <c r="Q126" s="281">
        <f>Discount!$H$36</f>
        <v>0</v>
      </c>
      <c r="R126" s="282">
        <f t="shared" si="6"/>
        <v>0</v>
      </c>
      <c r="S126" s="282">
        <f t="shared" si="7"/>
        <v>0</v>
      </c>
      <c r="T126" s="283">
        <f t="shared" si="3"/>
        <v>0</v>
      </c>
    </row>
    <row r="127" spans="1:20" ht="46.8">
      <c r="A127" s="284">
        <v>110</v>
      </c>
      <c r="B127" s="275">
        <v>7000026407</v>
      </c>
      <c r="C127" s="275">
        <v>910</v>
      </c>
      <c r="D127" s="275" t="s">
        <v>716</v>
      </c>
      <c r="E127" s="275">
        <v>1000049816</v>
      </c>
      <c r="F127" s="275">
        <v>85359030</v>
      </c>
      <c r="G127" s="276"/>
      <c r="H127" s="275">
        <v>18</v>
      </c>
      <c r="I127" s="277"/>
      <c r="J127" s="278" t="s">
        <v>561</v>
      </c>
      <c r="K127" s="275" t="s">
        <v>297</v>
      </c>
      <c r="L127" s="275">
        <v>3</v>
      </c>
      <c r="M127" s="279"/>
      <c r="N127" s="280" t="str">
        <f t="shared" si="2"/>
        <v>INCLUDED</v>
      </c>
      <c r="O127" s="281">
        <f t="shared" si="4"/>
        <v>0</v>
      </c>
      <c r="P127" s="281">
        <f t="shared" si="5"/>
        <v>0</v>
      </c>
      <c r="Q127" s="281">
        <f>Discount!$H$36</f>
        <v>0</v>
      </c>
      <c r="R127" s="282">
        <f t="shared" si="6"/>
        <v>0</v>
      </c>
      <c r="S127" s="282">
        <f t="shared" si="7"/>
        <v>0</v>
      </c>
      <c r="T127" s="283">
        <f t="shared" si="3"/>
        <v>0</v>
      </c>
    </row>
    <row r="128" spans="1:20" ht="46.8">
      <c r="A128" s="274">
        <v>111</v>
      </c>
      <c r="B128" s="275">
        <v>7000026407</v>
      </c>
      <c r="C128" s="275">
        <v>920</v>
      </c>
      <c r="D128" s="275" t="s">
        <v>716</v>
      </c>
      <c r="E128" s="275">
        <v>1000049752</v>
      </c>
      <c r="F128" s="275">
        <v>85359030</v>
      </c>
      <c r="G128" s="276"/>
      <c r="H128" s="275">
        <v>18</v>
      </c>
      <c r="I128" s="277"/>
      <c r="J128" s="278" t="s">
        <v>562</v>
      </c>
      <c r="K128" s="275" t="s">
        <v>297</v>
      </c>
      <c r="L128" s="275">
        <v>2</v>
      </c>
      <c r="M128" s="279"/>
      <c r="N128" s="280" t="str">
        <f t="shared" si="2"/>
        <v>INCLUDED</v>
      </c>
      <c r="O128" s="281">
        <f t="shared" si="4"/>
        <v>0</v>
      </c>
      <c r="P128" s="281">
        <f t="shared" si="5"/>
        <v>0</v>
      </c>
      <c r="Q128" s="281">
        <f>Discount!$H$36</f>
        <v>0</v>
      </c>
      <c r="R128" s="282">
        <f t="shared" si="6"/>
        <v>0</v>
      </c>
      <c r="S128" s="282">
        <f t="shared" si="7"/>
        <v>0</v>
      </c>
      <c r="T128" s="283">
        <f t="shared" si="3"/>
        <v>0</v>
      </c>
    </row>
    <row r="129" spans="1:20" ht="46.8">
      <c r="A129" s="284">
        <v>112</v>
      </c>
      <c r="B129" s="275">
        <v>7000026407</v>
      </c>
      <c r="C129" s="275">
        <v>930</v>
      </c>
      <c r="D129" s="275" t="s">
        <v>716</v>
      </c>
      <c r="E129" s="275">
        <v>1000049761</v>
      </c>
      <c r="F129" s="275">
        <v>85359030</v>
      </c>
      <c r="G129" s="276"/>
      <c r="H129" s="275">
        <v>18</v>
      </c>
      <c r="I129" s="277"/>
      <c r="J129" s="278" t="s">
        <v>563</v>
      </c>
      <c r="K129" s="275" t="s">
        <v>297</v>
      </c>
      <c r="L129" s="275">
        <v>3</v>
      </c>
      <c r="M129" s="279"/>
      <c r="N129" s="280" t="str">
        <f t="shared" si="2"/>
        <v>INCLUDED</v>
      </c>
      <c r="O129" s="281">
        <f t="shared" si="4"/>
        <v>0</v>
      </c>
      <c r="P129" s="281">
        <f t="shared" si="5"/>
        <v>0</v>
      </c>
      <c r="Q129" s="281">
        <f>Discount!$H$36</f>
        <v>0</v>
      </c>
      <c r="R129" s="282">
        <f t="shared" si="6"/>
        <v>0</v>
      </c>
      <c r="S129" s="282">
        <f t="shared" si="7"/>
        <v>0</v>
      </c>
      <c r="T129" s="283">
        <f t="shared" si="3"/>
        <v>0</v>
      </c>
    </row>
    <row r="130" spans="1:20" ht="31.2">
      <c r="A130" s="274">
        <v>113</v>
      </c>
      <c r="B130" s="275">
        <v>7000026407</v>
      </c>
      <c r="C130" s="275">
        <v>940</v>
      </c>
      <c r="D130" s="275" t="s">
        <v>716</v>
      </c>
      <c r="E130" s="275">
        <v>1000058298</v>
      </c>
      <c r="F130" s="275">
        <v>85359030</v>
      </c>
      <c r="G130" s="276"/>
      <c r="H130" s="275">
        <v>18</v>
      </c>
      <c r="I130" s="277"/>
      <c r="J130" s="278" t="s">
        <v>564</v>
      </c>
      <c r="K130" s="275" t="s">
        <v>297</v>
      </c>
      <c r="L130" s="275">
        <v>1</v>
      </c>
      <c r="M130" s="279"/>
      <c r="N130" s="280" t="str">
        <f t="shared" si="2"/>
        <v>INCLUDED</v>
      </c>
      <c r="O130" s="281">
        <f t="shared" si="4"/>
        <v>0</v>
      </c>
      <c r="P130" s="281">
        <f t="shared" si="5"/>
        <v>0</v>
      </c>
      <c r="Q130" s="281">
        <f>Discount!$H$36</f>
        <v>0</v>
      </c>
      <c r="R130" s="282">
        <f t="shared" si="6"/>
        <v>0</v>
      </c>
      <c r="S130" s="282">
        <f t="shared" si="7"/>
        <v>0</v>
      </c>
      <c r="T130" s="283">
        <f t="shared" si="3"/>
        <v>0</v>
      </c>
    </row>
    <row r="131" spans="1:20" ht="31.2">
      <c r="A131" s="284">
        <v>114</v>
      </c>
      <c r="B131" s="275">
        <v>7000026407</v>
      </c>
      <c r="C131" s="275">
        <v>950</v>
      </c>
      <c r="D131" s="275" t="s">
        <v>716</v>
      </c>
      <c r="E131" s="275">
        <v>1000049749</v>
      </c>
      <c r="F131" s="275">
        <v>85359030</v>
      </c>
      <c r="G131" s="276"/>
      <c r="H131" s="275">
        <v>18</v>
      </c>
      <c r="I131" s="277"/>
      <c r="J131" s="278" t="s">
        <v>565</v>
      </c>
      <c r="K131" s="275" t="s">
        <v>297</v>
      </c>
      <c r="L131" s="275">
        <v>3</v>
      </c>
      <c r="M131" s="279"/>
      <c r="N131" s="280" t="str">
        <f t="shared" si="2"/>
        <v>INCLUDED</v>
      </c>
      <c r="O131" s="281">
        <f t="shared" si="4"/>
        <v>0</v>
      </c>
      <c r="P131" s="281">
        <f t="shared" si="5"/>
        <v>0</v>
      </c>
      <c r="Q131" s="281">
        <f>Discount!$H$36</f>
        <v>0</v>
      </c>
      <c r="R131" s="282">
        <f t="shared" si="6"/>
        <v>0</v>
      </c>
      <c r="S131" s="282">
        <f t="shared" si="7"/>
        <v>0</v>
      </c>
      <c r="T131" s="283">
        <f t="shared" si="3"/>
        <v>0</v>
      </c>
    </row>
    <row r="132" spans="1:20" ht="31.2">
      <c r="A132" s="274">
        <v>115</v>
      </c>
      <c r="B132" s="275">
        <v>7000026407</v>
      </c>
      <c r="C132" s="275">
        <v>960</v>
      </c>
      <c r="D132" s="275" t="s">
        <v>716</v>
      </c>
      <c r="E132" s="275">
        <v>1000058299</v>
      </c>
      <c r="F132" s="275">
        <v>85359030</v>
      </c>
      <c r="G132" s="276"/>
      <c r="H132" s="275">
        <v>18</v>
      </c>
      <c r="I132" s="277"/>
      <c r="J132" s="278" t="s">
        <v>566</v>
      </c>
      <c r="K132" s="275" t="s">
        <v>514</v>
      </c>
      <c r="L132" s="275">
        <v>1</v>
      </c>
      <c r="M132" s="279"/>
      <c r="N132" s="280" t="str">
        <f t="shared" si="2"/>
        <v>INCLUDED</v>
      </c>
      <c r="O132" s="281">
        <f t="shared" si="4"/>
        <v>0</v>
      </c>
      <c r="P132" s="281">
        <f t="shared" si="5"/>
        <v>0</v>
      </c>
      <c r="Q132" s="281">
        <f>Discount!$H$36</f>
        <v>0</v>
      </c>
      <c r="R132" s="282">
        <f t="shared" si="6"/>
        <v>0</v>
      </c>
      <c r="S132" s="282">
        <f t="shared" si="7"/>
        <v>0</v>
      </c>
      <c r="T132" s="283">
        <f t="shared" si="3"/>
        <v>0</v>
      </c>
    </row>
    <row r="133" spans="1:20" ht="62.4">
      <c r="A133" s="284">
        <v>116</v>
      </c>
      <c r="B133" s="275">
        <v>7000026407</v>
      </c>
      <c r="C133" s="275">
        <v>970</v>
      </c>
      <c r="D133" s="275" t="s">
        <v>716</v>
      </c>
      <c r="E133" s="275">
        <v>1000049782</v>
      </c>
      <c r="F133" s="275">
        <v>85359030</v>
      </c>
      <c r="G133" s="276"/>
      <c r="H133" s="275">
        <v>18</v>
      </c>
      <c r="I133" s="277"/>
      <c r="J133" s="278" t="s">
        <v>567</v>
      </c>
      <c r="K133" s="275" t="s">
        <v>297</v>
      </c>
      <c r="L133" s="275">
        <v>3</v>
      </c>
      <c r="M133" s="279"/>
      <c r="N133" s="280" t="str">
        <f t="shared" si="2"/>
        <v>INCLUDED</v>
      </c>
      <c r="O133" s="281">
        <f t="shared" si="4"/>
        <v>0</v>
      </c>
      <c r="P133" s="281">
        <f t="shared" si="5"/>
        <v>0</v>
      </c>
      <c r="Q133" s="281">
        <f>Discount!$H$36</f>
        <v>0</v>
      </c>
      <c r="R133" s="282">
        <f t="shared" si="6"/>
        <v>0</v>
      </c>
      <c r="S133" s="282">
        <f t="shared" si="7"/>
        <v>0</v>
      </c>
      <c r="T133" s="283">
        <f t="shared" si="3"/>
        <v>0</v>
      </c>
    </row>
    <row r="134" spans="1:20" ht="31.2">
      <c r="A134" s="274">
        <v>117</v>
      </c>
      <c r="B134" s="275">
        <v>7000026407</v>
      </c>
      <c r="C134" s="275">
        <v>980</v>
      </c>
      <c r="D134" s="275" t="s">
        <v>716</v>
      </c>
      <c r="E134" s="275">
        <v>1000049504</v>
      </c>
      <c r="F134" s="275">
        <v>85359030</v>
      </c>
      <c r="G134" s="276"/>
      <c r="H134" s="275">
        <v>18</v>
      </c>
      <c r="I134" s="277"/>
      <c r="J134" s="278" t="s">
        <v>568</v>
      </c>
      <c r="K134" s="275" t="s">
        <v>296</v>
      </c>
      <c r="L134" s="275">
        <v>5</v>
      </c>
      <c r="M134" s="279"/>
      <c r="N134" s="280" t="str">
        <f t="shared" si="2"/>
        <v>INCLUDED</v>
      </c>
      <c r="O134" s="281">
        <f t="shared" si="4"/>
        <v>0</v>
      </c>
      <c r="P134" s="281">
        <f t="shared" si="5"/>
        <v>0</v>
      </c>
      <c r="Q134" s="281">
        <f>Discount!$H$36</f>
        <v>0</v>
      </c>
      <c r="R134" s="282">
        <f t="shared" si="6"/>
        <v>0</v>
      </c>
      <c r="S134" s="282">
        <f t="shared" si="7"/>
        <v>0</v>
      </c>
      <c r="T134" s="283">
        <f t="shared" si="3"/>
        <v>0</v>
      </c>
    </row>
    <row r="135" spans="1:20" ht="46.8">
      <c r="A135" s="284">
        <v>118</v>
      </c>
      <c r="B135" s="275">
        <v>7000026407</v>
      </c>
      <c r="C135" s="275">
        <v>990</v>
      </c>
      <c r="D135" s="275" t="s">
        <v>716</v>
      </c>
      <c r="E135" s="275">
        <v>1000058302</v>
      </c>
      <c r="F135" s="275">
        <v>85359030</v>
      </c>
      <c r="G135" s="276"/>
      <c r="H135" s="275">
        <v>18</v>
      </c>
      <c r="I135" s="277"/>
      <c r="J135" s="278" t="s">
        <v>569</v>
      </c>
      <c r="K135" s="275" t="s">
        <v>296</v>
      </c>
      <c r="L135" s="275">
        <v>5</v>
      </c>
      <c r="M135" s="279"/>
      <c r="N135" s="280" t="str">
        <f t="shared" si="2"/>
        <v>INCLUDED</v>
      </c>
      <c r="O135" s="281">
        <f t="shared" si="4"/>
        <v>0</v>
      </c>
      <c r="P135" s="281">
        <f>IF( I135="",H135*(IF(N135="Included",0,N135))/100,I135*(IF(N135="Included",0,N135)))</f>
        <v>0</v>
      </c>
      <c r="Q135" s="281">
        <f>Discount!$H$36</f>
        <v>0</v>
      </c>
      <c r="R135" s="282">
        <f t="shared" si="6"/>
        <v>0</v>
      </c>
      <c r="S135" s="282">
        <f t="shared" si="7"/>
        <v>0</v>
      </c>
      <c r="T135" s="283">
        <f t="shared" si="3"/>
        <v>0</v>
      </c>
    </row>
    <row r="136" spans="1:20" ht="46.8">
      <c r="A136" s="274">
        <v>119</v>
      </c>
      <c r="B136" s="275">
        <v>7000026407</v>
      </c>
      <c r="C136" s="275">
        <v>1000</v>
      </c>
      <c r="D136" s="275" t="s">
        <v>716</v>
      </c>
      <c r="E136" s="275">
        <v>1000058297</v>
      </c>
      <c r="F136" s="275">
        <v>85359030</v>
      </c>
      <c r="G136" s="276"/>
      <c r="H136" s="275">
        <v>18</v>
      </c>
      <c r="I136" s="277"/>
      <c r="J136" s="278" t="s">
        <v>570</v>
      </c>
      <c r="K136" s="275" t="s">
        <v>296</v>
      </c>
      <c r="L136" s="275">
        <v>5</v>
      </c>
      <c r="M136" s="279"/>
      <c r="N136" s="280" t="str">
        <f t="shared" si="2"/>
        <v>INCLUDED</v>
      </c>
      <c r="O136" s="281">
        <f t="shared" si="4"/>
        <v>0</v>
      </c>
      <c r="P136" s="281">
        <f>IF( I136="",H136*(IF(N136="Included",0,N136))/100,I136*(IF(N136="Included",0,N136)))</f>
        <v>0</v>
      </c>
      <c r="Q136" s="281">
        <f>Discount!$H$36</f>
        <v>0</v>
      </c>
      <c r="R136" s="282">
        <f t="shared" si="6"/>
        <v>0</v>
      </c>
      <c r="S136" s="282">
        <f t="shared" si="7"/>
        <v>0</v>
      </c>
      <c r="T136" s="283">
        <f t="shared" si="3"/>
        <v>0</v>
      </c>
    </row>
    <row r="137" spans="1:20" ht="31.2">
      <c r="A137" s="284">
        <v>120</v>
      </c>
      <c r="B137" s="275">
        <v>7000026407</v>
      </c>
      <c r="C137" s="275">
        <v>1010</v>
      </c>
      <c r="D137" s="275" t="s">
        <v>716</v>
      </c>
      <c r="E137" s="275">
        <v>1000058301</v>
      </c>
      <c r="F137" s="275">
        <v>85359030</v>
      </c>
      <c r="G137" s="276"/>
      <c r="H137" s="275">
        <v>18</v>
      </c>
      <c r="I137" s="277"/>
      <c r="J137" s="278" t="s">
        <v>571</v>
      </c>
      <c r="K137" s="275" t="s">
        <v>296</v>
      </c>
      <c r="L137" s="275">
        <v>1</v>
      </c>
      <c r="M137" s="279"/>
      <c r="N137" s="280" t="str">
        <f t="shared" si="2"/>
        <v>INCLUDED</v>
      </c>
      <c r="O137" s="281">
        <f t="shared" si="4"/>
        <v>0</v>
      </c>
      <c r="P137" s="281">
        <f t="shared" ref="P137:P160" si="22">IF( I137="",H137*(IF(N137="Included",0,N137))/100,I137*(IF(N137="Included",0,N137)))</f>
        <v>0</v>
      </c>
      <c r="Q137" s="281">
        <f>Discount!$H$36</f>
        <v>0</v>
      </c>
      <c r="R137" s="282">
        <f t="shared" si="6"/>
        <v>0</v>
      </c>
      <c r="S137" s="282">
        <f t="shared" si="7"/>
        <v>0</v>
      </c>
      <c r="T137" s="283">
        <f t="shared" si="3"/>
        <v>0</v>
      </c>
    </row>
    <row r="138" spans="1:20" ht="62.4">
      <c r="A138" s="274">
        <v>121</v>
      </c>
      <c r="B138" s="275">
        <v>7000026407</v>
      </c>
      <c r="C138" s="275">
        <v>1020</v>
      </c>
      <c r="D138" s="275" t="s">
        <v>716</v>
      </c>
      <c r="E138" s="275">
        <v>1000049497</v>
      </c>
      <c r="F138" s="275">
        <v>85359030</v>
      </c>
      <c r="G138" s="276"/>
      <c r="H138" s="275">
        <v>18</v>
      </c>
      <c r="I138" s="277"/>
      <c r="J138" s="278" t="s">
        <v>572</v>
      </c>
      <c r="K138" s="275" t="s">
        <v>297</v>
      </c>
      <c r="L138" s="275">
        <v>2</v>
      </c>
      <c r="M138" s="279"/>
      <c r="N138" s="280" t="str">
        <f t="shared" si="2"/>
        <v>INCLUDED</v>
      </c>
      <c r="O138" s="281">
        <f t="shared" si="4"/>
        <v>0</v>
      </c>
      <c r="P138" s="281">
        <f t="shared" si="22"/>
        <v>0</v>
      </c>
      <c r="Q138" s="281">
        <f>Discount!$H$36</f>
        <v>0</v>
      </c>
      <c r="R138" s="282">
        <f t="shared" si="6"/>
        <v>0</v>
      </c>
      <c r="S138" s="282">
        <f t="shared" si="7"/>
        <v>0</v>
      </c>
      <c r="T138" s="283">
        <f t="shared" si="3"/>
        <v>0</v>
      </c>
    </row>
    <row r="139" spans="1:20" ht="46.8">
      <c r="A139" s="284">
        <v>122</v>
      </c>
      <c r="B139" s="275">
        <v>7000026407</v>
      </c>
      <c r="C139" s="275">
        <v>1030</v>
      </c>
      <c r="D139" s="275" t="s">
        <v>716</v>
      </c>
      <c r="E139" s="275">
        <v>1000058284</v>
      </c>
      <c r="F139" s="275">
        <v>85359030</v>
      </c>
      <c r="G139" s="276"/>
      <c r="H139" s="275">
        <v>18</v>
      </c>
      <c r="I139" s="277"/>
      <c r="J139" s="278" t="s">
        <v>573</v>
      </c>
      <c r="K139" s="275" t="s">
        <v>297</v>
      </c>
      <c r="L139" s="275">
        <v>1</v>
      </c>
      <c r="M139" s="279"/>
      <c r="N139" s="280" t="str">
        <f t="shared" si="2"/>
        <v>INCLUDED</v>
      </c>
      <c r="O139" s="281">
        <f t="shared" si="4"/>
        <v>0</v>
      </c>
      <c r="P139" s="281">
        <f t="shared" si="22"/>
        <v>0</v>
      </c>
      <c r="Q139" s="281">
        <f>Discount!$H$36</f>
        <v>0</v>
      </c>
      <c r="R139" s="282">
        <f t="shared" si="6"/>
        <v>0</v>
      </c>
      <c r="S139" s="282">
        <f t="shared" si="7"/>
        <v>0</v>
      </c>
      <c r="T139" s="283">
        <f t="shared" si="3"/>
        <v>0</v>
      </c>
    </row>
    <row r="140" spans="1:20" ht="31.2">
      <c r="A140" s="274">
        <v>123</v>
      </c>
      <c r="B140" s="275">
        <v>7000026407</v>
      </c>
      <c r="C140" s="275">
        <v>1040</v>
      </c>
      <c r="D140" s="275" t="s">
        <v>716</v>
      </c>
      <c r="E140" s="275">
        <v>1000021871</v>
      </c>
      <c r="F140" s="275">
        <v>85389000</v>
      </c>
      <c r="G140" s="276"/>
      <c r="H140" s="275">
        <v>18</v>
      </c>
      <c r="I140" s="277"/>
      <c r="J140" s="278" t="s">
        <v>574</v>
      </c>
      <c r="K140" s="275" t="s">
        <v>297</v>
      </c>
      <c r="L140" s="275">
        <v>3</v>
      </c>
      <c r="M140" s="279"/>
      <c r="N140" s="280" t="str">
        <f t="shared" si="2"/>
        <v>INCLUDED</v>
      </c>
      <c r="O140" s="281">
        <f t="shared" si="4"/>
        <v>0</v>
      </c>
      <c r="P140" s="281">
        <f t="shared" si="22"/>
        <v>0</v>
      </c>
      <c r="Q140" s="281">
        <f>Discount!$H$36</f>
        <v>0</v>
      </c>
      <c r="R140" s="282">
        <f t="shared" si="6"/>
        <v>0</v>
      </c>
      <c r="S140" s="282">
        <f t="shared" si="7"/>
        <v>0</v>
      </c>
      <c r="T140" s="283">
        <f t="shared" si="3"/>
        <v>0</v>
      </c>
    </row>
    <row r="141" spans="1:20" ht="31.2">
      <c r="A141" s="284">
        <v>124</v>
      </c>
      <c r="B141" s="275">
        <v>7000026407</v>
      </c>
      <c r="C141" s="275">
        <v>1050</v>
      </c>
      <c r="D141" s="275" t="s">
        <v>716</v>
      </c>
      <c r="E141" s="275">
        <v>1000009185</v>
      </c>
      <c r="F141" s="275">
        <v>85389000</v>
      </c>
      <c r="G141" s="276"/>
      <c r="H141" s="275">
        <v>18</v>
      </c>
      <c r="I141" s="277"/>
      <c r="J141" s="278" t="s">
        <v>575</v>
      </c>
      <c r="K141" s="275" t="s">
        <v>297</v>
      </c>
      <c r="L141" s="275">
        <v>1</v>
      </c>
      <c r="M141" s="279"/>
      <c r="N141" s="280" t="str">
        <f t="shared" si="2"/>
        <v>INCLUDED</v>
      </c>
      <c r="O141" s="281">
        <f t="shared" si="4"/>
        <v>0</v>
      </c>
      <c r="P141" s="281">
        <f t="shared" si="22"/>
        <v>0</v>
      </c>
      <c r="Q141" s="281">
        <f>Discount!$H$36</f>
        <v>0</v>
      </c>
      <c r="R141" s="282">
        <f t="shared" si="6"/>
        <v>0</v>
      </c>
      <c r="S141" s="282">
        <f t="shared" si="7"/>
        <v>0</v>
      </c>
      <c r="T141" s="283">
        <f t="shared" si="3"/>
        <v>0</v>
      </c>
    </row>
    <row r="142" spans="1:20" ht="46.8">
      <c r="A142" s="274">
        <v>125</v>
      </c>
      <c r="B142" s="275">
        <v>7000026407</v>
      </c>
      <c r="C142" s="275">
        <v>1060</v>
      </c>
      <c r="D142" s="275" t="s">
        <v>716</v>
      </c>
      <c r="E142" s="275">
        <v>1000058292</v>
      </c>
      <c r="F142" s="275">
        <v>85359030</v>
      </c>
      <c r="G142" s="276"/>
      <c r="H142" s="275">
        <v>18</v>
      </c>
      <c r="I142" s="277"/>
      <c r="J142" s="278" t="s">
        <v>576</v>
      </c>
      <c r="K142" s="275" t="s">
        <v>297</v>
      </c>
      <c r="L142" s="275">
        <v>1</v>
      </c>
      <c r="M142" s="279"/>
      <c r="N142" s="280" t="str">
        <f t="shared" si="2"/>
        <v>INCLUDED</v>
      </c>
      <c r="O142" s="281">
        <f t="shared" si="4"/>
        <v>0</v>
      </c>
      <c r="P142" s="281">
        <f t="shared" si="22"/>
        <v>0</v>
      </c>
      <c r="Q142" s="281">
        <f>Discount!$H$36</f>
        <v>0</v>
      </c>
      <c r="R142" s="282">
        <f t="shared" si="6"/>
        <v>0</v>
      </c>
      <c r="S142" s="282">
        <f t="shared" si="7"/>
        <v>0</v>
      </c>
      <c r="T142" s="283">
        <f t="shared" si="3"/>
        <v>0</v>
      </c>
    </row>
    <row r="143" spans="1:20" ht="31.2">
      <c r="A143" s="284">
        <v>126</v>
      </c>
      <c r="B143" s="275">
        <v>7000026407</v>
      </c>
      <c r="C143" s="275">
        <v>1070</v>
      </c>
      <c r="D143" s="275" t="s">
        <v>716</v>
      </c>
      <c r="E143" s="275">
        <v>1000007066</v>
      </c>
      <c r="F143" s="275">
        <v>85389000</v>
      </c>
      <c r="G143" s="276"/>
      <c r="H143" s="275">
        <v>18</v>
      </c>
      <c r="I143" s="277"/>
      <c r="J143" s="278" t="s">
        <v>577</v>
      </c>
      <c r="K143" s="275" t="s">
        <v>297</v>
      </c>
      <c r="L143" s="275">
        <v>3</v>
      </c>
      <c r="M143" s="279"/>
      <c r="N143" s="280" t="str">
        <f t="shared" si="2"/>
        <v>INCLUDED</v>
      </c>
      <c r="O143" s="281">
        <f t="shared" si="4"/>
        <v>0</v>
      </c>
      <c r="P143" s="281">
        <f t="shared" si="22"/>
        <v>0</v>
      </c>
      <c r="Q143" s="281">
        <f>Discount!$H$36</f>
        <v>0</v>
      </c>
      <c r="R143" s="282">
        <f t="shared" si="6"/>
        <v>0</v>
      </c>
      <c r="S143" s="282">
        <f t="shared" si="7"/>
        <v>0</v>
      </c>
      <c r="T143" s="283">
        <f t="shared" si="3"/>
        <v>0</v>
      </c>
    </row>
    <row r="144" spans="1:20" ht="31.2">
      <c r="A144" s="274">
        <v>127</v>
      </c>
      <c r="B144" s="275">
        <v>7000026407</v>
      </c>
      <c r="C144" s="275">
        <v>1080</v>
      </c>
      <c r="D144" s="275" t="s">
        <v>716</v>
      </c>
      <c r="E144" s="275">
        <v>1000058291</v>
      </c>
      <c r="F144" s="275">
        <v>85359030</v>
      </c>
      <c r="G144" s="276"/>
      <c r="H144" s="275">
        <v>18</v>
      </c>
      <c r="I144" s="277"/>
      <c r="J144" s="278" t="s">
        <v>578</v>
      </c>
      <c r="K144" s="275" t="s">
        <v>296</v>
      </c>
      <c r="L144" s="275">
        <v>3</v>
      </c>
      <c r="M144" s="279"/>
      <c r="N144" s="280" t="str">
        <f t="shared" si="2"/>
        <v>INCLUDED</v>
      </c>
      <c r="O144" s="281">
        <f t="shared" si="4"/>
        <v>0</v>
      </c>
      <c r="P144" s="281">
        <f t="shared" si="22"/>
        <v>0</v>
      </c>
      <c r="Q144" s="281">
        <f>Discount!$H$36</f>
        <v>0</v>
      </c>
      <c r="R144" s="282">
        <f t="shared" si="6"/>
        <v>0</v>
      </c>
      <c r="S144" s="282">
        <f t="shared" si="7"/>
        <v>0</v>
      </c>
      <c r="T144" s="283">
        <f t="shared" si="3"/>
        <v>0</v>
      </c>
    </row>
    <row r="145" spans="1:20" ht="46.8">
      <c r="A145" s="284">
        <v>128</v>
      </c>
      <c r="B145" s="275">
        <v>7000026407</v>
      </c>
      <c r="C145" s="275">
        <v>1090</v>
      </c>
      <c r="D145" s="275" t="s">
        <v>716</v>
      </c>
      <c r="E145" s="275">
        <v>1000058288</v>
      </c>
      <c r="F145" s="275">
        <v>85359030</v>
      </c>
      <c r="G145" s="276"/>
      <c r="H145" s="275">
        <v>18</v>
      </c>
      <c r="I145" s="277"/>
      <c r="J145" s="278" t="s">
        <v>579</v>
      </c>
      <c r="K145" s="275" t="s">
        <v>297</v>
      </c>
      <c r="L145" s="275">
        <v>1</v>
      </c>
      <c r="M145" s="279"/>
      <c r="N145" s="280" t="str">
        <f t="shared" si="2"/>
        <v>INCLUDED</v>
      </c>
      <c r="O145" s="281">
        <f t="shared" si="4"/>
        <v>0</v>
      </c>
      <c r="P145" s="281">
        <f t="shared" si="22"/>
        <v>0</v>
      </c>
      <c r="Q145" s="281">
        <f>Discount!$H$36</f>
        <v>0</v>
      </c>
      <c r="R145" s="282">
        <f t="shared" si="6"/>
        <v>0</v>
      </c>
      <c r="S145" s="282">
        <f t="shared" si="7"/>
        <v>0</v>
      </c>
      <c r="T145" s="283">
        <f t="shared" si="3"/>
        <v>0</v>
      </c>
    </row>
    <row r="146" spans="1:20" ht="46.8">
      <c r="A146" s="274">
        <v>129</v>
      </c>
      <c r="B146" s="275">
        <v>7000026407</v>
      </c>
      <c r="C146" s="275">
        <v>1100</v>
      </c>
      <c r="D146" s="275" t="s">
        <v>716</v>
      </c>
      <c r="E146" s="275">
        <v>1000049758</v>
      </c>
      <c r="F146" s="275">
        <v>85359030</v>
      </c>
      <c r="G146" s="276"/>
      <c r="H146" s="275">
        <v>18</v>
      </c>
      <c r="I146" s="277"/>
      <c r="J146" s="278" t="s">
        <v>580</v>
      </c>
      <c r="K146" s="275" t="s">
        <v>297</v>
      </c>
      <c r="L146" s="275">
        <v>1</v>
      </c>
      <c r="M146" s="279"/>
      <c r="N146" s="280" t="str">
        <f t="shared" si="2"/>
        <v>INCLUDED</v>
      </c>
      <c r="O146" s="281">
        <f t="shared" si="4"/>
        <v>0</v>
      </c>
      <c r="P146" s="281">
        <f t="shared" si="22"/>
        <v>0</v>
      </c>
      <c r="Q146" s="281">
        <f>Discount!$H$36</f>
        <v>0</v>
      </c>
      <c r="R146" s="282">
        <f t="shared" si="6"/>
        <v>0</v>
      </c>
      <c r="S146" s="282">
        <f t="shared" si="7"/>
        <v>0</v>
      </c>
      <c r="T146" s="283">
        <f t="shared" si="3"/>
        <v>0</v>
      </c>
    </row>
    <row r="147" spans="1:20" ht="46.8">
      <c r="A147" s="284">
        <v>130</v>
      </c>
      <c r="B147" s="275">
        <v>7000026407</v>
      </c>
      <c r="C147" s="275">
        <v>1110</v>
      </c>
      <c r="D147" s="275" t="s">
        <v>716</v>
      </c>
      <c r="E147" s="275">
        <v>1000058272</v>
      </c>
      <c r="F147" s="275">
        <v>85359030</v>
      </c>
      <c r="G147" s="276"/>
      <c r="H147" s="275">
        <v>18</v>
      </c>
      <c r="I147" s="277"/>
      <c r="J147" s="278" t="s">
        <v>581</v>
      </c>
      <c r="K147" s="275" t="s">
        <v>297</v>
      </c>
      <c r="L147" s="275">
        <v>1</v>
      </c>
      <c r="M147" s="279"/>
      <c r="N147" s="280" t="str">
        <f t="shared" si="2"/>
        <v>INCLUDED</v>
      </c>
      <c r="O147" s="281">
        <f t="shared" si="4"/>
        <v>0</v>
      </c>
      <c r="P147" s="281">
        <f t="shared" si="22"/>
        <v>0</v>
      </c>
      <c r="Q147" s="281">
        <f>Discount!$H$36</f>
        <v>0</v>
      </c>
      <c r="R147" s="282">
        <f t="shared" si="6"/>
        <v>0</v>
      </c>
      <c r="S147" s="282">
        <f t="shared" si="7"/>
        <v>0</v>
      </c>
      <c r="T147" s="283">
        <f t="shared" si="3"/>
        <v>0</v>
      </c>
    </row>
    <row r="148" spans="1:20" ht="31.2">
      <c r="A148" s="274">
        <v>131</v>
      </c>
      <c r="B148" s="275">
        <v>7000026407</v>
      </c>
      <c r="C148" s="275">
        <v>1120</v>
      </c>
      <c r="D148" s="275" t="s">
        <v>716</v>
      </c>
      <c r="E148" s="275">
        <v>1000058290</v>
      </c>
      <c r="F148" s="275">
        <v>85359030</v>
      </c>
      <c r="G148" s="276"/>
      <c r="H148" s="275">
        <v>18</v>
      </c>
      <c r="I148" s="277"/>
      <c r="J148" s="278" t="s">
        <v>582</v>
      </c>
      <c r="K148" s="275" t="s">
        <v>297</v>
      </c>
      <c r="L148" s="275">
        <v>1</v>
      </c>
      <c r="M148" s="279"/>
      <c r="N148" s="280" t="str">
        <f t="shared" si="2"/>
        <v>INCLUDED</v>
      </c>
      <c r="O148" s="281">
        <f t="shared" si="4"/>
        <v>0</v>
      </c>
      <c r="P148" s="281">
        <f t="shared" si="22"/>
        <v>0</v>
      </c>
      <c r="Q148" s="281">
        <f>Discount!$H$36</f>
        <v>0</v>
      </c>
      <c r="R148" s="282">
        <f t="shared" si="6"/>
        <v>0</v>
      </c>
      <c r="S148" s="282">
        <f t="shared" si="7"/>
        <v>0</v>
      </c>
      <c r="T148" s="283">
        <f t="shared" si="3"/>
        <v>0</v>
      </c>
    </row>
    <row r="149" spans="1:20" ht="31.2">
      <c r="A149" s="284">
        <v>132</v>
      </c>
      <c r="B149" s="275">
        <v>7000026407</v>
      </c>
      <c r="C149" s="275">
        <v>1130</v>
      </c>
      <c r="D149" s="275" t="s">
        <v>716</v>
      </c>
      <c r="E149" s="275">
        <v>1000049834</v>
      </c>
      <c r="F149" s="275">
        <v>85359030</v>
      </c>
      <c r="G149" s="276"/>
      <c r="H149" s="275">
        <v>18</v>
      </c>
      <c r="I149" s="277"/>
      <c r="J149" s="278" t="s">
        <v>583</v>
      </c>
      <c r="K149" s="275" t="s">
        <v>297</v>
      </c>
      <c r="L149" s="275">
        <v>1</v>
      </c>
      <c r="M149" s="279"/>
      <c r="N149" s="280" t="str">
        <f t="shared" si="2"/>
        <v>INCLUDED</v>
      </c>
      <c r="O149" s="281">
        <f t="shared" si="4"/>
        <v>0</v>
      </c>
      <c r="P149" s="281">
        <f t="shared" si="22"/>
        <v>0</v>
      </c>
      <c r="Q149" s="281">
        <f>Discount!$H$36</f>
        <v>0</v>
      </c>
      <c r="R149" s="282">
        <f t="shared" si="6"/>
        <v>0</v>
      </c>
      <c r="S149" s="282">
        <f t="shared" si="7"/>
        <v>0</v>
      </c>
      <c r="T149" s="283">
        <f t="shared" si="3"/>
        <v>0</v>
      </c>
    </row>
    <row r="150" spans="1:20" ht="46.8">
      <c r="A150" s="274">
        <v>133</v>
      </c>
      <c r="B150" s="275">
        <v>7000026407</v>
      </c>
      <c r="C150" s="275">
        <v>1140</v>
      </c>
      <c r="D150" s="275" t="s">
        <v>716</v>
      </c>
      <c r="E150" s="275">
        <v>1000049794</v>
      </c>
      <c r="F150" s="275">
        <v>85359030</v>
      </c>
      <c r="G150" s="276"/>
      <c r="H150" s="275">
        <v>18</v>
      </c>
      <c r="I150" s="277"/>
      <c r="J150" s="278" t="s">
        <v>584</v>
      </c>
      <c r="K150" s="275" t="s">
        <v>297</v>
      </c>
      <c r="L150" s="275">
        <v>1</v>
      </c>
      <c r="M150" s="279"/>
      <c r="N150" s="280" t="str">
        <f t="shared" si="2"/>
        <v>INCLUDED</v>
      </c>
      <c r="O150" s="281">
        <f t="shared" si="4"/>
        <v>0</v>
      </c>
      <c r="P150" s="281">
        <f t="shared" si="22"/>
        <v>0</v>
      </c>
      <c r="Q150" s="281">
        <f>Discount!$H$36</f>
        <v>0</v>
      </c>
      <c r="R150" s="282">
        <f t="shared" si="6"/>
        <v>0</v>
      </c>
      <c r="S150" s="282">
        <f t="shared" si="7"/>
        <v>0</v>
      </c>
      <c r="T150" s="283">
        <f t="shared" si="3"/>
        <v>0</v>
      </c>
    </row>
    <row r="151" spans="1:20" ht="46.8">
      <c r="A151" s="284">
        <v>134</v>
      </c>
      <c r="B151" s="275">
        <v>7000026407</v>
      </c>
      <c r="C151" s="275">
        <v>1150</v>
      </c>
      <c r="D151" s="275" t="s">
        <v>716</v>
      </c>
      <c r="E151" s="275">
        <v>1000049807</v>
      </c>
      <c r="F151" s="275">
        <v>85359030</v>
      </c>
      <c r="G151" s="276"/>
      <c r="H151" s="275">
        <v>18</v>
      </c>
      <c r="I151" s="277"/>
      <c r="J151" s="278" t="s">
        <v>585</v>
      </c>
      <c r="K151" s="275" t="s">
        <v>297</v>
      </c>
      <c r="L151" s="275">
        <v>1</v>
      </c>
      <c r="M151" s="279"/>
      <c r="N151" s="280" t="str">
        <f t="shared" si="2"/>
        <v>INCLUDED</v>
      </c>
      <c r="O151" s="281">
        <f t="shared" si="4"/>
        <v>0</v>
      </c>
      <c r="P151" s="281">
        <f t="shared" si="22"/>
        <v>0</v>
      </c>
      <c r="Q151" s="281">
        <f>Discount!$H$36</f>
        <v>0</v>
      </c>
      <c r="R151" s="282">
        <f t="shared" si="6"/>
        <v>0</v>
      </c>
      <c r="S151" s="282">
        <f t="shared" si="7"/>
        <v>0</v>
      </c>
      <c r="T151" s="283">
        <f t="shared" si="3"/>
        <v>0</v>
      </c>
    </row>
    <row r="152" spans="1:20" ht="46.8">
      <c r="A152" s="274">
        <v>135</v>
      </c>
      <c r="B152" s="275">
        <v>7000026407</v>
      </c>
      <c r="C152" s="275">
        <v>1160</v>
      </c>
      <c r="D152" s="275" t="s">
        <v>716</v>
      </c>
      <c r="E152" s="275">
        <v>1000049804</v>
      </c>
      <c r="F152" s="275">
        <v>85359030</v>
      </c>
      <c r="G152" s="276"/>
      <c r="H152" s="275">
        <v>18</v>
      </c>
      <c r="I152" s="277"/>
      <c r="J152" s="278" t="s">
        <v>586</v>
      </c>
      <c r="K152" s="275" t="s">
        <v>297</v>
      </c>
      <c r="L152" s="275">
        <v>1</v>
      </c>
      <c r="M152" s="279"/>
      <c r="N152" s="280" t="str">
        <f t="shared" si="2"/>
        <v>INCLUDED</v>
      </c>
      <c r="O152" s="281">
        <f t="shared" si="4"/>
        <v>0</v>
      </c>
      <c r="P152" s="281">
        <f t="shared" si="22"/>
        <v>0</v>
      </c>
      <c r="Q152" s="281">
        <f>Discount!$H$36</f>
        <v>0</v>
      </c>
      <c r="R152" s="282">
        <f t="shared" si="6"/>
        <v>0</v>
      </c>
      <c r="S152" s="282">
        <f t="shared" si="7"/>
        <v>0</v>
      </c>
      <c r="T152" s="283">
        <f t="shared" si="3"/>
        <v>0</v>
      </c>
    </row>
    <row r="153" spans="1:20" ht="46.8">
      <c r="A153" s="284">
        <v>136</v>
      </c>
      <c r="B153" s="275">
        <v>7000026407</v>
      </c>
      <c r="C153" s="275">
        <v>1170</v>
      </c>
      <c r="D153" s="275" t="s">
        <v>716</v>
      </c>
      <c r="E153" s="275">
        <v>1000058289</v>
      </c>
      <c r="F153" s="275">
        <v>85359030</v>
      </c>
      <c r="G153" s="276"/>
      <c r="H153" s="275">
        <v>18</v>
      </c>
      <c r="I153" s="277"/>
      <c r="J153" s="278" t="s">
        <v>587</v>
      </c>
      <c r="K153" s="275" t="s">
        <v>297</v>
      </c>
      <c r="L153" s="275">
        <v>1</v>
      </c>
      <c r="M153" s="279"/>
      <c r="N153" s="280" t="str">
        <f t="shared" si="2"/>
        <v>INCLUDED</v>
      </c>
      <c r="O153" s="281">
        <f t="shared" si="4"/>
        <v>0</v>
      </c>
      <c r="P153" s="281">
        <f t="shared" si="22"/>
        <v>0</v>
      </c>
      <c r="Q153" s="281">
        <f>Discount!$H$36</f>
        <v>0</v>
      </c>
      <c r="R153" s="282">
        <f t="shared" si="6"/>
        <v>0</v>
      </c>
      <c r="S153" s="282">
        <f t="shared" si="7"/>
        <v>0</v>
      </c>
      <c r="T153" s="283">
        <f t="shared" si="3"/>
        <v>0</v>
      </c>
    </row>
    <row r="154" spans="1:20" ht="46.8">
      <c r="A154" s="274">
        <v>137</v>
      </c>
      <c r="B154" s="275">
        <v>7000026407</v>
      </c>
      <c r="C154" s="275">
        <v>1180</v>
      </c>
      <c r="D154" s="275" t="s">
        <v>716</v>
      </c>
      <c r="E154" s="275">
        <v>1000049798</v>
      </c>
      <c r="F154" s="275">
        <v>85359030</v>
      </c>
      <c r="G154" s="276"/>
      <c r="H154" s="275">
        <v>18</v>
      </c>
      <c r="I154" s="277"/>
      <c r="J154" s="278" t="s">
        <v>588</v>
      </c>
      <c r="K154" s="275" t="s">
        <v>297</v>
      </c>
      <c r="L154" s="275">
        <v>1</v>
      </c>
      <c r="M154" s="279"/>
      <c r="N154" s="280" t="str">
        <f t="shared" si="2"/>
        <v>INCLUDED</v>
      </c>
      <c r="O154" s="281">
        <f t="shared" si="4"/>
        <v>0</v>
      </c>
      <c r="P154" s="281">
        <f t="shared" si="22"/>
        <v>0</v>
      </c>
      <c r="Q154" s="281">
        <f>Discount!$H$36</f>
        <v>0</v>
      </c>
      <c r="R154" s="282">
        <f t="shared" si="6"/>
        <v>0</v>
      </c>
      <c r="S154" s="282">
        <f t="shared" si="7"/>
        <v>0</v>
      </c>
      <c r="T154" s="283">
        <f t="shared" si="3"/>
        <v>0</v>
      </c>
    </row>
    <row r="155" spans="1:20" ht="62.4">
      <c r="A155" s="284">
        <v>138</v>
      </c>
      <c r="B155" s="275">
        <v>7000026407</v>
      </c>
      <c r="C155" s="275">
        <v>1190</v>
      </c>
      <c r="D155" s="275" t="s">
        <v>716</v>
      </c>
      <c r="E155" s="275">
        <v>1000058293</v>
      </c>
      <c r="F155" s="275">
        <v>85359030</v>
      </c>
      <c r="G155" s="276"/>
      <c r="H155" s="275">
        <v>18</v>
      </c>
      <c r="I155" s="277"/>
      <c r="J155" s="278" t="s">
        <v>589</v>
      </c>
      <c r="K155" s="275" t="s">
        <v>297</v>
      </c>
      <c r="L155" s="275">
        <v>1</v>
      </c>
      <c r="M155" s="279"/>
      <c r="N155" s="280" t="str">
        <f t="shared" si="2"/>
        <v>INCLUDED</v>
      </c>
      <c r="O155" s="281">
        <f t="shared" si="4"/>
        <v>0</v>
      </c>
      <c r="P155" s="281">
        <f t="shared" si="22"/>
        <v>0</v>
      </c>
      <c r="Q155" s="281">
        <f>Discount!$H$36</f>
        <v>0</v>
      </c>
      <c r="R155" s="282">
        <f t="shared" si="6"/>
        <v>0</v>
      </c>
      <c r="S155" s="282">
        <f t="shared" si="7"/>
        <v>0</v>
      </c>
      <c r="T155" s="283">
        <f t="shared" si="3"/>
        <v>0</v>
      </c>
    </row>
    <row r="156" spans="1:20" ht="62.4">
      <c r="A156" s="274">
        <v>139</v>
      </c>
      <c r="B156" s="275">
        <v>7000026407</v>
      </c>
      <c r="C156" s="275">
        <v>1200</v>
      </c>
      <c r="D156" s="275" t="s">
        <v>716</v>
      </c>
      <c r="E156" s="275">
        <v>1000058287</v>
      </c>
      <c r="F156" s="275">
        <v>85359030</v>
      </c>
      <c r="G156" s="276"/>
      <c r="H156" s="275">
        <v>18</v>
      </c>
      <c r="I156" s="277"/>
      <c r="J156" s="278" t="s">
        <v>590</v>
      </c>
      <c r="K156" s="275" t="s">
        <v>297</v>
      </c>
      <c r="L156" s="275">
        <v>1</v>
      </c>
      <c r="M156" s="279"/>
      <c r="N156" s="280" t="str">
        <f t="shared" si="2"/>
        <v>INCLUDED</v>
      </c>
      <c r="O156" s="281">
        <f t="shared" si="4"/>
        <v>0</v>
      </c>
      <c r="P156" s="281">
        <f t="shared" si="22"/>
        <v>0</v>
      </c>
      <c r="Q156" s="281">
        <f>Discount!$H$36</f>
        <v>0</v>
      </c>
      <c r="R156" s="282">
        <f t="shared" si="6"/>
        <v>0</v>
      </c>
      <c r="S156" s="282">
        <f t="shared" si="7"/>
        <v>0</v>
      </c>
      <c r="T156" s="283">
        <f t="shared" si="3"/>
        <v>0</v>
      </c>
    </row>
    <row r="157" spans="1:20" ht="46.8">
      <c r="A157" s="284">
        <v>140</v>
      </c>
      <c r="B157" s="275">
        <v>7000026407</v>
      </c>
      <c r="C157" s="275">
        <v>1210</v>
      </c>
      <c r="D157" s="275" t="s">
        <v>716</v>
      </c>
      <c r="E157" s="275">
        <v>1000049797</v>
      </c>
      <c r="F157" s="275">
        <v>85359030</v>
      </c>
      <c r="G157" s="276"/>
      <c r="H157" s="275">
        <v>18</v>
      </c>
      <c r="I157" s="277"/>
      <c r="J157" s="278" t="s">
        <v>591</v>
      </c>
      <c r="K157" s="275" t="s">
        <v>297</v>
      </c>
      <c r="L157" s="275">
        <v>1</v>
      </c>
      <c r="M157" s="279"/>
      <c r="N157" s="280" t="str">
        <f t="shared" si="2"/>
        <v>INCLUDED</v>
      </c>
      <c r="O157" s="281">
        <f t="shared" si="4"/>
        <v>0</v>
      </c>
      <c r="P157" s="281">
        <f t="shared" si="22"/>
        <v>0</v>
      </c>
      <c r="Q157" s="281">
        <f>Discount!$H$36</f>
        <v>0</v>
      </c>
      <c r="R157" s="282">
        <f t="shared" si="6"/>
        <v>0</v>
      </c>
      <c r="S157" s="282">
        <f t="shared" si="7"/>
        <v>0</v>
      </c>
      <c r="T157" s="283">
        <f t="shared" si="3"/>
        <v>0</v>
      </c>
    </row>
    <row r="158" spans="1:20" ht="46.8">
      <c r="A158" s="274">
        <v>141</v>
      </c>
      <c r="B158" s="275">
        <v>7000026407</v>
      </c>
      <c r="C158" s="275">
        <v>1220</v>
      </c>
      <c r="D158" s="275" t="s">
        <v>716</v>
      </c>
      <c r="E158" s="275">
        <v>1000049801</v>
      </c>
      <c r="F158" s="275">
        <v>85359030</v>
      </c>
      <c r="G158" s="276"/>
      <c r="H158" s="275">
        <v>18</v>
      </c>
      <c r="I158" s="277"/>
      <c r="J158" s="278" t="s">
        <v>592</v>
      </c>
      <c r="K158" s="275" t="s">
        <v>297</v>
      </c>
      <c r="L158" s="275">
        <v>1</v>
      </c>
      <c r="M158" s="279"/>
      <c r="N158" s="280" t="str">
        <f t="shared" si="2"/>
        <v>INCLUDED</v>
      </c>
      <c r="O158" s="281">
        <f t="shared" si="4"/>
        <v>0</v>
      </c>
      <c r="P158" s="281">
        <f t="shared" si="22"/>
        <v>0</v>
      </c>
      <c r="Q158" s="281">
        <f>Discount!$H$36</f>
        <v>0</v>
      </c>
      <c r="R158" s="282">
        <f t="shared" si="6"/>
        <v>0</v>
      </c>
      <c r="S158" s="282">
        <f t="shared" si="7"/>
        <v>0</v>
      </c>
      <c r="T158" s="283">
        <f t="shared" si="3"/>
        <v>0</v>
      </c>
    </row>
    <row r="159" spans="1:20" ht="405.6">
      <c r="A159" s="284">
        <v>142</v>
      </c>
      <c r="B159" s="275">
        <v>7000026407</v>
      </c>
      <c r="C159" s="275">
        <v>1230</v>
      </c>
      <c r="D159" s="275" t="s">
        <v>716</v>
      </c>
      <c r="E159" s="275">
        <v>1000058371</v>
      </c>
      <c r="F159" s="275">
        <v>85359030</v>
      </c>
      <c r="G159" s="276"/>
      <c r="H159" s="275">
        <v>18</v>
      </c>
      <c r="I159" s="277"/>
      <c r="J159" s="278" t="s">
        <v>593</v>
      </c>
      <c r="K159" s="275" t="s">
        <v>296</v>
      </c>
      <c r="L159" s="275">
        <v>4</v>
      </c>
      <c r="M159" s="279"/>
      <c r="N159" s="280" t="str">
        <f t="shared" si="2"/>
        <v>INCLUDED</v>
      </c>
      <c r="O159" s="281">
        <f t="shared" si="4"/>
        <v>0</v>
      </c>
      <c r="P159" s="281">
        <f t="shared" si="22"/>
        <v>0</v>
      </c>
      <c r="Q159" s="281">
        <f>Discount!$H$36</f>
        <v>0</v>
      </c>
      <c r="R159" s="282">
        <f t="shared" si="6"/>
        <v>0</v>
      </c>
      <c r="S159" s="282">
        <f t="shared" si="7"/>
        <v>0</v>
      </c>
      <c r="T159" s="283">
        <f t="shared" si="3"/>
        <v>0</v>
      </c>
    </row>
    <row r="160" spans="1:20" ht="265.2">
      <c r="A160" s="274">
        <v>143</v>
      </c>
      <c r="B160" s="275">
        <v>7000026407</v>
      </c>
      <c r="C160" s="275">
        <v>1240</v>
      </c>
      <c r="D160" s="275" t="s">
        <v>716</v>
      </c>
      <c r="E160" s="275">
        <v>1000058282</v>
      </c>
      <c r="F160" s="275">
        <v>85359030</v>
      </c>
      <c r="G160" s="276"/>
      <c r="H160" s="275">
        <v>18</v>
      </c>
      <c r="I160" s="277"/>
      <c r="J160" s="278" t="s">
        <v>594</v>
      </c>
      <c r="K160" s="275" t="s">
        <v>296</v>
      </c>
      <c r="L160" s="275">
        <v>1</v>
      </c>
      <c r="M160" s="279"/>
      <c r="N160" s="280" t="str">
        <f t="shared" si="2"/>
        <v>INCLUDED</v>
      </c>
      <c r="O160" s="281">
        <f t="shared" si="4"/>
        <v>0</v>
      </c>
      <c r="P160" s="281">
        <f t="shared" si="22"/>
        <v>0</v>
      </c>
      <c r="Q160" s="281">
        <f>Discount!$H$36</f>
        <v>0</v>
      </c>
      <c r="R160" s="282">
        <f t="shared" si="6"/>
        <v>0</v>
      </c>
      <c r="S160" s="282">
        <f t="shared" si="7"/>
        <v>0</v>
      </c>
      <c r="T160" s="283">
        <f t="shared" si="3"/>
        <v>0</v>
      </c>
    </row>
    <row r="161" spans="1:20" ht="265.2">
      <c r="A161" s="284">
        <v>144</v>
      </c>
      <c r="B161" s="275">
        <v>7000026407</v>
      </c>
      <c r="C161" s="275">
        <v>1250</v>
      </c>
      <c r="D161" s="275" t="s">
        <v>716</v>
      </c>
      <c r="E161" s="275">
        <v>1000058278</v>
      </c>
      <c r="F161" s="275">
        <v>85359030</v>
      </c>
      <c r="G161" s="276"/>
      <c r="H161" s="275">
        <v>18</v>
      </c>
      <c r="I161" s="277"/>
      <c r="J161" s="278" t="s">
        <v>595</v>
      </c>
      <c r="K161" s="275" t="s">
        <v>296</v>
      </c>
      <c r="L161" s="275">
        <v>1</v>
      </c>
      <c r="M161" s="279"/>
      <c r="N161" s="280" t="str">
        <f t="shared" si="0"/>
        <v>INCLUDED</v>
      </c>
      <c r="O161" s="281">
        <f t="shared" ref="O161:O196" si="23">IF(N161="Included",0,N161)</f>
        <v>0</v>
      </c>
      <c r="P161" s="281">
        <f t="shared" ref="P161" si="24">IF( I161="",H161*(IF(N161="Included",0,N161))/100,I161*(IF(N161="Included",0,N161)))</f>
        <v>0</v>
      </c>
      <c r="Q161" s="281">
        <f>Discount!$H$36</f>
        <v>0</v>
      </c>
      <c r="R161" s="282">
        <f t="shared" ref="R161:R196" si="25">Q161*O161</f>
        <v>0</v>
      </c>
      <c r="S161" s="282">
        <f t="shared" ref="S161:S196" si="26">IF(I161="",H161*R161/100,I161*R161)</f>
        <v>0</v>
      </c>
      <c r="T161" s="283">
        <f t="shared" si="1"/>
        <v>0</v>
      </c>
    </row>
    <row r="162" spans="1:20" ht="109.2">
      <c r="A162" s="274">
        <v>145</v>
      </c>
      <c r="B162" s="275">
        <v>7000026407</v>
      </c>
      <c r="C162" s="275">
        <v>1260</v>
      </c>
      <c r="D162" s="275" t="s">
        <v>716</v>
      </c>
      <c r="E162" s="275">
        <v>1000058273</v>
      </c>
      <c r="F162" s="275">
        <v>85359030</v>
      </c>
      <c r="G162" s="276"/>
      <c r="H162" s="275">
        <v>18</v>
      </c>
      <c r="I162" s="277"/>
      <c r="J162" s="278" t="s">
        <v>596</v>
      </c>
      <c r="K162" s="275" t="s">
        <v>297</v>
      </c>
      <c r="L162" s="275">
        <v>1</v>
      </c>
      <c r="M162" s="279"/>
      <c r="N162" s="280" t="str">
        <f t="shared" ref="N162:N183" si="27">IF(M162=0, "INCLUDED", IF(ISERROR(M162*L162), M162, M162*L162))</f>
        <v>INCLUDED</v>
      </c>
      <c r="O162" s="281">
        <f t="shared" ref="O162:O183" si="28">IF(N162="Included",0,N162)</f>
        <v>0</v>
      </c>
      <c r="P162" s="281">
        <f t="shared" ref="P162:P183" si="29">IF( I162="",H162*(IF(N162="Included",0,N162))/100,I162*(IF(N162="Included",0,N162)))</f>
        <v>0</v>
      </c>
      <c r="Q162" s="281">
        <f>Discount!$H$36</f>
        <v>0</v>
      </c>
      <c r="R162" s="282">
        <f t="shared" ref="R162:R183" si="30">Q162*O162</f>
        <v>0</v>
      </c>
      <c r="S162" s="282">
        <f t="shared" ref="S162:S183" si="31">IF(I162="",H162*R162/100,I162*R162)</f>
        <v>0</v>
      </c>
      <c r="T162" s="283">
        <f t="shared" ref="T162:T183" si="32">M162*L162</f>
        <v>0</v>
      </c>
    </row>
    <row r="163" spans="1:20" ht="109.2">
      <c r="A163" s="284">
        <v>146</v>
      </c>
      <c r="B163" s="275">
        <v>7000026407</v>
      </c>
      <c r="C163" s="275">
        <v>1270</v>
      </c>
      <c r="D163" s="275" t="s">
        <v>716</v>
      </c>
      <c r="E163" s="275">
        <v>1000058280</v>
      </c>
      <c r="F163" s="275">
        <v>85359030</v>
      </c>
      <c r="G163" s="276"/>
      <c r="H163" s="275">
        <v>18</v>
      </c>
      <c r="I163" s="277"/>
      <c r="J163" s="278" t="s">
        <v>597</v>
      </c>
      <c r="K163" s="275" t="s">
        <v>297</v>
      </c>
      <c r="L163" s="275">
        <v>1</v>
      </c>
      <c r="M163" s="279"/>
      <c r="N163" s="280" t="str">
        <f t="shared" si="27"/>
        <v>INCLUDED</v>
      </c>
      <c r="O163" s="281">
        <f t="shared" si="28"/>
        <v>0</v>
      </c>
      <c r="P163" s="281">
        <f t="shared" si="29"/>
        <v>0</v>
      </c>
      <c r="Q163" s="281">
        <f>Discount!$H$36</f>
        <v>0</v>
      </c>
      <c r="R163" s="282">
        <f t="shared" si="30"/>
        <v>0</v>
      </c>
      <c r="S163" s="282">
        <f t="shared" si="31"/>
        <v>0</v>
      </c>
      <c r="T163" s="283">
        <f t="shared" si="32"/>
        <v>0</v>
      </c>
    </row>
    <row r="164" spans="1:20" ht="109.2">
      <c r="A164" s="274">
        <v>147</v>
      </c>
      <c r="B164" s="275">
        <v>7000026407</v>
      </c>
      <c r="C164" s="275">
        <v>1280</v>
      </c>
      <c r="D164" s="275" t="s">
        <v>716</v>
      </c>
      <c r="E164" s="275">
        <v>1000058276</v>
      </c>
      <c r="F164" s="275">
        <v>85359030</v>
      </c>
      <c r="G164" s="276"/>
      <c r="H164" s="275">
        <v>18</v>
      </c>
      <c r="I164" s="277"/>
      <c r="J164" s="278" t="s">
        <v>598</v>
      </c>
      <c r="K164" s="275" t="s">
        <v>297</v>
      </c>
      <c r="L164" s="275">
        <v>1</v>
      </c>
      <c r="M164" s="279"/>
      <c r="N164" s="280" t="str">
        <f t="shared" si="27"/>
        <v>INCLUDED</v>
      </c>
      <c r="O164" s="281">
        <f t="shared" si="28"/>
        <v>0</v>
      </c>
      <c r="P164" s="281">
        <f t="shared" si="29"/>
        <v>0</v>
      </c>
      <c r="Q164" s="281">
        <f>Discount!$H$36</f>
        <v>0</v>
      </c>
      <c r="R164" s="282">
        <f t="shared" si="30"/>
        <v>0</v>
      </c>
      <c r="S164" s="282">
        <f t="shared" si="31"/>
        <v>0</v>
      </c>
      <c r="T164" s="283">
        <f t="shared" si="32"/>
        <v>0</v>
      </c>
    </row>
    <row r="165" spans="1:20" ht="31.2">
      <c r="A165" s="284">
        <v>148</v>
      </c>
      <c r="B165" s="275">
        <v>7000026407</v>
      </c>
      <c r="C165" s="275">
        <v>1290</v>
      </c>
      <c r="D165" s="275" t="s">
        <v>716</v>
      </c>
      <c r="E165" s="275">
        <v>1000049773</v>
      </c>
      <c r="F165" s="275">
        <v>85359030</v>
      </c>
      <c r="G165" s="276"/>
      <c r="H165" s="275">
        <v>18</v>
      </c>
      <c r="I165" s="277"/>
      <c r="J165" s="278" t="s">
        <v>599</v>
      </c>
      <c r="K165" s="275" t="s">
        <v>297</v>
      </c>
      <c r="L165" s="275">
        <v>2</v>
      </c>
      <c r="M165" s="279"/>
      <c r="N165" s="280" t="str">
        <f t="shared" si="27"/>
        <v>INCLUDED</v>
      </c>
      <c r="O165" s="281">
        <f t="shared" si="28"/>
        <v>0</v>
      </c>
      <c r="P165" s="281">
        <f t="shared" si="29"/>
        <v>0</v>
      </c>
      <c r="Q165" s="281">
        <f>Discount!$H$36</f>
        <v>0</v>
      </c>
      <c r="R165" s="282">
        <f t="shared" si="30"/>
        <v>0</v>
      </c>
      <c r="S165" s="282">
        <f t="shared" si="31"/>
        <v>0</v>
      </c>
      <c r="T165" s="283">
        <f t="shared" si="32"/>
        <v>0</v>
      </c>
    </row>
    <row r="166" spans="1:20" ht="46.8">
      <c r="A166" s="274">
        <v>149</v>
      </c>
      <c r="B166" s="275">
        <v>7000026407</v>
      </c>
      <c r="C166" s="275">
        <v>1300</v>
      </c>
      <c r="D166" s="275" t="s">
        <v>716</v>
      </c>
      <c r="E166" s="275">
        <v>1000049775</v>
      </c>
      <c r="F166" s="275">
        <v>85359030</v>
      </c>
      <c r="G166" s="276"/>
      <c r="H166" s="275">
        <v>18</v>
      </c>
      <c r="I166" s="277"/>
      <c r="J166" s="278" t="s">
        <v>600</v>
      </c>
      <c r="K166" s="275" t="s">
        <v>297</v>
      </c>
      <c r="L166" s="275">
        <v>2</v>
      </c>
      <c r="M166" s="279"/>
      <c r="N166" s="280" t="str">
        <f t="shared" si="27"/>
        <v>INCLUDED</v>
      </c>
      <c r="O166" s="281">
        <f t="shared" si="28"/>
        <v>0</v>
      </c>
      <c r="P166" s="281">
        <f t="shared" si="29"/>
        <v>0</v>
      </c>
      <c r="Q166" s="281">
        <f>Discount!$H$36</f>
        <v>0</v>
      </c>
      <c r="R166" s="282">
        <f t="shared" si="30"/>
        <v>0</v>
      </c>
      <c r="S166" s="282">
        <f t="shared" si="31"/>
        <v>0</v>
      </c>
      <c r="T166" s="283">
        <f t="shared" si="32"/>
        <v>0</v>
      </c>
    </row>
    <row r="167" spans="1:20" ht="46.8">
      <c r="A167" s="284">
        <v>150</v>
      </c>
      <c r="B167" s="275">
        <v>7000026407</v>
      </c>
      <c r="C167" s="275">
        <v>1310</v>
      </c>
      <c r="D167" s="275" t="s">
        <v>716</v>
      </c>
      <c r="E167" s="275">
        <v>1000049774</v>
      </c>
      <c r="F167" s="275">
        <v>85359030</v>
      </c>
      <c r="G167" s="276"/>
      <c r="H167" s="275">
        <v>18</v>
      </c>
      <c r="I167" s="277"/>
      <c r="J167" s="278" t="s">
        <v>601</v>
      </c>
      <c r="K167" s="275" t="s">
        <v>297</v>
      </c>
      <c r="L167" s="275">
        <v>2</v>
      </c>
      <c r="M167" s="279"/>
      <c r="N167" s="280" t="str">
        <f t="shared" si="27"/>
        <v>INCLUDED</v>
      </c>
      <c r="O167" s="281">
        <f t="shared" si="28"/>
        <v>0</v>
      </c>
      <c r="P167" s="281">
        <f t="shared" si="29"/>
        <v>0</v>
      </c>
      <c r="Q167" s="281">
        <f>Discount!$H$36</f>
        <v>0</v>
      </c>
      <c r="R167" s="282">
        <f t="shared" si="30"/>
        <v>0</v>
      </c>
      <c r="S167" s="282">
        <f t="shared" si="31"/>
        <v>0</v>
      </c>
      <c r="T167" s="283">
        <f t="shared" si="32"/>
        <v>0</v>
      </c>
    </row>
    <row r="168" spans="1:20" ht="31.2">
      <c r="A168" s="274">
        <v>151</v>
      </c>
      <c r="B168" s="275">
        <v>7000026407</v>
      </c>
      <c r="C168" s="275">
        <v>1320</v>
      </c>
      <c r="D168" s="275" t="s">
        <v>716</v>
      </c>
      <c r="E168" s="275">
        <v>1000058274</v>
      </c>
      <c r="F168" s="275">
        <v>85359030</v>
      </c>
      <c r="G168" s="276"/>
      <c r="H168" s="275">
        <v>18</v>
      </c>
      <c r="I168" s="277"/>
      <c r="J168" s="278" t="s">
        <v>602</v>
      </c>
      <c r="K168" s="275" t="s">
        <v>297</v>
      </c>
      <c r="L168" s="275">
        <v>1</v>
      </c>
      <c r="M168" s="279"/>
      <c r="N168" s="280" t="str">
        <f t="shared" si="27"/>
        <v>INCLUDED</v>
      </c>
      <c r="O168" s="281">
        <f t="shared" si="28"/>
        <v>0</v>
      </c>
      <c r="P168" s="281">
        <f t="shared" si="29"/>
        <v>0</v>
      </c>
      <c r="Q168" s="281">
        <f>Discount!$H$36</f>
        <v>0</v>
      </c>
      <c r="R168" s="282">
        <f t="shared" si="30"/>
        <v>0</v>
      </c>
      <c r="S168" s="282">
        <f t="shared" si="31"/>
        <v>0</v>
      </c>
      <c r="T168" s="283">
        <f t="shared" si="32"/>
        <v>0</v>
      </c>
    </row>
    <row r="169" spans="1:20" ht="31.2">
      <c r="A169" s="284">
        <v>152</v>
      </c>
      <c r="B169" s="275">
        <v>7000026407</v>
      </c>
      <c r="C169" s="275">
        <v>1330</v>
      </c>
      <c r="D169" s="275" t="s">
        <v>716</v>
      </c>
      <c r="E169" s="275">
        <v>1000058281</v>
      </c>
      <c r="F169" s="275">
        <v>85359030</v>
      </c>
      <c r="G169" s="276"/>
      <c r="H169" s="275">
        <v>18</v>
      </c>
      <c r="I169" s="277"/>
      <c r="J169" s="278" t="s">
        <v>603</v>
      </c>
      <c r="K169" s="275" t="s">
        <v>297</v>
      </c>
      <c r="L169" s="275">
        <v>1</v>
      </c>
      <c r="M169" s="279"/>
      <c r="N169" s="280" t="str">
        <f t="shared" si="27"/>
        <v>INCLUDED</v>
      </c>
      <c r="O169" s="281">
        <f t="shared" si="28"/>
        <v>0</v>
      </c>
      <c r="P169" s="281">
        <f t="shared" si="29"/>
        <v>0</v>
      </c>
      <c r="Q169" s="281">
        <f>Discount!$H$36</f>
        <v>0</v>
      </c>
      <c r="R169" s="282">
        <f t="shared" si="30"/>
        <v>0</v>
      </c>
      <c r="S169" s="282">
        <f t="shared" si="31"/>
        <v>0</v>
      </c>
      <c r="T169" s="283">
        <f t="shared" si="32"/>
        <v>0</v>
      </c>
    </row>
    <row r="170" spans="1:20" ht="31.2">
      <c r="A170" s="274">
        <v>153</v>
      </c>
      <c r="B170" s="275">
        <v>7000026407</v>
      </c>
      <c r="C170" s="275">
        <v>1340</v>
      </c>
      <c r="D170" s="275" t="s">
        <v>716</v>
      </c>
      <c r="E170" s="275">
        <v>1000058275</v>
      </c>
      <c r="F170" s="275">
        <v>85359030</v>
      </c>
      <c r="G170" s="276"/>
      <c r="H170" s="275">
        <v>18</v>
      </c>
      <c r="I170" s="277"/>
      <c r="J170" s="278" t="s">
        <v>604</v>
      </c>
      <c r="K170" s="275" t="s">
        <v>296</v>
      </c>
      <c r="L170" s="275">
        <v>1</v>
      </c>
      <c r="M170" s="279"/>
      <c r="N170" s="280" t="str">
        <f t="shared" si="27"/>
        <v>INCLUDED</v>
      </c>
      <c r="O170" s="281">
        <f t="shared" si="28"/>
        <v>0</v>
      </c>
      <c r="P170" s="281">
        <f t="shared" si="29"/>
        <v>0</v>
      </c>
      <c r="Q170" s="281">
        <f>Discount!$H$36</f>
        <v>0</v>
      </c>
      <c r="R170" s="282">
        <f t="shared" si="30"/>
        <v>0</v>
      </c>
      <c r="S170" s="282">
        <f t="shared" si="31"/>
        <v>0</v>
      </c>
      <c r="T170" s="283">
        <f t="shared" si="32"/>
        <v>0</v>
      </c>
    </row>
    <row r="171" spans="1:20" ht="31.2">
      <c r="A171" s="284">
        <v>154</v>
      </c>
      <c r="B171" s="275">
        <v>7000026407</v>
      </c>
      <c r="C171" s="275">
        <v>1350</v>
      </c>
      <c r="D171" s="275" t="s">
        <v>716</v>
      </c>
      <c r="E171" s="275">
        <v>1000058283</v>
      </c>
      <c r="F171" s="275">
        <v>85359030</v>
      </c>
      <c r="G171" s="276"/>
      <c r="H171" s="275">
        <v>18</v>
      </c>
      <c r="I171" s="277"/>
      <c r="J171" s="278" t="s">
        <v>605</v>
      </c>
      <c r="K171" s="275" t="s">
        <v>296</v>
      </c>
      <c r="L171" s="275">
        <v>1</v>
      </c>
      <c r="M171" s="279"/>
      <c r="N171" s="280" t="str">
        <f t="shared" si="27"/>
        <v>INCLUDED</v>
      </c>
      <c r="O171" s="281">
        <f t="shared" si="28"/>
        <v>0</v>
      </c>
      <c r="P171" s="281">
        <f t="shared" si="29"/>
        <v>0</v>
      </c>
      <c r="Q171" s="281">
        <f>Discount!$H$36</f>
        <v>0</v>
      </c>
      <c r="R171" s="282">
        <f t="shared" si="30"/>
        <v>0</v>
      </c>
      <c r="S171" s="282">
        <f t="shared" si="31"/>
        <v>0</v>
      </c>
      <c r="T171" s="283">
        <f t="shared" si="32"/>
        <v>0</v>
      </c>
    </row>
    <row r="172" spans="1:20" ht="31.2">
      <c r="A172" s="274">
        <v>155</v>
      </c>
      <c r="B172" s="275">
        <v>7000026407</v>
      </c>
      <c r="C172" s="275">
        <v>1360</v>
      </c>
      <c r="D172" s="275" t="s">
        <v>716</v>
      </c>
      <c r="E172" s="275">
        <v>1000058279</v>
      </c>
      <c r="F172" s="275">
        <v>85359030</v>
      </c>
      <c r="G172" s="276"/>
      <c r="H172" s="275">
        <v>18</v>
      </c>
      <c r="I172" s="277"/>
      <c r="J172" s="278" t="s">
        <v>606</v>
      </c>
      <c r="K172" s="275" t="s">
        <v>296</v>
      </c>
      <c r="L172" s="275">
        <v>1</v>
      </c>
      <c r="M172" s="279"/>
      <c r="N172" s="280" t="str">
        <f t="shared" si="27"/>
        <v>INCLUDED</v>
      </c>
      <c r="O172" s="281">
        <f t="shared" si="28"/>
        <v>0</v>
      </c>
      <c r="P172" s="281">
        <f t="shared" si="29"/>
        <v>0</v>
      </c>
      <c r="Q172" s="281">
        <f>Discount!$H$36</f>
        <v>0</v>
      </c>
      <c r="R172" s="282">
        <f t="shared" si="30"/>
        <v>0</v>
      </c>
      <c r="S172" s="282">
        <f t="shared" si="31"/>
        <v>0</v>
      </c>
      <c r="T172" s="283">
        <f t="shared" si="32"/>
        <v>0</v>
      </c>
    </row>
    <row r="173" spans="1:20" ht="46.8">
      <c r="A173" s="284">
        <v>156</v>
      </c>
      <c r="B173" s="275">
        <v>7000026407</v>
      </c>
      <c r="C173" s="275">
        <v>1370</v>
      </c>
      <c r="D173" s="275" t="s">
        <v>716</v>
      </c>
      <c r="E173" s="275">
        <v>1000058294</v>
      </c>
      <c r="F173" s="275">
        <v>85359030</v>
      </c>
      <c r="G173" s="276"/>
      <c r="H173" s="275">
        <v>18</v>
      </c>
      <c r="I173" s="277"/>
      <c r="J173" s="278" t="s">
        <v>607</v>
      </c>
      <c r="K173" s="275" t="s">
        <v>296</v>
      </c>
      <c r="L173" s="275">
        <v>1</v>
      </c>
      <c r="M173" s="279"/>
      <c r="N173" s="280" t="str">
        <f t="shared" ref="N173:N182" si="33">IF(M173=0, "INCLUDED", IF(ISERROR(M173*L173), M173, M173*L173))</f>
        <v>INCLUDED</v>
      </c>
      <c r="O173" s="281">
        <f t="shared" ref="O173:O182" si="34">IF(N173="Included",0,N173)</f>
        <v>0</v>
      </c>
      <c r="P173" s="281">
        <f t="shared" ref="P173:P182" si="35">IF( I173="",H173*(IF(N173="Included",0,N173))/100,I173*(IF(N173="Included",0,N173)))</f>
        <v>0</v>
      </c>
      <c r="Q173" s="281">
        <f>Discount!$H$36</f>
        <v>0</v>
      </c>
      <c r="R173" s="282">
        <f t="shared" ref="R173:R182" si="36">Q173*O173</f>
        <v>0</v>
      </c>
      <c r="S173" s="282">
        <f t="shared" ref="S173:S182" si="37">IF(I173="",H173*R173/100,I173*R173)</f>
        <v>0</v>
      </c>
      <c r="T173" s="283">
        <f t="shared" ref="T173:T182" si="38">M173*L173</f>
        <v>0</v>
      </c>
    </row>
    <row r="174" spans="1:20" ht="31.2">
      <c r="A174" s="274">
        <v>157</v>
      </c>
      <c r="B174" s="275">
        <v>7000026407</v>
      </c>
      <c r="C174" s="275">
        <v>1380</v>
      </c>
      <c r="D174" s="275" t="s">
        <v>717</v>
      </c>
      <c r="E174" s="275">
        <v>1000019925</v>
      </c>
      <c r="F174" s="275">
        <v>84819090</v>
      </c>
      <c r="G174" s="276"/>
      <c r="H174" s="275">
        <v>18</v>
      </c>
      <c r="I174" s="277"/>
      <c r="J174" s="278" t="s">
        <v>531</v>
      </c>
      <c r="K174" s="275" t="s">
        <v>472</v>
      </c>
      <c r="L174" s="275">
        <v>1</v>
      </c>
      <c r="M174" s="279"/>
      <c r="N174" s="280" t="str">
        <f t="shared" si="33"/>
        <v>INCLUDED</v>
      </c>
      <c r="O174" s="281">
        <f t="shared" si="34"/>
        <v>0</v>
      </c>
      <c r="P174" s="281">
        <f t="shared" si="35"/>
        <v>0</v>
      </c>
      <c r="Q174" s="281">
        <f>Discount!$H$36</f>
        <v>0</v>
      </c>
      <c r="R174" s="282">
        <f t="shared" si="36"/>
        <v>0</v>
      </c>
      <c r="S174" s="282">
        <f t="shared" si="37"/>
        <v>0</v>
      </c>
      <c r="T174" s="283">
        <f t="shared" si="38"/>
        <v>0</v>
      </c>
    </row>
    <row r="175" spans="1:20" ht="31.2">
      <c r="A175" s="284">
        <v>158</v>
      </c>
      <c r="B175" s="275">
        <v>7000026407</v>
      </c>
      <c r="C175" s="275">
        <v>1390</v>
      </c>
      <c r="D175" s="275" t="s">
        <v>717</v>
      </c>
      <c r="E175" s="275">
        <v>1000019927</v>
      </c>
      <c r="F175" s="275">
        <v>85389000</v>
      </c>
      <c r="G175" s="276"/>
      <c r="H175" s="275">
        <v>18</v>
      </c>
      <c r="I175" s="277"/>
      <c r="J175" s="278" t="s">
        <v>530</v>
      </c>
      <c r="K175" s="275" t="s">
        <v>472</v>
      </c>
      <c r="L175" s="275">
        <v>1</v>
      </c>
      <c r="M175" s="279"/>
      <c r="N175" s="280" t="str">
        <f t="shared" si="33"/>
        <v>INCLUDED</v>
      </c>
      <c r="O175" s="281">
        <f t="shared" si="34"/>
        <v>0</v>
      </c>
      <c r="P175" s="281">
        <f t="shared" si="35"/>
        <v>0</v>
      </c>
      <c r="Q175" s="281">
        <f>Discount!$H$36</f>
        <v>0</v>
      </c>
      <c r="R175" s="282">
        <f t="shared" si="36"/>
        <v>0</v>
      </c>
      <c r="S175" s="282">
        <f t="shared" si="37"/>
        <v>0</v>
      </c>
      <c r="T175" s="283">
        <f t="shared" si="38"/>
        <v>0</v>
      </c>
    </row>
    <row r="176" spans="1:20" ht="31.2">
      <c r="A176" s="274">
        <v>159</v>
      </c>
      <c r="B176" s="275">
        <v>7000026407</v>
      </c>
      <c r="C176" s="275">
        <v>1400</v>
      </c>
      <c r="D176" s="275" t="s">
        <v>717</v>
      </c>
      <c r="E176" s="275">
        <v>1000019912</v>
      </c>
      <c r="F176" s="275">
        <v>85371000</v>
      </c>
      <c r="G176" s="276"/>
      <c r="H176" s="275">
        <v>18</v>
      </c>
      <c r="I176" s="277"/>
      <c r="J176" s="278" t="s">
        <v>529</v>
      </c>
      <c r="K176" s="275" t="s">
        <v>472</v>
      </c>
      <c r="L176" s="275">
        <v>1</v>
      </c>
      <c r="M176" s="279"/>
      <c r="N176" s="280" t="str">
        <f t="shared" si="33"/>
        <v>INCLUDED</v>
      </c>
      <c r="O176" s="281">
        <f t="shared" si="34"/>
        <v>0</v>
      </c>
      <c r="P176" s="281">
        <f t="shared" si="35"/>
        <v>0</v>
      </c>
      <c r="Q176" s="281">
        <f>Discount!$H$36</f>
        <v>0</v>
      </c>
      <c r="R176" s="282">
        <f t="shared" si="36"/>
        <v>0</v>
      </c>
      <c r="S176" s="282">
        <f t="shared" si="37"/>
        <v>0</v>
      </c>
      <c r="T176" s="283">
        <f t="shared" si="38"/>
        <v>0</v>
      </c>
    </row>
    <row r="177" spans="1:20" ht="31.2">
      <c r="A177" s="284">
        <v>160</v>
      </c>
      <c r="B177" s="275">
        <v>7000026407</v>
      </c>
      <c r="C177" s="275">
        <v>1410</v>
      </c>
      <c r="D177" s="275" t="s">
        <v>717</v>
      </c>
      <c r="E177" s="275">
        <v>1000025940</v>
      </c>
      <c r="F177" s="275">
        <v>85462040</v>
      </c>
      <c r="G177" s="276"/>
      <c r="H177" s="275">
        <v>18</v>
      </c>
      <c r="I177" s="277"/>
      <c r="J177" s="278" t="s">
        <v>745</v>
      </c>
      <c r="K177" s="275" t="s">
        <v>297</v>
      </c>
      <c r="L177" s="275">
        <v>1</v>
      </c>
      <c r="M177" s="279"/>
      <c r="N177" s="280" t="str">
        <f t="shared" si="33"/>
        <v>INCLUDED</v>
      </c>
      <c r="O177" s="281">
        <f t="shared" si="34"/>
        <v>0</v>
      </c>
      <c r="P177" s="281">
        <f t="shared" si="35"/>
        <v>0</v>
      </c>
      <c r="Q177" s="281">
        <f>Discount!$H$36</f>
        <v>0</v>
      </c>
      <c r="R177" s="282">
        <f t="shared" si="36"/>
        <v>0</v>
      </c>
      <c r="S177" s="282">
        <f t="shared" si="37"/>
        <v>0</v>
      </c>
      <c r="T177" s="283">
        <f t="shared" si="38"/>
        <v>0</v>
      </c>
    </row>
    <row r="178" spans="1:20" ht="31.2">
      <c r="A178" s="274">
        <v>161</v>
      </c>
      <c r="B178" s="275">
        <v>7000026407</v>
      </c>
      <c r="C178" s="275">
        <v>1420</v>
      </c>
      <c r="D178" s="275" t="s">
        <v>717</v>
      </c>
      <c r="E178" s="275">
        <v>1000025932</v>
      </c>
      <c r="F178" s="275">
        <v>85462040</v>
      </c>
      <c r="G178" s="276"/>
      <c r="H178" s="275">
        <v>18</v>
      </c>
      <c r="I178" s="277"/>
      <c r="J178" s="278" t="s">
        <v>746</v>
      </c>
      <c r="K178" s="275" t="s">
        <v>297</v>
      </c>
      <c r="L178" s="275">
        <v>1</v>
      </c>
      <c r="M178" s="279"/>
      <c r="N178" s="280" t="str">
        <f t="shared" si="33"/>
        <v>INCLUDED</v>
      </c>
      <c r="O178" s="281">
        <f t="shared" si="34"/>
        <v>0</v>
      </c>
      <c r="P178" s="281">
        <f t="shared" si="35"/>
        <v>0</v>
      </c>
      <c r="Q178" s="281">
        <f>Discount!$H$36</f>
        <v>0</v>
      </c>
      <c r="R178" s="282">
        <f t="shared" si="36"/>
        <v>0</v>
      </c>
      <c r="S178" s="282">
        <f t="shared" si="37"/>
        <v>0</v>
      </c>
      <c r="T178" s="283">
        <f t="shared" si="38"/>
        <v>0</v>
      </c>
    </row>
    <row r="179" spans="1:20" ht="31.2">
      <c r="A179" s="284">
        <v>162</v>
      </c>
      <c r="B179" s="275">
        <v>7000026407</v>
      </c>
      <c r="C179" s="275">
        <v>1430</v>
      </c>
      <c r="D179" s="275" t="s">
        <v>717</v>
      </c>
      <c r="E179" s="275">
        <v>1000025930</v>
      </c>
      <c r="F179" s="275">
        <v>85354010</v>
      </c>
      <c r="G179" s="276"/>
      <c r="H179" s="275">
        <v>18</v>
      </c>
      <c r="I179" s="277"/>
      <c r="J179" s="278" t="s">
        <v>559</v>
      </c>
      <c r="K179" s="275" t="s">
        <v>297</v>
      </c>
      <c r="L179" s="275">
        <v>1</v>
      </c>
      <c r="M179" s="279"/>
      <c r="N179" s="280" t="str">
        <f t="shared" si="33"/>
        <v>INCLUDED</v>
      </c>
      <c r="O179" s="281">
        <f t="shared" si="34"/>
        <v>0</v>
      </c>
      <c r="P179" s="281">
        <f t="shared" si="35"/>
        <v>0</v>
      </c>
      <c r="Q179" s="281">
        <f>Discount!$H$36</f>
        <v>0</v>
      </c>
      <c r="R179" s="282">
        <f t="shared" si="36"/>
        <v>0</v>
      </c>
      <c r="S179" s="282">
        <f t="shared" si="37"/>
        <v>0</v>
      </c>
      <c r="T179" s="283">
        <f t="shared" si="38"/>
        <v>0</v>
      </c>
    </row>
    <row r="180" spans="1:20" ht="31.2">
      <c r="A180" s="274">
        <v>163</v>
      </c>
      <c r="B180" s="275">
        <v>7000026407</v>
      </c>
      <c r="C180" s="275">
        <v>1440</v>
      </c>
      <c r="D180" s="275" t="s">
        <v>717</v>
      </c>
      <c r="E180" s="275">
        <v>1000024186</v>
      </c>
      <c r="F180" s="275">
        <v>85354010</v>
      </c>
      <c r="G180" s="276"/>
      <c r="H180" s="275">
        <v>18</v>
      </c>
      <c r="I180" s="277"/>
      <c r="J180" s="278" t="s">
        <v>653</v>
      </c>
      <c r="K180" s="275" t="s">
        <v>472</v>
      </c>
      <c r="L180" s="275">
        <v>1</v>
      </c>
      <c r="M180" s="279"/>
      <c r="N180" s="280" t="str">
        <f t="shared" si="33"/>
        <v>INCLUDED</v>
      </c>
      <c r="O180" s="281">
        <f t="shared" si="34"/>
        <v>0</v>
      </c>
      <c r="P180" s="281">
        <f t="shared" si="35"/>
        <v>0</v>
      </c>
      <c r="Q180" s="281">
        <f>Discount!$H$36</f>
        <v>0</v>
      </c>
      <c r="R180" s="282">
        <f t="shared" si="36"/>
        <v>0</v>
      </c>
      <c r="S180" s="282">
        <f t="shared" si="37"/>
        <v>0</v>
      </c>
      <c r="T180" s="283">
        <f t="shared" si="38"/>
        <v>0</v>
      </c>
    </row>
    <row r="181" spans="1:20" ht="78">
      <c r="A181" s="284">
        <v>164</v>
      </c>
      <c r="B181" s="275">
        <v>7000026407</v>
      </c>
      <c r="C181" s="275">
        <v>1760</v>
      </c>
      <c r="D181" s="275" t="s">
        <v>718</v>
      </c>
      <c r="E181" s="275">
        <v>1000015954</v>
      </c>
      <c r="F181" s="275">
        <v>73082011</v>
      </c>
      <c r="G181" s="276"/>
      <c r="H181" s="275">
        <v>18</v>
      </c>
      <c r="I181" s="277"/>
      <c r="J181" s="278" t="s">
        <v>608</v>
      </c>
      <c r="K181" s="275" t="s">
        <v>295</v>
      </c>
      <c r="L181" s="275">
        <v>16.3</v>
      </c>
      <c r="M181" s="279"/>
      <c r="N181" s="280" t="str">
        <f t="shared" si="33"/>
        <v>INCLUDED</v>
      </c>
      <c r="O181" s="281">
        <f t="shared" si="34"/>
        <v>0</v>
      </c>
      <c r="P181" s="281">
        <f t="shared" si="35"/>
        <v>0</v>
      </c>
      <c r="Q181" s="281">
        <f>Discount!$H$36</f>
        <v>0</v>
      </c>
      <c r="R181" s="282">
        <f t="shared" si="36"/>
        <v>0</v>
      </c>
      <c r="S181" s="282">
        <f t="shared" si="37"/>
        <v>0</v>
      </c>
      <c r="T181" s="283">
        <f t="shared" si="38"/>
        <v>0</v>
      </c>
    </row>
    <row r="182" spans="1:20" ht="46.8">
      <c r="A182" s="274">
        <v>165</v>
      </c>
      <c r="B182" s="275">
        <v>7000026407</v>
      </c>
      <c r="C182" s="275">
        <v>1770</v>
      </c>
      <c r="D182" s="275" t="s">
        <v>718</v>
      </c>
      <c r="E182" s="275">
        <v>1000011713</v>
      </c>
      <c r="F182" s="275">
        <v>73082011</v>
      </c>
      <c r="G182" s="276"/>
      <c r="H182" s="275">
        <v>18</v>
      </c>
      <c r="I182" s="277"/>
      <c r="J182" s="278" t="s">
        <v>609</v>
      </c>
      <c r="K182" s="275" t="s">
        <v>295</v>
      </c>
      <c r="L182" s="275">
        <v>0.85</v>
      </c>
      <c r="M182" s="279"/>
      <c r="N182" s="280" t="str">
        <f t="shared" si="33"/>
        <v>INCLUDED</v>
      </c>
      <c r="O182" s="281">
        <f t="shared" si="34"/>
        <v>0</v>
      </c>
      <c r="P182" s="281">
        <f t="shared" si="35"/>
        <v>0</v>
      </c>
      <c r="Q182" s="281">
        <f>Discount!$H$36</f>
        <v>0</v>
      </c>
      <c r="R182" s="282">
        <f t="shared" si="36"/>
        <v>0</v>
      </c>
      <c r="S182" s="282">
        <f t="shared" si="37"/>
        <v>0</v>
      </c>
      <c r="T182" s="283">
        <f t="shared" si="38"/>
        <v>0</v>
      </c>
    </row>
    <row r="183" spans="1:20" ht="46.8">
      <c r="A183" s="284">
        <v>166</v>
      </c>
      <c r="B183" s="275">
        <v>7000026407</v>
      </c>
      <c r="C183" s="275">
        <v>1780</v>
      </c>
      <c r="D183" s="275" t="s">
        <v>718</v>
      </c>
      <c r="E183" s="275">
        <v>1000012373</v>
      </c>
      <c r="F183" s="275">
        <v>73082011</v>
      </c>
      <c r="G183" s="276"/>
      <c r="H183" s="275">
        <v>18</v>
      </c>
      <c r="I183" s="277"/>
      <c r="J183" s="278" t="s">
        <v>610</v>
      </c>
      <c r="K183" s="275" t="s">
        <v>295</v>
      </c>
      <c r="L183" s="275">
        <v>1.4</v>
      </c>
      <c r="M183" s="279"/>
      <c r="N183" s="280" t="str">
        <f t="shared" si="27"/>
        <v>INCLUDED</v>
      </c>
      <c r="O183" s="281">
        <f t="shared" si="28"/>
        <v>0</v>
      </c>
      <c r="P183" s="281">
        <f t="shared" si="29"/>
        <v>0</v>
      </c>
      <c r="Q183" s="281">
        <f>Discount!$H$36</f>
        <v>0</v>
      </c>
      <c r="R183" s="282">
        <f t="shared" si="30"/>
        <v>0</v>
      </c>
      <c r="S183" s="282">
        <f t="shared" si="31"/>
        <v>0</v>
      </c>
      <c r="T183" s="283">
        <f t="shared" si="32"/>
        <v>0</v>
      </c>
    </row>
    <row r="184" spans="1:20" ht="18">
      <c r="A184" s="292" t="s">
        <v>66</v>
      </c>
      <c r="B184" s="267" t="s">
        <v>747</v>
      </c>
      <c r="C184" s="268"/>
      <c r="D184" s="269"/>
      <c r="E184" s="268"/>
      <c r="F184" s="268"/>
      <c r="G184" s="270"/>
      <c r="H184" s="268"/>
      <c r="I184" s="271"/>
      <c r="J184" s="269"/>
      <c r="K184" s="268"/>
      <c r="L184" s="268"/>
      <c r="M184" s="272"/>
      <c r="N184" s="268"/>
      <c r="O184" s="281">
        <f t="shared" si="23"/>
        <v>0</v>
      </c>
      <c r="P184" s="281">
        <f t="shared" ref="P184" si="39">IF( I184="",H184*(IF(N184="Included",0,N184))/100,I184*(IF(N184="Included",0,N184)))</f>
        <v>0</v>
      </c>
      <c r="Q184" s="281">
        <f>Discount!$H$36</f>
        <v>0</v>
      </c>
      <c r="R184" s="282">
        <f t="shared" si="25"/>
        <v>0</v>
      </c>
      <c r="S184" s="282">
        <f t="shared" si="26"/>
        <v>0</v>
      </c>
      <c r="T184" s="283">
        <f t="shared" ref="T184:T196" si="40">M184*L184</f>
        <v>0</v>
      </c>
    </row>
    <row r="185" spans="1:20" ht="31.2">
      <c r="A185" s="274">
        <v>1</v>
      </c>
      <c r="B185" s="275">
        <v>7000026628</v>
      </c>
      <c r="C185" s="275">
        <v>10</v>
      </c>
      <c r="D185" s="275" t="s">
        <v>748</v>
      </c>
      <c r="E185" s="275">
        <v>1000032802</v>
      </c>
      <c r="F185" s="275">
        <v>85359030</v>
      </c>
      <c r="G185" s="285"/>
      <c r="H185" s="275">
        <v>18</v>
      </c>
      <c r="I185" s="277"/>
      <c r="J185" s="278" t="s">
        <v>615</v>
      </c>
      <c r="K185" s="275" t="s">
        <v>297</v>
      </c>
      <c r="L185" s="275">
        <v>2</v>
      </c>
      <c r="M185" s="279"/>
      <c r="N185" s="280" t="str">
        <f t="shared" ref="N185:N196" si="41">IF(M185=0, "INCLUDED", IF(ISERROR(M185*L185), M185, M185*L185))</f>
        <v>INCLUDED</v>
      </c>
      <c r="O185" s="281">
        <f t="shared" si="23"/>
        <v>0</v>
      </c>
      <c r="P185" s="281">
        <f>IF( I185="",H185*(IF(N185="Included",0,N185))/100,I185*(IF(N185="Included",0,N185)))</f>
        <v>0</v>
      </c>
      <c r="Q185" s="281">
        <f>Discount!$H$36</f>
        <v>0</v>
      </c>
      <c r="R185" s="282">
        <f t="shared" si="25"/>
        <v>0</v>
      </c>
      <c r="S185" s="282">
        <f t="shared" si="26"/>
        <v>0</v>
      </c>
      <c r="T185" s="283">
        <f t="shared" si="40"/>
        <v>0</v>
      </c>
    </row>
    <row r="186" spans="1:20" ht="31.2">
      <c r="A186" s="274">
        <v>2</v>
      </c>
      <c r="B186" s="275">
        <v>7000026628</v>
      </c>
      <c r="C186" s="275">
        <v>20</v>
      </c>
      <c r="D186" s="275" t="s">
        <v>748</v>
      </c>
      <c r="E186" s="275">
        <v>1000004637</v>
      </c>
      <c r="F186" s="275">
        <v>85359030</v>
      </c>
      <c r="G186" s="285"/>
      <c r="H186" s="275">
        <v>18</v>
      </c>
      <c r="I186" s="277"/>
      <c r="J186" s="278" t="s">
        <v>612</v>
      </c>
      <c r="K186" s="275" t="s">
        <v>297</v>
      </c>
      <c r="L186" s="275">
        <v>1</v>
      </c>
      <c r="M186" s="279"/>
      <c r="N186" s="280" t="str">
        <f t="shared" si="41"/>
        <v>INCLUDED</v>
      </c>
      <c r="O186" s="281">
        <f t="shared" si="23"/>
        <v>0</v>
      </c>
      <c r="P186" s="281">
        <f>IF( I186="",H186*(IF(N186="Included",0,N186))/100,I186*(IF(N186="Included",0,N186)))</f>
        <v>0</v>
      </c>
      <c r="Q186" s="281">
        <f>Discount!$H$36</f>
        <v>0</v>
      </c>
      <c r="R186" s="282">
        <f t="shared" si="25"/>
        <v>0</v>
      </c>
      <c r="S186" s="282">
        <f t="shared" si="26"/>
        <v>0</v>
      </c>
      <c r="T186" s="283">
        <f t="shared" si="40"/>
        <v>0</v>
      </c>
    </row>
    <row r="187" spans="1:20" ht="31.2">
      <c r="A187" s="274">
        <v>3</v>
      </c>
      <c r="B187" s="275">
        <v>7000026628</v>
      </c>
      <c r="C187" s="275">
        <v>30</v>
      </c>
      <c r="D187" s="275" t="s">
        <v>748</v>
      </c>
      <c r="E187" s="275">
        <v>1000032796</v>
      </c>
      <c r="F187" s="275">
        <v>85389000</v>
      </c>
      <c r="G187" s="285"/>
      <c r="H187" s="275">
        <v>18</v>
      </c>
      <c r="I187" s="277"/>
      <c r="J187" s="278" t="s">
        <v>613</v>
      </c>
      <c r="K187" s="275" t="s">
        <v>297</v>
      </c>
      <c r="L187" s="275">
        <v>3</v>
      </c>
      <c r="M187" s="279"/>
      <c r="N187" s="280" t="str">
        <f t="shared" si="41"/>
        <v>INCLUDED</v>
      </c>
      <c r="O187" s="281">
        <f t="shared" si="23"/>
        <v>0</v>
      </c>
      <c r="P187" s="281">
        <f t="shared" ref="P187:P196" si="42">IF( I187="",H187*(IF(N187="Included",0,N187))/100,I187*(IF(N187="Included",0,N187)))</f>
        <v>0</v>
      </c>
      <c r="Q187" s="281">
        <f>Discount!$H$36</f>
        <v>0</v>
      </c>
      <c r="R187" s="282">
        <f t="shared" si="25"/>
        <v>0</v>
      </c>
      <c r="S187" s="282">
        <f t="shared" si="26"/>
        <v>0</v>
      </c>
      <c r="T187" s="283">
        <f t="shared" si="40"/>
        <v>0</v>
      </c>
    </row>
    <row r="188" spans="1:20" ht="62.4">
      <c r="A188" s="274">
        <v>4</v>
      </c>
      <c r="B188" s="275">
        <v>7000026628</v>
      </c>
      <c r="C188" s="275">
        <v>40</v>
      </c>
      <c r="D188" s="275" t="s">
        <v>748</v>
      </c>
      <c r="E188" s="275">
        <v>1000059207</v>
      </c>
      <c r="F188" s="275">
        <v>85359030</v>
      </c>
      <c r="G188" s="285"/>
      <c r="H188" s="275">
        <v>18</v>
      </c>
      <c r="I188" s="277"/>
      <c r="J188" s="278" t="s">
        <v>674</v>
      </c>
      <c r="K188" s="275" t="s">
        <v>469</v>
      </c>
      <c r="L188" s="275">
        <v>275</v>
      </c>
      <c r="M188" s="279"/>
      <c r="N188" s="280" t="str">
        <f t="shared" si="41"/>
        <v>INCLUDED</v>
      </c>
      <c r="O188" s="281">
        <f t="shared" si="23"/>
        <v>0</v>
      </c>
      <c r="P188" s="281">
        <f t="shared" si="42"/>
        <v>0</v>
      </c>
      <c r="Q188" s="281">
        <f>Discount!$H$36</f>
        <v>0</v>
      </c>
      <c r="R188" s="282">
        <f t="shared" si="25"/>
        <v>0</v>
      </c>
      <c r="S188" s="282">
        <f t="shared" si="26"/>
        <v>0</v>
      </c>
      <c r="T188" s="283">
        <f t="shared" si="40"/>
        <v>0</v>
      </c>
    </row>
    <row r="189" spans="1:20" ht="46.8">
      <c r="A189" s="274">
        <v>5</v>
      </c>
      <c r="B189" s="275">
        <v>7000026628</v>
      </c>
      <c r="C189" s="275">
        <v>50</v>
      </c>
      <c r="D189" s="275" t="s">
        <v>749</v>
      </c>
      <c r="E189" s="275">
        <v>1000032784</v>
      </c>
      <c r="F189" s="275">
        <v>85359030</v>
      </c>
      <c r="G189" s="285"/>
      <c r="H189" s="275">
        <v>18</v>
      </c>
      <c r="I189" s="277"/>
      <c r="J189" s="278" t="s">
        <v>720</v>
      </c>
      <c r="K189" s="275" t="s">
        <v>297</v>
      </c>
      <c r="L189" s="275">
        <v>2</v>
      </c>
      <c r="M189" s="279"/>
      <c r="N189" s="280" t="str">
        <f t="shared" si="41"/>
        <v>INCLUDED</v>
      </c>
      <c r="O189" s="281">
        <f t="shared" si="23"/>
        <v>0</v>
      </c>
      <c r="P189" s="281">
        <f t="shared" si="42"/>
        <v>0</v>
      </c>
      <c r="Q189" s="281">
        <f>Discount!$H$36</f>
        <v>0</v>
      </c>
      <c r="R189" s="282">
        <f t="shared" si="25"/>
        <v>0</v>
      </c>
      <c r="S189" s="282">
        <f t="shared" si="26"/>
        <v>0</v>
      </c>
      <c r="T189" s="283">
        <f t="shared" si="40"/>
        <v>0</v>
      </c>
    </row>
    <row r="190" spans="1:20" ht="31.2">
      <c r="A190" s="274">
        <v>6</v>
      </c>
      <c r="B190" s="275">
        <v>7000026628</v>
      </c>
      <c r="C190" s="275">
        <v>60</v>
      </c>
      <c r="D190" s="275" t="s">
        <v>749</v>
      </c>
      <c r="E190" s="275">
        <v>1000001690</v>
      </c>
      <c r="F190" s="275">
        <v>85359030</v>
      </c>
      <c r="G190" s="285"/>
      <c r="H190" s="275">
        <v>18</v>
      </c>
      <c r="I190" s="277"/>
      <c r="J190" s="278" t="s">
        <v>719</v>
      </c>
      <c r="K190" s="275" t="s">
        <v>297</v>
      </c>
      <c r="L190" s="275">
        <v>1</v>
      </c>
      <c r="M190" s="279"/>
      <c r="N190" s="280" t="str">
        <f t="shared" si="41"/>
        <v>INCLUDED</v>
      </c>
      <c r="O190" s="281">
        <f t="shared" si="23"/>
        <v>0</v>
      </c>
      <c r="P190" s="281">
        <f t="shared" si="42"/>
        <v>0</v>
      </c>
      <c r="Q190" s="281">
        <f>Discount!$H$36</f>
        <v>0</v>
      </c>
      <c r="R190" s="282">
        <f t="shared" si="25"/>
        <v>0</v>
      </c>
      <c r="S190" s="282">
        <f t="shared" si="26"/>
        <v>0</v>
      </c>
      <c r="T190" s="283">
        <f t="shared" si="40"/>
        <v>0</v>
      </c>
    </row>
    <row r="191" spans="1:20" ht="62.4">
      <c r="A191" s="274">
        <v>7</v>
      </c>
      <c r="B191" s="275">
        <v>7000026628</v>
      </c>
      <c r="C191" s="275">
        <v>70</v>
      </c>
      <c r="D191" s="275" t="s">
        <v>749</v>
      </c>
      <c r="E191" s="275">
        <v>1000001693</v>
      </c>
      <c r="F191" s="275">
        <v>85389000</v>
      </c>
      <c r="G191" s="285"/>
      <c r="H191" s="275">
        <v>18</v>
      </c>
      <c r="I191" s="277"/>
      <c r="J191" s="278" t="s">
        <v>553</v>
      </c>
      <c r="K191" s="275" t="s">
        <v>469</v>
      </c>
      <c r="L191" s="275">
        <v>60</v>
      </c>
      <c r="M191" s="279"/>
      <c r="N191" s="280" t="str">
        <f t="shared" si="41"/>
        <v>INCLUDED</v>
      </c>
      <c r="O191" s="281">
        <f t="shared" si="23"/>
        <v>0</v>
      </c>
      <c r="P191" s="281">
        <f t="shared" si="42"/>
        <v>0</v>
      </c>
      <c r="Q191" s="281">
        <f>Discount!$H$36</f>
        <v>0</v>
      </c>
      <c r="R191" s="282">
        <f t="shared" si="25"/>
        <v>0</v>
      </c>
      <c r="S191" s="282">
        <f t="shared" si="26"/>
        <v>0</v>
      </c>
      <c r="T191" s="283">
        <f t="shared" si="40"/>
        <v>0</v>
      </c>
    </row>
    <row r="192" spans="1:20" ht="31.2">
      <c r="A192" s="274">
        <v>8</v>
      </c>
      <c r="B192" s="275">
        <v>7000026628</v>
      </c>
      <c r="C192" s="275">
        <v>80</v>
      </c>
      <c r="D192" s="275" t="s">
        <v>749</v>
      </c>
      <c r="E192" s="275">
        <v>1000029503</v>
      </c>
      <c r="F192" s="275">
        <v>85389000</v>
      </c>
      <c r="G192" s="285"/>
      <c r="H192" s="275">
        <v>18</v>
      </c>
      <c r="I192" s="277"/>
      <c r="J192" s="278" t="s">
        <v>552</v>
      </c>
      <c r="K192" s="275" t="s">
        <v>296</v>
      </c>
      <c r="L192" s="275">
        <v>3</v>
      </c>
      <c r="M192" s="279"/>
      <c r="N192" s="280" t="str">
        <f t="shared" si="41"/>
        <v>INCLUDED</v>
      </c>
      <c r="O192" s="281">
        <f t="shared" si="23"/>
        <v>0</v>
      </c>
      <c r="P192" s="281">
        <f t="shared" si="42"/>
        <v>0</v>
      </c>
      <c r="Q192" s="281">
        <f>Discount!$H$36</f>
        <v>0</v>
      </c>
      <c r="R192" s="282">
        <f t="shared" si="25"/>
        <v>0</v>
      </c>
      <c r="S192" s="282">
        <f t="shared" si="26"/>
        <v>0</v>
      </c>
      <c r="T192" s="283">
        <f t="shared" si="40"/>
        <v>0</v>
      </c>
    </row>
    <row r="193" spans="1:20">
      <c r="A193" s="274">
        <v>9</v>
      </c>
      <c r="B193" s="275">
        <v>7000026628</v>
      </c>
      <c r="C193" s="275">
        <v>90</v>
      </c>
      <c r="D193" s="275" t="s">
        <v>750</v>
      </c>
      <c r="E193" s="275">
        <v>1000020419</v>
      </c>
      <c r="F193" s="275">
        <v>85354010</v>
      </c>
      <c r="G193" s="285"/>
      <c r="H193" s="275">
        <v>18</v>
      </c>
      <c r="I193" s="277"/>
      <c r="J193" s="278" t="s">
        <v>501</v>
      </c>
      <c r="K193" s="275" t="s">
        <v>296</v>
      </c>
      <c r="L193" s="275">
        <v>3</v>
      </c>
      <c r="M193" s="279"/>
      <c r="N193" s="280" t="str">
        <f t="shared" si="41"/>
        <v>INCLUDED</v>
      </c>
      <c r="O193" s="281">
        <f t="shared" si="23"/>
        <v>0</v>
      </c>
      <c r="P193" s="281">
        <f t="shared" si="42"/>
        <v>0</v>
      </c>
      <c r="Q193" s="281">
        <f>Discount!$H$36</f>
        <v>0</v>
      </c>
      <c r="R193" s="282">
        <f t="shared" si="25"/>
        <v>0</v>
      </c>
      <c r="S193" s="282">
        <f t="shared" si="26"/>
        <v>0</v>
      </c>
      <c r="T193" s="283">
        <f t="shared" si="40"/>
        <v>0</v>
      </c>
    </row>
    <row r="194" spans="1:20">
      <c r="A194" s="274">
        <v>10</v>
      </c>
      <c r="B194" s="275">
        <v>7000026628</v>
      </c>
      <c r="C194" s="275">
        <v>100</v>
      </c>
      <c r="D194" s="275" t="s">
        <v>750</v>
      </c>
      <c r="E194" s="275">
        <v>1000004401</v>
      </c>
      <c r="F194" s="275">
        <v>85462040</v>
      </c>
      <c r="G194" s="285"/>
      <c r="H194" s="275">
        <v>18</v>
      </c>
      <c r="I194" s="277"/>
      <c r="J194" s="278" t="s">
        <v>471</v>
      </c>
      <c r="K194" s="275" t="s">
        <v>296</v>
      </c>
      <c r="L194" s="275">
        <v>3</v>
      </c>
      <c r="M194" s="279"/>
      <c r="N194" s="280" t="str">
        <f t="shared" si="41"/>
        <v>INCLUDED</v>
      </c>
      <c r="O194" s="281">
        <f t="shared" si="23"/>
        <v>0</v>
      </c>
      <c r="P194" s="281">
        <f t="shared" si="42"/>
        <v>0</v>
      </c>
      <c r="Q194" s="281">
        <f>Discount!$H$36</f>
        <v>0</v>
      </c>
      <c r="R194" s="282">
        <f t="shared" si="25"/>
        <v>0</v>
      </c>
      <c r="S194" s="282">
        <f t="shared" si="26"/>
        <v>0</v>
      </c>
      <c r="T194" s="283">
        <f t="shared" si="40"/>
        <v>0</v>
      </c>
    </row>
    <row r="195" spans="1:20">
      <c r="A195" s="274">
        <v>11</v>
      </c>
      <c r="B195" s="275">
        <v>7000026628</v>
      </c>
      <c r="C195" s="275">
        <v>110</v>
      </c>
      <c r="D195" s="275" t="s">
        <v>751</v>
      </c>
      <c r="E195" s="275">
        <v>1000020417</v>
      </c>
      <c r="F195" s="275">
        <v>85354010</v>
      </c>
      <c r="G195" s="285"/>
      <c r="H195" s="275">
        <v>18</v>
      </c>
      <c r="I195" s="277"/>
      <c r="J195" s="278" t="s">
        <v>554</v>
      </c>
      <c r="K195" s="275" t="s">
        <v>296</v>
      </c>
      <c r="L195" s="275">
        <v>3</v>
      </c>
      <c r="M195" s="279"/>
      <c r="N195" s="280" t="str">
        <f t="shared" si="41"/>
        <v>INCLUDED</v>
      </c>
      <c r="O195" s="281">
        <f t="shared" si="23"/>
        <v>0</v>
      </c>
      <c r="P195" s="281">
        <f t="shared" si="42"/>
        <v>0</v>
      </c>
      <c r="Q195" s="281">
        <f>Discount!$H$36</f>
        <v>0</v>
      </c>
      <c r="R195" s="282">
        <f t="shared" si="25"/>
        <v>0</v>
      </c>
      <c r="S195" s="282">
        <f t="shared" si="26"/>
        <v>0</v>
      </c>
      <c r="T195" s="283">
        <f t="shared" si="40"/>
        <v>0</v>
      </c>
    </row>
    <row r="196" spans="1:20" ht="31.2">
      <c r="A196" s="274">
        <v>12</v>
      </c>
      <c r="B196" s="275">
        <v>7000026628</v>
      </c>
      <c r="C196" s="275">
        <v>120</v>
      </c>
      <c r="D196" s="275" t="s">
        <v>752</v>
      </c>
      <c r="E196" s="275">
        <v>1000055446</v>
      </c>
      <c r="F196" s="275">
        <v>85371000</v>
      </c>
      <c r="G196" s="285"/>
      <c r="H196" s="275">
        <v>18</v>
      </c>
      <c r="I196" s="277"/>
      <c r="J196" s="278" t="s">
        <v>656</v>
      </c>
      <c r="K196" s="275" t="s">
        <v>296</v>
      </c>
      <c r="L196" s="275">
        <v>1</v>
      </c>
      <c r="M196" s="279"/>
      <c r="N196" s="280" t="str">
        <f t="shared" si="41"/>
        <v>INCLUDED</v>
      </c>
      <c r="O196" s="281">
        <f t="shared" si="23"/>
        <v>0</v>
      </c>
      <c r="P196" s="281">
        <f t="shared" si="42"/>
        <v>0</v>
      </c>
      <c r="Q196" s="281">
        <f>Discount!$H$36</f>
        <v>0</v>
      </c>
      <c r="R196" s="282">
        <f t="shared" si="25"/>
        <v>0</v>
      </c>
      <c r="S196" s="282">
        <f t="shared" si="26"/>
        <v>0</v>
      </c>
      <c r="T196" s="283">
        <f t="shared" si="40"/>
        <v>0</v>
      </c>
    </row>
    <row r="197" spans="1:20" ht="31.2">
      <c r="A197" s="274">
        <v>13</v>
      </c>
      <c r="B197" s="275">
        <v>7000026628</v>
      </c>
      <c r="C197" s="275">
        <v>130</v>
      </c>
      <c r="D197" s="275" t="s">
        <v>752</v>
      </c>
      <c r="E197" s="275">
        <v>1000055443</v>
      </c>
      <c r="F197" s="275">
        <v>85371000</v>
      </c>
      <c r="G197" s="285"/>
      <c r="H197" s="275">
        <v>18</v>
      </c>
      <c r="I197" s="277"/>
      <c r="J197" s="278" t="s">
        <v>725</v>
      </c>
      <c r="K197" s="275" t="s">
        <v>296</v>
      </c>
      <c r="L197" s="275">
        <v>1</v>
      </c>
      <c r="M197" s="279"/>
      <c r="N197" s="280" t="str">
        <f t="shared" ref="N197:N326" si="43">IF(M197=0, "INCLUDED", IF(ISERROR(M197*L197), M197, M197*L197))</f>
        <v>INCLUDED</v>
      </c>
      <c r="O197" s="281">
        <f>IF(N197="Included",0,N197)</f>
        <v>0</v>
      </c>
      <c r="P197" s="281">
        <f>IF( I197="",H197*(IF(N197="Included",0,N197))/100,I197*(IF(N197="Included",0,N197)))</f>
        <v>0</v>
      </c>
      <c r="Q197" s="281">
        <f>Discount!$H$36</f>
        <v>0</v>
      </c>
      <c r="R197" s="282">
        <f>Q197*O197</f>
        <v>0</v>
      </c>
      <c r="S197" s="282">
        <f>IF(I197="",H197*R197/100,I197*R197)</f>
        <v>0</v>
      </c>
      <c r="T197" s="283">
        <f t="shared" ref="T197:T326" si="44">M197*L197</f>
        <v>0</v>
      </c>
    </row>
    <row r="198" spans="1:20" ht="31.2">
      <c r="A198" s="274">
        <v>14</v>
      </c>
      <c r="B198" s="275">
        <v>7000026628</v>
      </c>
      <c r="C198" s="275">
        <v>140</v>
      </c>
      <c r="D198" s="275" t="s">
        <v>752</v>
      </c>
      <c r="E198" s="275">
        <v>1000004274</v>
      </c>
      <c r="F198" s="275">
        <v>85371000</v>
      </c>
      <c r="G198" s="285"/>
      <c r="H198" s="275">
        <v>18</v>
      </c>
      <c r="I198" s="277"/>
      <c r="J198" s="278" t="s">
        <v>724</v>
      </c>
      <c r="K198" s="275" t="s">
        <v>296</v>
      </c>
      <c r="L198" s="275">
        <v>1</v>
      </c>
      <c r="M198" s="279"/>
      <c r="N198" s="280" t="str">
        <f t="shared" si="43"/>
        <v>INCLUDED</v>
      </c>
      <c r="O198" s="281">
        <f t="shared" ref="O198:O326" si="45">IF(N198="Included",0,N198)</f>
        <v>0</v>
      </c>
      <c r="P198" s="281">
        <f t="shared" ref="P198:P201" si="46">IF( I198="",H198*(IF(N198="Included",0,N198))/100,I198*(IF(N198="Included",0,N198)))</f>
        <v>0</v>
      </c>
      <c r="Q198" s="281">
        <f>Discount!$H$36</f>
        <v>0</v>
      </c>
      <c r="R198" s="282">
        <f t="shared" ref="R198:R326" si="47">Q198*O198</f>
        <v>0</v>
      </c>
      <c r="S198" s="282">
        <f t="shared" ref="S198:S326" si="48">IF(I198="",H198*R198/100,I198*R198)</f>
        <v>0</v>
      </c>
      <c r="T198" s="283">
        <f t="shared" si="44"/>
        <v>0</v>
      </c>
    </row>
    <row r="199" spans="1:20" ht="31.2">
      <c r="A199" s="274">
        <v>15</v>
      </c>
      <c r="B199" s="275">
        <v>7000026628</v>
      </c>
      <c r="C199" s="275">
        <v>150</v>
      </c>
      <c r="D199" s="275" t="s">
        <v>753</v>
      </c>
      <c r="E199" s="275">
        <v>1000003409</v>
      </c>
      <c r="F199" s="275">
        <v>85371000</v>
      </c>
      <c r="G199" s="285"/>
      <c r="H199" s="275">
        <v>18</v>
      </c>
      <c r="I199" s="277"/>
      <c r="J199" s="278" t="s">
        <v>617</v>
      </c>
      <c r="K199" s="275" t="s">
        <v>296</v>
      </c>
      <c r="L199" s="275">
        <v>1</v>
      </c>
      <c r="M199" s="279"/>
      <c r="N199" s="280" t="str">
        <f t="shared" si="43"/>
        <v>INCLUDED</v>
      </c>
      <c r="O199" s="281">
        <f t="shared" si="45"/>
        <v>0</v>
      </c>
      <c r="P199" s="281">
        <f t="shared" si="46"/>
        <v>0</v>
      </c>
      <c r="Q199" s="281">
        <f>Discount!$H$36</f>
        <v>0</v>
      </c>
      <c r="R199" s="282">
        <f t="shared" si="47"/>
        <v>0</v>
      </c>
      <c r="S199" s="282">
        <f t="shared" si="48"/>
        <v>0</v>
      </c>
      <c r="T199" s="283">
        <f t="shared" si="44"/>
        <v>0</v>
      </c>
    </row>
    <row r="200" spans="1:20" ht="31.2">
      <c r="A200" s="274">
        <v>16</v>
      </c>
      <c r="B200" s="275">
        <v>7000026628</v>
      </c>
      <c r="C200" s="275">
        <v>160</v>
      </c>
      <c r="D200" s="275" t="s">
        <v>753</v>
      </c>
      <c r="E200" s="275">
        <v>1000001333</v>
      </c>
      <c r="F200" s="275">
        <v>85371000</v>
      </c>
      <c r="G200" s="285"/>
      <c r="H200" s="275">
        <v>18</v>
      </c>
      <c r="I200" s="277"/>
      <c r="J200" s="278" t="s">
        <v>557</v>
      </c>
      <c r="K200" s="275" t="s">
        <v>296</v>
      </c>
      <c r="L200" s="275">
        <v>1</v>
      </c>
      <c r="M200" s="279"/>
      <c r="N200" s="280" t="str">
        <f t="shared" si="43"/>
        <v>INCLUDED</v>
      </c>
      <c r="O200" s="281">
        <f t="shared" si="45"/>
        <v>0</v>
      </c>
      <c r="P200" s="281">
        <f t="shared" si="46"/>
        <v>0</v>
      </c>
      <c r="Q200" s="281">
        <f>Discount!$H$36</f>
        <v>0</v>
      </c>
      <c r="R200" s="282">
        <f t="shared" si="47"/>
        <v>0</v>
      </c>
      <c r="S200" s="282">
        <f t="shared" si="48"/>
        <v>0</v>
      </c>
      <c r="T200" s="283">
        <f t="shared" si="44"/>
        <v>0</v>
      </c>
    </row>
    <row r="201" spans="1:20" ht="46.8">
      <c r="A201" s="274">
        <v>17</v>
      </c>
      <c r="B201" s="275">
        <v>7000026628</v>
      </c>
      <c r="C201" s="275">
        <v>170</v>
      </c>
      <c r="D201" s="275" t="s">
        <v>525</v>
      </c>
      <c r="E201" s="275">
        <v>1000011330</v>
      </c>
      <c r="F201" s="275">
        <v>72169990</v>
      </c>
      <c r="G201" s="285"/>
      <c r="H201" s="275">
        <v>18</v>
      </c>
      <c r="I201" s="277"/>
      <c r="J201" s="278" t="s">
        <v>764</v>
      </c>
      <c r="K201" s="275" t="s">
        <v>297</v>
      </c>
      <c r="L201" s="275">
        <v>1</v>
      </c>
      <c r="M201" s="279"/>
      <c r="N201" s="280" t="str">
        <f t="shared" si="43"/>
        <v>INCLUDED</v>
      </c>
      <c r="O201" s="281">
        <f t="shared" si="45"/>
        <v>0</v>
      </c>
      <c r="P201" s="281">
        <f t="shared" si="46"/>
        <v>0</v>
      </c>
      <c r="Q201" s="281">
        <f>Discount!$H$36</f>
        <v>0</v>
      </c>
      <c r="R201" s="282">
        <f t="shared" si="47"/>
        <v>0</v>
      </c>
      <c r="S201" s="282">
        <f t="shared" si="48"/>
        <v>0</v>
      </c>
      <c r="T201" s="283">
        <f t="shared" si="44"/>
        <v>0</v>
      </c>
    </row>
    <row r="202" spans="1:20" ht="46.8">
      <c r="A202" s="274">
        <v>18</v>
      </c>
      <c r="B202" s="275">
        <v>7000026628</v>
      </c>
      <c r="C202" s="275">
        <v>180</v>
      </c>
      <c r="D202" s="275" t="s">
        <v>525</v>
      </c>
      <c r="E202" s="275">
        <v>1000011252</v>
      </c>
      <c r="F202" s="275">
        <v>72169990</v>
      </c>
      <c r="G202" s="285"/>
      <c r="H202" s="275">
        <v>18</v>
      </c>
      <c r="I202" s="277"/>
      <c r="J202" s="278" t="s">
        <v>726</v>
      </c>
      <c r="K202" s="275" t="s">
        <v>297</v>
      </c>
      <c r="L202" s="275">
        <v>1</v>
      </c>
      <c r="M202" s="279"/>
      <c r="N202" s="280" t="str">
        <f t="shared" ref="N202:N300" si="49">IF(M202=0, "INCLUDED", IF(ISERROR(M202*L202), M202, M202*L202))</f>
        <v>INCLUDED</v>
      </c>
      <c r="O202" s="281">
        <f t="shared" ref="O202:O300" si="50">IF(N202="Included",0,N202)</f>
        <v>0</v>
      </c>
      <c r="P202" s="281">
        <f t="shared" ref="P202:P229" si="51">IF( I202="",H202*(IF(N202="Included",0,N202))/100,I202*(IF(N202="Included",0,N202)))</f>
        <v>0</v>
      </c>
      <c r="Q202" s="281">
        <f>Discount!$H$36</f>
        <v>0</v>
      </c>
      <c r="R202" s="282">
        <f t="shared" ref="R202:R300" si="52">Q202*O202</f>
        <v>0</v>
      </c>
      <c r="S202" s="282">
        <f t="shared" ref="S202:S300" si="53">IF(I202="",H202*R202/100,I202*R202)</f>
        <v>0</v>
      </c>
      <c r="T202" s="283">
        <f t="shared" ref="T202:T300" si="54">M202*L202</f>
        <v>0</v>
      </c>
    </row>
    <row r="203" spans="1:20">
      <c r="A203" s="274">
        <v>19</v>
      </c>
      <c r="B203" s="275">
        <v>7000026628</v>
      </c>
      <c r="C203" s="275">
        <v>190</v>
      </c>
      <c r="D203" s="275" t="s">
        <v>754</v>
      </c>
      <c r="E203" s="275">
        <v>1000022407</v>
      </c>
      <c r="F203" s="275">
        <v>84159000</v>
      </c>
      <c r="G203" s="285"/>
      <c r="H203" s="275">
        <v>28</v>
      </c>
      <c r="I203" s="277"/>
      <c r="J203" s="278" t="s">
        <v>765</v>
      </c>
      <c r="K203" s="275" t="s">
        <v>297</v>
      </c>
      <c r="L203" s="275">
        <v>1</v>
      </c>
      <c r="M203" s="279"/>
      <c r="N203" s="280" t="str">
        <f t="shared" si="49"/>
        <v>INCLUDED</v>
      </c>
      <c r="O203" s="281">
        <f t="shared" si="50"/>
        <v>0</v>
      </c>
      <c r="P203" s="281">
        <f t="shared" si="51"/>
        <v>0</v>
      </c>
      <c r="Q203" s="281">
        <f>Discount!$H$36</f>
        <v>0</v>
      </c>
      <c r="R203" s="282">
        <f t="shared" si="52"/>
        <v>0</v>
      </c>
      <c r="S203" s="282">
        <f t="shared" si="53"/>
        <v>0</v>
      </c>
      <c r="T203" s="283">
        <f t="shared" si="54"/>
        <v>0</v>
      </c>
    </row>
    <row r="204" spans="1:20" ht="31.2">
      <c r="A204" s="274">
        <v>20</v>
      </c>
      <c r="B204" s="275">
        <v>7000026628</v>
      </c>
      <c r="C204" s="275">
        <v>200</v>
      </c>
      <c r="D204" s="275" t="s">
        <v>755</v>
      </c>
      <c r="E204" s="275">
        <v>1000056265</v>
      </c>
      <c r="F204" s="275">
        <v>85446020</v>
      </c>
      <c r="G204" s="285"/>
      <c r="H204" s="275">
        <v>18</v>
      </c>
      <c r="I204" s="277"/>
      <c r="J204" s="278" t="s">
        <v>512</v>
      </c>
      <c r="K204" s="275" t="s">
        <v>298</v>
      </c>
      <c r="L204" s="275">
        <v>1</v>
      </c>
      <c r="M204" s="279"/>
      <c r="N204" s="280" t="str">
        <f t="shared" si="49"/>
        <v>INCLUDED</v>
      </c>
      <c r="O204" s="281">
        <f t="shared" si="50"/>
        <v>0</v>
      </c>
      <c r="P204" s="281">
        <f t="shared" si="51"/>
        <v>0</v>
      </c>
      <c r="Q204" s="281">
        <f>Discount!$H$36</f>
        <v>0</v>
      </c>
      <c r="R204" s="282">
        <f t="shared" si="52"/>
        <v>0</v>
      </c>
      <c r="S204" s="282">
        <f t="shared" si="53"/>
        <v>0</v>
      </c>
      <c r="T204" s="283">
        <f t="shared" si="54"/>
        <v>0</v>
      </c>
    </row>
    <row r="205" spans="1:20" ht="31.2">
      <c r="A205" s="274">
        <v>21</v>
      </c>
      <c r="B205" s="275">
        <v>7000026628</v>
      </c>
      <c r="C205" s="275">
        <v>210</v>
      </c>
      <c r="D205" s="275" t="s">
        <v>755</v>
      </c>
      <c r="E205" s="275">
        <v>1000056264</v>
      </c>
      <c r="F205" s="275">
        <v>85446020</v>
      </c>
      <c r="G205" s="285"/>
      <c r="H205" s="275">
        <v>18</v>
      </c>
      <c r="I205" s="277"/>
      <c r="J205" s="278" t="s">
        <v>511</v>
      </c>
      <c r="K205" s="275" t="s">
        <v>298</v>
      </c>
      <c r="L205" s="275">
        <v>2</v>
      </c>
      <c r="M205" s="279"/>
      <c r="N205" s="280" t="str">
        <f t="shared" si="49"/>
        <v>INCLUDED</v>
      </c>
      <c r="O205" s="281">
        <f t="shared" si="50"/>
        <v>0</v>
      </c>
      <c r="P205" s="281">
        <f t="shared" si="51"/>
        <v>0</v>
      </c>
      <c r="Q205" s="281">
        <f>Discount!$H$36</f>
        <v>0</v>
      </c>
      <c r="R205" s="282">
        <f t="shared" si="52"/>
        <v>0</v>
      </c>
      <c r="S205" s="282">
        <f t="shared" si="53"/>
        <v>0</v>
      </c>
      <c r="T205" s="283">
        <f t="shared" si="54"/>
        <v>0</v>
      </c>
    </row>
    <row r="206" spans="1:20" ht="31.2">
      <c r="A206" s="274">
        <v>22</v>
      </c>
      <c r="B206" s="275">
        <v>7000026628</v>
      </c>
      <c r="C206" s="275">
        <v>220</v>
      </c>
      <c r="D206" s="275" t="s">
        <v>755</v>
      </c>
      <c r="E206" s="275">
        <v>1000031887</v>
      </c>
      <c r="F206" s="275">
        <v>85446020</v>
      </c>
      <c r="G206" s="285"/>
      <c r="H206" s="275">
        <v>18</v>
      </c>
      <c r="I206" s="277"/>
      <c r="J206" s="278" t="s">
        <v>507</v>
      </c>
      <c r="K206" s="275" t="s">
        <v>298</v>
      </c>
      <c r="L206" s="275">
        <v>3</v>
      </c>
      <c r="M206" s="279"/>
      <c r="N206" s="280" t="str">
        <f t="shared" si="49"/>
        <v>INCLUDED</v>
      </c>
      <c r="O206" s="281">
        <f t="shared" si="50"/>
        <v>0</v>
      </c>
      <c r="P206" s="281">
        <f t="shared" si="51"/>
        <v>0</v>
      </c>
      <c r="Q206" s="281">
        <f>Discount!$H$36</f>
        <v>0</v>
      </c>
      <c r="R206" s="282">
        <f t="shared" si="52"/>
        <v>0</v>
      </c>
      <c r="S206" s="282">
        <f t="shared" si="53"/>
        <v>0</v>
      </c>
      <c r="T206" s="283">
        <f t="shared" si="54"/>
        <v>0</v>
      </c>
    </row>
    <row r="207" spans="1:20" ht="31.2">
      <c r="A207" s="274">
        <v>23</v>
      </c>
      <c r="B207" s="275">
        <v>7000026628</v>
      </c>
      <c r="C207" s="275">
        <v>230</v>
      </c>
      <c r="D207" s="275" t="s">
        <v>755</v>
      </c>
      <c r="E207" s="275">
        <v>1000031987</v>
      </c>
      <c r="F207" s="275">
        <v>85446020</v>
      </c>
      <c r="G207" s="285"/>
      <c r="H207" s="275">
        <v>18</v>
      </c>
      <c r="I207" s="277"/>
      <c r="J207" s="278" t="s">
        <v>506</v>
      </c>
      <c r="K207" s="275" t="s">
        <v>298</v>
      </c>
      <c r="L207" s="275">
        <v>3</v>
      </c>
      <c r="M207" s="279"/>
      <c r="N207" s="280" t="str">
        <f t="shared" si="49"/>
        <v>INCLUDED</v>
      </c>
      <c r="O207" s="281">
        <f t="shared" si="50"/>
        <v>0</v>
      </c>
      <c r="P207" s="281">
        <f t="shared" si="51"/>
        <v>0</v>
      </c>
      <c r="Q207" s="281">
        <f>Discount!$H$36</f>
        <v>0</v>
      </c>
      <c r="R207" s="282">
        <f t="shared" si="52"/>
        <v>0</v>
      </c>
      <c r="S207" s="282">
        <f t="shared" si="53"/>
        <v>0</v>
      </c>
      <c r="T207" s="283">
        <f t="shared" si="54"/>
        <v>0</v>
      </c>
    </row>
    <row r="208" spans="1:20" ht="31.2">
      <c r="A208" s="274">
        <v>24</v>
      </c>
      <c r="B208" s="275">
        <v>7000026628</v>
      </c>
      <c r="C208" s="275">
        <v>240</v>
      </c>
      <c r="D208" s="275" t="s">
        <v>755</v>
      </c>
      <c r="E208" s="275">
        <v>1000031964</v>
      </c>
      <c r="F208" s="275">
        <v>85446020</v>
      </c>
      <c r="G208" s="285"/>
      <c r="H208" s="275">
        <v>18</v>
      </c>
      <c r="I208" s="277"/>
      <c r="J208" s="278" t="s">
        <v>536</v>
      </c>
      <c r="K208" s="275" t="s">
        <v>298</v>
      </c>
      <c r="L208" s="275">
        <v>1</v>
      </c>
      <c r="M208" s="279"/>
      <c r="N208" s="280" t="str">
        <f t="shared" si="49"/>
        <v>INCLUDED</v>
      </c>
      <c r="O208" s="281">
        <f t="shared" si="50"/>
        <v>0</v>
      </c>
      <c r="P208" s="281">
        <f t="shared" si="51"/>
        <v>0</v>
      </c>
      <c r="Q208" s="281">
        <f>Discount!$H$36</f>
        <v>0</v>
      </c>
      <c r="R208" s="282">
        <f t="shared" si="52"/>
        <v>0</v>
      </c>
      <c r="S208" s="282">
        <f t="shared" si="53"/>
        <v>0</v>
      </c>
      <c r="T208" s="283">
        <f t="shared" si="54"/>
        <v>0</v>
      </c>
    </row>
    <row r="209" spans="1:20" ht="31.2">
      <c r="A209" s="274">
        <v>25</v>
      </c>
      <c r="B209" s="275">
        <v>7000026628</v>
      </c>
      <c r="C209" s="275">
        <v>250</v>
      </c>
      <c r="D209" s="275" t="s">
        <v>755</v>
      </c>
      <c r="E209" s="275">
        <v>1000031985</v>
      </c>
      <c r="F209" s="275">
        <v>85446020</v>
      </c>
      <c r="G209" s="285"/>
      <c r="H209" s="275">
        <v>18</v>
      </c>
      <c r="I209" s="277"/>
      <c r="J209" s="278" t="s">
        <v>509</v>
      </c>
      <c r="K209" s="275" t="s">
        <v>298</v>
      </c>
      <c r="L209" s="275">
        <v>2</v>
      </c>
      <c r="M209" s="279"/>
      <c r="N209" s="280" t="str">
        <f t="shared" si="49"/>
        <v>INCLUDED</v>
      </c>
      <c r="O209" s="281">
        <f t="shared" si="50"/>
        <v>0</v>
      </c>
      <c r="P209" s="281">
        <f t="shared" si="51"/>
        <v>0</v>
      </c>
      <c r="Q209" s="281">
        <f>Discount!$H$36</f>
        <v>0</v>
      </c>
      <c r="R209" s="282">
        <f t="shared" si="52"/>
        <v>0</v>
      </c>
      <c r="S209" s="282">
        <f t="shared" si="53"/>
        <v>0</v>
      </c>
      <c r="T209" s="283">
        <f t="shared" si="54"/>
        <v>0</v>
      </c>
    </row>
    <row r="210" spans="1:20" ht="31.2">
      <c r="A210" s="274">
        <v>26</v>
      </c>
      <c r="B210" s="275">
        <v>7000026628</v>
      </c>
      <c r="C210" s="275">
        <v>260</v>
      </c>
      <c r="D210" s="275" t="s">
        <v>755</v>
      </c>
      <c r="E210" s="275">
        <v>1000031976</v>
      </c>
      <c r="F210" s="275">
        <v>85446020</v>
      </c>
      <c r="G210" s="285"/>
      <c r="H210" s="275">
        <v>18</v>
      </c>
      <c r="I210" s="277"/>
      <c r="J210" s="278" t="s">
        <v>505</v>
      </c>
      <c r="K210" s="275" t="s">
        <v>298</v>
      </c>
      <c r="L210" s="275">
        <v>4</v>
      </c>
      <c r="M210" s="279"/>
      <c r="N210" s="280" t="str">
        <f t="shared" si="49"/>
        <v>INCLUDED</v>
      </c>
      <c r="O210" s="281">
        <f t="shared" si="50"/>
        <v>0</v>
      </c>
      <c r="P210" s="281">
        <f t="shared" si="51"/>
        <v>0</v>
      </c>
      <c r="Q210" s="281">
        <f>Discount!$H$36</f>
        <v>0</v>
      </c>
      <c r="R210" s="282">
        <f t="shared" si="52"/>
        <v>0</v>
      </c>
      <c r="S210" s="282">
        <f t="shared" si="53"/>
        <v>0</v>
      </c>
      <c r="T210" s="283">
        <f t="shared" si="54"/>
        <v>0</v>
      </c>
    </row>
    <row r="211" spans="1:20" ht="31.2">
      <c r="A211" s="274">
        <v>27</v>
      </c>
      <c r="B211" s="275">
        <v>7000026628</v>
      </c>
      <c r="C211" s="275">
        <v>270</v>
      </c>
      <c r="D211" s="275" t="s">
        <v>755</v>
      </c>
      <c r="E211" s="275">
        <v>1000031953</v>
      </c>
      <c r="F211" s="275">
        <v>85446020</v>
      </c>
      <c r="G211" s="285"/>
      <c r="H211" s="275">
        <v>18</v>
      </c>
      <c r="I211" s="277"/>
      <c r="J211" s="278" t="s">
        <v>504</v>
      </c>
      <c r="K211" s="275" t="s">
        <v>298</v>
      </c>
      <c r="L211" s="275">
        <v>1</v>
      </c>
      <c r="M211" s="279"/>
      <c r="N211" s="280" t="str">
        <f t="shared" si="49"/>
        <v>INCLUDED</v>
      </c>
      <c r="O211" s="281">
        <f t="shared" si="50"/>
        <v>0</v>
      </c>
      <c r="P211" s="281">
        <f t="shared" si="51"/>
        <v>0</v>
      </c>
      <c r="Q211" s="281">
        <f>Discount!$H$36</f>
        <v>0</v>
      </c>
      <c r="R211" s="282">
        <f t="shared" si="52"/>
        <v>0</v>
      </c>
      <c r="S211" s="282">
        <f t="shared" si="53"/>
        <v>0</v>
      </c>
      <c r="T211" s="283">
        <f t="shared" si="54"/>
        <v>0</v>
      </c>
    </row>
    <row r="212" spans="1:20" ht="31.2">
      <c r="A212" s="274">
        <v>28</v>
      </c>
      <c r="B212" s="275">
        <v>7000026628</v>
      </c>
      <c r="C212" s="275">
        <v>280</v>
      </c>
      <c r="D212" s="275" t="s">
        <v>755</v>
      </c>
      <c r="E212" s="275">
        <v>1000031957</v>
      </c>
      <c r="F212" s="275">
        <v>85446020</v>
      </c>
      <c r="G212" s="285"/>
      <c r="H212" s="275">
        <v>18</v>
      </c>
      <c r="I212" s="277"/>
      <c r="J212" s="278" t="s">
        <v>528</v>
      </c>
      <c r="K212" s="275" t="s">
        <v>298</v>
      </c>
      <c r="L212" s="275">
        <v>1</v>
      </c>
      <c r="M212" s="279"/>
      <c r="N212" s="280" t="str">
        <f t="shared" si="49"/>
        <v>INCLUDED</v>
      </c>
      <c r="O212" s="281">
        <f t="shared" si="50"/>
        <v>0</v>
      </c>
      <c r="P212" s="281">
        <f t="shared" si="51"/>
        <v>0</v>
      </c>
      <c r="Q212" s="281">
        <f>Discount!$H$36</f>
        <v>0</v>
      </c>
      <c r="R212" s="282">
        <f t="shared" si="52"/>
        <v>0</v>
      </c>
      <c r="S212" s="282">
        <f t="shared" si="53"/>
        <v>0</v>
      </c>
      <c r="T212" s="283">
        <f t="shared" si="54"/>
        <v>0</v>
      </c>
    </row>
    <row r="213" spans="1:20" ht="31.2">
      <c r="A213" s="274">
        <v>29</v>
      </c>
      <c r="B213" s="275">
        <v>7000026628</v>
      </c>
      <c r="C213" s="275">
        <v>290</v>
      </c>
      <c r="D213" s="275" t="s">
        <v>755</v>
      </c>
      <c r="E213" s="275">
        <v>1000032050</v>
      </c>
      <c r="F213" s="275">
        <v>85446020</v>
      </c>
      <c r="G213" s="285"/>
      <c r="H213" s="275">
        <v>18</v>
      </c>
      <c r="I213" s="277"/>
      <c r="J213" s="278" t="s">
        <v>537</v>
      </c>
      <c r="K213" s="275" t="s">
        <v>298</v>
      </c>
      <c r="L213" s="275">
        <v>2</v>
      </c>
      <c r="M213" s="279"/>
      <c r="N213" s="280" t="str">
        <f t="shared" si="49"/>
        <v>INCLUDED</v>
      </c>
      <c r="O213" s="281">
        <f t="shared" si="50"/>
        <v>0</v>
      </c>
      <c r="P213" s="281">
        <f t="shared" si="51"/>
        <v>0</v>
      </c>
      <c r="Q213" s="281">
        <f>Discount!$H$36</f>
        <v>0</v>
      </c>
      <c r="R213" s="282">
        <f t="shared" si="52"/>
        <v>0</v>
      </c>
      <c r="S213" s="282">
        <f t="shared" si="53"/>
        <v>0</v>
      </c>
      <c r="T213" s="283">
        <f t="shared" si="54"/>
        <v>0</v>
      </c>
    </row>
    <row r="214" spans="1:20" ht="31.2">
      <c r="A214" s="274">
        <v>30</v>
      </c>
      <c r="B214" s="275">
        <v>7000026628</v>
      </c>
      <c r="C214" s="275">
        <v>300</v>
      </c>
      <c r="D214" s="275" t="s">
        <v>755</v>
      </c>
      <c r="E214" s="275">
        <v>1000031943</v>
      </c>
      <c r="F214" s="275">
        <v>85446020</v>
      </c>
      <c r="G214" s="285"/>
      <c r="H214" s="275">
        <v>18</v>
      </c>
      <c r="I214" s="277"/>
      <c r="J214" s="278" t="s">
        <v>510</v>
      </c>
      <c r="K214" s="275" t="s">
        <v>298</v>
      </c>
      <c r="L214" s="275">
        <v>2</v>
      </c>
      <c r="M214" s="279"/>
      <c r="N214" s="280" t="str">
        <f t="shared" si="49"/>
        <v>INCLUDED</v>
      </c>
      <c r="O214" s="281">
        <f t="shared" si="50"/>
        <v>0</v>
      </c>
      <c r="P214" s="281">
        <f t="shared" si="51"/>
        <v>0</v>
      </c>
      <c r="Q214" s="281">
        <f>Discount!$H$36</f>
        <v>0</v>
      </c>
      <c r="R214" s="282">
        <f t="shared" si="52"/>
        <v>0</v>
      </c>
      <c r="S214" s="282">
        <f t="shared" si="53"/>
        <v>0</v>
      </c>
      <c r="T214" s="283">
        <f t="shared" si="54"/>
        <v>0</v>
      </c>
    </row>
    <row r="215" spans="1:20" ht="31.2">
      <c r="A215" s="274">
        <v>31</v>
      </c>
      <c r="B215" s="275">
        <v>7000026628</v>
      </c>
      <c r="C215" s="275">
        <v>310</v>
      </c>
      <c r="D215" s="275" t="s">
        <v>755</v>
      </c>
      <c r="E215" s="275">
        <v>1000031951</v>
      </c>
      <c r="F215" s="275">
        <v>85446090</v>
      </c>
      <c r="G215" s="285"/>
      <c r="H215" s="275">
        <v>18</v>
      </c>
      <c r="I215" s="277"/>
      <c r="J215" s="278" t="s">
        <v>498</v>
      </c>
      <c r="K215" s="275" t="s">
        <v>298</v>
      </c>
      <c r="L215" s="275">
        <v>0.5</v>
      </c>
      <c r="M215" s="279"/>
      <c r="N215" s="280" t="str">
        <f t="shared" si="49"/>
        <v>INCLUDED</v>
      </c>
      <c r="O215" s="281">
        <f t="shared" si="50"/>
        <v>0</v>
      </c>
      <c r="P215" s="281">
        <f t="shared" si="51"/>
        <v>0</v>
      </c>
      <c r="Q215" s="281">
        <f>Discount!$H$36</f>
        <v>0</v>
      </c>
      <c r="R215" s="282">
        <f t="shared" si="52"/>
        <v>0</v>
      </c>
      <c r="S215" s="282">
        <f t="shared" si="53"/>
        <v>0</v>
      </c>
      <c r="T215" s="283">
        <f t="shared" si="54"/>
        <v>0</v>
      </c>
    </row>
    <row r="216" spans="1:20" ht="46.8">
      <c r="A216" s="274">
        <v>32</v>
      </c>
      <c r="B216" s="275">
        <v>7000026628</v>
      </c>
      <c r="C216" s="275">
        <v>320</v>
      </c>
      <c r="D216" s="275" t="s">
        <v>756</v>
      </c>
      <c r="E216" s="275">
        <v>1000049467</v>
      </c>
      <c r="F216" s="275">
        <v>94059900</v>
      </c>
      <c r="G216" s="285"/>
      <c r="H216" s="275">
        <v>18</v>
      </c>
      <c r="I216" s="277"/>
      <c r="J216" s="278" t="s">
        <v>526</v>
      </c>
      <c r="K216" s="275" t="s">
        <v>297</v>
      </c>
      <c r="L216" s="275">
        <v>1</v>
      </c>
      <c r="M216" s="279"/>
      <c r="N216" s="280" t="str">
        <f t="shared" si="49"/>
        <v>INCLUDED</v>
      </c>
      <c r="O216" s="281">
        <f t="shared" si="50"/>
        <v>0</v>
      </c>
      <c r="P216" s="281">
        <f t="shared" si="51"/>
        <v>0</v>
      </c>
      <c r="Q216" s="281">
        <f>Discount!$H$36</f>
        <v>0</v>
      </c>
      <c r="R216" s="282">
        <f t="shared" si="52"/>
        <v>0</v>
      </c>
      <c r="S216" s="282">
        <f t="shared" si="53"/>
        <v>0</v>
      </c>
      <c r="T216" s="283">
        <f t="shared" si="54"/>
        <v>0</v>
      </c>
    </row>
    <row r="217" spans="1:20">
      <c r="A217" s="274">
        <v>33</v>
      </c>
      <c r="B217" s="275">
        <v>7000026628</v>
      </c>
      <c r="C217" s="275">
        <v>330</v>
      </c>
      <c r="D217" s="275" t="s">
        <v>757</v>
      </c>
      <c r="E217" s="275">
        <v>1000014547</v>
      </c>
      <c r="F217" s="275">
        <v>85371000</v>
      </c>
      <c r="G217" s="285"/>
      <c r="H217" s="275">
        <v>18</v>
      </c>
      <c r="I217" s="277"/>
      <c r="J217" s="278" t="s">
        <v>497</v>
      </c>
      <c r="K217" s="275" t="s">
        <v>296</v>
      </c>
      <c r="L217" s="275">
        <v>2</v>
      </c>
      <c r="M217" s="279"/>
      <c r="N217" s="280" t="str">
        <f t="shared" si="49"/>
        <v>INCLUDED</v>
      </c>
      <c r="O217" s="281">
        <f t="shared" si="50"/>
        <v>0</v>
      </c>
      <c r="P217" s="281">
        <f t="shared" si="51"/>
        <v>0</v>
      </c>
      <c r="Q217" s="281">
        <f>Discount!$H$36</f>
        <v>0</v>
      </c>
      <c r="R217" s="282">
        <f t="shared" si="52"/>
        <v>0</v>
      </c>
      <c r="S217" s="282">
        <f t="shared" si="53"/>
        <v>0</v>
      </c>
      <c r="T217" s="283">
        <f t="shared" si="54"/>
        <v>0</v>
      </c>
    </row>
    <row r="218" spans="1:20" ht="31.2">
      <c r="A218" s="274">
        <v>34</v>
      </c>
      <c r="B218" s="275">
        <v>7000026628</v>
      </c>
      <c r="C218" s="275">
        <v>340</v>
      </c>
      <c r="D218" s="275" t="s">
        <v>757</v>
      </c>
      <c r="E218" s="275">
        <v>1000038325</v>
      </c>
      <c r="F218" s="275">
        <v>94059900</v>
      </c>
      <c r="G218" s="285"/>
      <c r="H218" s="275">
        <v>18</v>
      </c>
      <c r="I218" s="277"/>
      <c r="J218" s="278" t="s">
        <v>503</v>
      </c>
      <c r="K218" s="275" t="s">
        <v>296</v>
      </c>
      <c r="L218" s="275">
        <v>8</v>
      </c>
      <c r="M218" s="279"/>
      <c r="N218" s="280" t="str">
        <f t="shared" si="49"/>
        <v>INCLUDED</v>
      </c>
      <c r="O218" s="281">
        <f t="shared" si="50"/>
        <v>0</v>
      </c>
      <c r="P218" s="281">
        <f t="shared" si="51"/>
        <v>0</v>
      </c>
      <c r="Q218" s="281">
        <f>Discount!$H$36</f>
        <v>0</v>
      </c>
      <c r="R218" s="282">
        <f t="shared" si="52"/>
        <v>0</v>
      </c>
      <c r="S218" s="282">
        <f t="shared" si="53"/>
        <v>0</v>
      </c>
      <c r="T218" s="283">
        <f t="shared" si="54"/>
        <v>0</v>
      </c>
    </row>
    <row r="219" spans="1:20" ht="31.2">
      <c r="A219" s="274">
        <v>35</v>
      </c>
      <c r="B219" s="275">
        <v>7000026628</v>
      </c>
      <c r="C219" s="275">
        <v>350</v>
      </c>
      <c r="D219" s="275" t="s">
        <v>757</v>
      </c>
      <c r="E219" s="275">
        <v>1000038039</v>
      </c>
      <c r="F219" s="275">
        <v>94051090</v>
      </c>
      <c r="G219" s="285"/>
      <c r="H219" s="275">
        <v>18</v>
      </c>
      <c r="I219" s="277"/>
      <c r="J219" s="278" t="s">
        <v>727</v>
      </c>
      <c r="K219" s="275" t="s">
        <v>296</v>
      </c>
      <c r="L219" s="275">
        <v>6</v>
      </c>
      <c r="M219" s="279"/>
      <c r="N219" s="280" t="str">
        <f t="shared" si="49"/>
        <v>INCLUDED</v>
      </c>
      <c r="O219" s="281">
        <f t="shared" si="50"/>
        <v>0</v>
      </c>
      <c r="P219" s="281">
        <f t="shared" si="51"/>
        <v>0</v>
      </c>
      <c r="Q219" s="281">
        <f>Discount!$H$36</f>
        <v>0</v>
      </c>
      <c r="R219" s="282">
        <f t="shared" si="52"/>
        <v>0</v>
      </c>
      <c r="S219" s="282">
        <f t="shared" si="53"/>
        <v>0</v>
      </c>
      <c r="T219" s="283">
        <f t="shared" si="54"/>
        <v>0</v>
      </c>
    </row>
    <row r="220" spans="1:20">
      <c r="A220" s="274">
        <v>36</v>
      </c>
      <c r="B220" s="275">
        <v>7000026628</v>
      </c>
      <c r="C220" s="275">
        <v>360</v>
      </c>
      <c r="D220" s="275" t="s">
        <v>757</v>
      </c>
      <c r="E220" s="275">
        <v>1000001894</v>
      </c>
      <c r="F220" s="275">
        <v>94059900</v>
      </c>
      <c r="G220" s="285"/>
      <c r="H220" s="275">
        <v>18</v>
      </c>
      <c r="I220" s="277"/>
      <c r="J220" s="278" t="s">
        <v>619</v>
      </c>
      <c r="K220" s="275" t="s">
        <v>296</v>
      </c>
      <c r="L220" s="275">
        <v>1</v>
      </c>
      <c r="M220" s="279"/>
      <c r="N220" s="280" t="str">
        <f t="shared" si="49"/>
        <v>INCLUDED</v>
      </c>
      <c r="O220" s="281">
        <f t="shared" si="50"/>
        <v>0</v>
      </c>
      <c r="P220" s="281">
        <f t="shared" si="51"/>
        <v>0</v>
      </c>
      <c r="Q220" s="281">
        <f>Discount!$H$36</f>
        <v>0</v>
      </c>
      <c r="R220" s="282">
        <f t="shared" si="52"/>
        <v>0</v>
      </c>
      <c r="S220" s="282">
        <f t="shared" si="53"/>
        <v>0</v>
      </c>
      <c r="T220" s="283">
        <f t="shared" si="54"/>
        <v>0</v>
      </c>
    </row>
    <row r="221" spans="1:20">
      <c r="A221" s="274">
        <v>37</v>
      </c>
      <c r="B221" s="275">
        <v>7000026628</v>
      </c>
      <c r="C221" s="275">
        <v>370</v>
      </c>
      <c r="D221" s="275" t="s">
        <v>757</v>
      </c>
      <c r="E221" s="275">
        <v>1000038385</v>
      </c>
      <c r="F221" s="275">
        <v>94059900</v>
      </c>
      <c r="G221" s="285"/>
      <c r="H221" s="275">
        <v>18</v>
      </c>
      <c r="I221" s="277"/>
      <c r="J221" s="278" t="s">
        <v>515</v>
      </c>
      <c r="K221" s="275" t="s">
        <v>296</v>
      </c>
      <c r="L221" s="275">
        <v>2</v>
      </c>
      <c r="M221" s="279"/>
      <c r="N221" s="280" t="str">
        <f t="shared" si="49"/>
        <v>INCLUDED</v>
      </c>
      <c r="O221" s="281">
        <f t="shared" si="50"/>
        <v>0</v>
      </c>
      <c r="P221" s="281">
        <f t="shared" si="51"/>
        <v>0</v>
      </c>
      <c r="Q221" s="281">
        <f>Discount!$H$36</f>
        <v>0</v>
      </c>
      <c r="R221" s="282">
        <f t="shared" si="52"/>
        <v>0</v>
      </c>
      <c r="S221" s="282">
        <f t="shared" si="53"/>
        <v>0</v>
      </c>
      <c r="T221" s="283">
        <f t="shared" si="54"/>
        <v>0</v>
      </c>
    </row>
    <row r="222" spans="1:20" ht="46.8">
      <c r="A222" s="274">
        <v>38</v>
      </c>
      <c r="B222" s="275">
        <v>7000026628</v>
      </c>
      <c r="C222" s="275">
        <v>380</v>
      </c>
      <c r="D222" s="275" t="s">
        <v>532</v>
      </c>
      <c r="E222" s="275">
        <v>1000055456</v>
      </c>
      <c r="F222" s="275">
        <v>84248990</v>
      </c>
      <c r="G222" s="285"/>
      <c r="H222" s="275">
        <v>18</v>
      </c>
      <c r="I222" s="277"/>
      <c r="J222" s="278" t="s">
        <v>766</v>
      </c>
      <c r="K222" s="275" t="s">
        <v>297</v>
      </c>
      <c r="L222" s="275">
        <v>1</v>
      </c>
      <c r="M222" s="279"/>
      <c r="N222" s="280" t="str">
        <f t="shared" si="49"/>
        <v>INCLUDED</v>
      </c>
      <c r="O222" s="281">
        <f t="shared" si="50"/>
        <v>0</v>
      </c>
      <c r="P222" s="281">
        <f t="shared" si="51"/>
        <v>0</v>
      </c>
      <c r="Q222" s="281">
        <f>Discount!$H$36</f>
        <v>0</v>
      </c>
      <c r="R222" s="282">
        <f t="shared" si="52"/>
        <v>0</v>
      </c>
      <c r="S222" s="282">
        <f t="shared" si="53"/>
        <v>0</v>
      </c>
      <c r="T222" s="283">
        <f t="shared" si="54"/>
        <v>0</v>
      </c>
    </row>
    <row r="223" spans="1:20">
      <c r="A223" s="274">
        <v>39</v>
      </c>
      <c r="B223" s="275">
        <v>7000026628</v>
      </c>
      <c r="C223" s="275">
        <v>390</v>
      </c>
      <c r="D223" s="275" t="s">
        <v>532</v>
      </c>
      <c r="E223" s="275">
        <v>1000012022</v>
      </c>
      <c r="F223" s="275">
        <v>84241000</v>
      </c>
      <c r="G223" s="285"/>
      <c r="H223" s="275">
        <v>18</v>
      </c>
      <c r="I223" s="277"/>
      <c r="J223" s="278" t="s">
        <v>502</v>
      </c>
      <c r="K223" s="275" t="s">
        <v>296</v>
      </c>
      <c r="L223" s="275">
        <v>4</v>
      </c>
      <c r="M223" s="279"/>
      <c r="N223" s="280" t="str">
        <f t="shared" si="49"/>
        <v>INCLUDED</v>
      </c>
      <c r="O223" s="281">
        <f t="shared" si="50"/>
        <v>0</v>
      </c>
      <c r="P223" s="281">
        <f t="shared" si="51"/>
        <v>0</v>
      </c>
      <c r="Q223" s="281">
        <f>Discount!$H$36</f>
        <v>0</v>
      </c>
      <c r="R223" s="282">
        <f t="shared" si="52"/>
        <v>0</v>
      </c>
      <c r="S223" s="282">
        <f t="shared" si="53"/>
        <v>0</v>
      </c>
      <c r="T223" s="283">
        <f t="shared" si="54"/>
        <v>0</v>
      </c>
    </row>
    <row r="224" spans="1:20">
      <c r="A224" s="274">
        <v>40</v>
      </c>
      <c r="B224" s="275">
        <v>7000026628</v>
      </c>
      <c r="C224" s="275">
        <v>400</v>
      </c>
      <c r="D224" s="275" t="s">
        <v>532</v>
      </c>
      <c r="E224" s="275">
        <v>1000012026</v>
      </c>
      <c r="F224" s="275">
        <v>84241000</v>
      </c>
      <c r="G224" s="285"/>
      <c r="H224" s="275">
        <v>18</v>
      </c>
      <c r="I224" s="277"/>
      <c r="J224" s="278" t="s">
        <v>767</v>
      </c>
      <c r="K224" s="275" t="s">
        <v>296</v>
      </c>
      <c r="L224" s="275">
        <v>2</v>
      </c>
      <c r="M224" s="279"/>
      <c r="N224" s="280" t="str">
        <f t="shared" si="49"/>
        <v>INCLUDED</v>
      </c>
      <c r="O224" s="281">
        <f t="shared" si="50"/>
        <v>0</v>
      </c>
      <c r="P224" s="281">
        <f t="shared" si="51"/>
        <v>0</v>
      </c>
      <c r="Q224" s="281">
        <f>Discount!$H$36</f>
        <v>0</v>
      </c>
      <c r="R224" s="282">
        <f t="shared" si="52"/>
        <v>0</v>
      </c>
      <c r="S224" s="282">
        <f t="shared" si="53"/>
        <v>0</v>
      </c>
      <c r="T224" s="283">
        <f t="shared" si="54"/>
        <v>0</v>
      </c>
    </row>
    <row r="225" spans="1:20" ht="31.2">
      <c r="A225" s="274">
        <v>41</v>
      </c>
      <c r="B225" s="275">
        <v>7000026628</v>
      </c>
      <c r="C225" s="275">
        <v>410</v>
      </c>
      <c r="D225" s="275" t="s">
        <v>532</v>
      </c>
      <c r="E225" s="275">
        <v>1000029281</v>
      </c>
      <c r="F225" s="275">
        <v>85311020</v>
      </c>
      <c r="G225" s="285"/>
      <c r="H225" s="275">
        <v>18</v>
      </c>
      <c r="I225" s="277"/>
      <c r="J225" s="278" t="s">
        <v>768</v>
      </c>
      <c r="K225" s="275" t="s">
        <v>514</v>
      </c>
      <c r="L225" s="275">
        <v>1</v>
      </c>
      <c r="M225" s="279"/>
      <c r="N225" s="280" t="str">
        <f t="shared" si="49"/>
        <v>INCLUDED</v>
      </c>
      <c r="O225" s="281">
        <f t="shared" si="50"/>
        <v>0</v>
      </c>
      <c r="P225" s="281">
        <f t="shared" si="51"/>
        <v>0</v>
      </c>
      <c r="Q225" s="281">
        <f>Discount!$H$36</f>
        <v>0</v>
      </c>
      <c r="R225" s="282">
        <f t="shared" si="52"/>
        <v>0</v>
      </c>
      <c r="S225" s="282">
        <f t="shared" si="53"/>
        <v>0</v>
      </c>
      <c r="T225" s="283">
        <f t="shared" si="54"/>
        <v>0</v>
      </c>
    </row>
    <row r="226" spans="1:20">
      <c r="A226" s="274">
        <v>42</v>
      </c>
      <c r="B226" s="275">
        <v>7000026628</v>
      </c>
      <c r="C226" s="275">
        <v>1580</v>
      </c>
      <c r="D226" s="275" t="s">
        <v>532</v>
      </c>
      <c r="E226" s="275">
        <v>1000012009</v>
      </c>
      <c r="F226" s="275">
        <v>85311020</v>
      </c>
      <c r="G226" s="285"/>
      <c r="H226" s="275">
        <v>18</v>
      </c>
      <c r="I226" s="277"/>
      <c r="J226" s="278" t="s">
        <v>558</v>
      </c>
      <c r="K226" s="275" t="s">
        <v>297</v>
      </c>
      <c r="L226" s="275">
        <v>1</v>
      </c>
      <c r="M226" s="279"/>
      <c r="N226" s="280" t="str">
        <f t="shared" si="49"/>
        <v>INCLUDED</v>
      </c>
      <c r="O226" s="281">
        <f t="shared" si="50"/>
        <v>0</v>
      </c>
      <c r="P226" s="281">
        <f t="shared" si="51"/>
        <v>0</v>
      </c>
      <c r="Q226" s="281">
        <f>Discount!$H$36</f>
        <v>0</v>
      </c>
      <c r="R226" s="282">
        <f t="shared" si="52"/>
        <v>0</v>
      </c>
      <c r="S226" s="282">
        <f t="shared" si="53"/>
        <v>0</v>
      </c>
      <c r="T226" s="283">
        <f t="shared" si="54"/>
        <v>0</v>
      </c>
    </row>
    <row r="227" spans="1:20" ht="31.2">
      <c r="A227" s="274">
        <v>43</v>
      </c>
      <c r="B227" s="275">
        <v>7000026628</v>
      </c>
      <c r="C227" s="275">
        <v>420</v>
      </c>
      <c r="D227" s="275" t="s">
        <v>758</v>
      </c>
      <c r="E227" s="275">
        <v>1000055451</v>
      </c>
      <c r="F227" s="275">
        <v>85371000</v>
      </c>
      <c r="G227" s="285"/>
      <c r="H227" s="275">
        <v>18</v>
      </c>
      <c r="I227" s="277"/>
      <c r="J227" s="278" t="s">
        <v>769</v>
      </c>
      <c r="K227" s="275" t="s">
        <v>297</v>
      </c>
      <c r="L227" s="275">
        <v>1</v>
      </c>
      <c r="M227" s="279"/>
      <c r="N227" s="280" t="str">
        <f t="shared" si="49"/>
        <v>INCLUDED</v>
      </c>
      <c r="O227" s="281">
        <f t="shared" si="50"/>
        <v>0</v>
      </c>
      <c r="P227" s="281">
        <f t="shared" si="51"/>
        <v>0</v>
      </c>
      <c r="Q227" s="281">
        <f>Discount!$H$36</f>
        <v>0</v>
      </c>
      <c r="R227" s="282">
        <f t="shared" si="52"/>
        <v>0</v>
      </c>
      <c r="S227" s="282">
        <f t="shared" si="53"/>
        <v>0</v>
      </c>
      <c r="T227" s="283">
        <f t="shared" si="54"/>
        <v>0</v>
      </c>
    </row>
    <row r="228" spans="1:20" ht="124.8">
      <c r="A228" s="274">
        <v>44</v>
      </c>
      <c r="B228" s="275">
        <v>7000026628</v>
      </c>
      <c r="C228" s="275">
        <v>430</v>
      </c>
      <c r="D228" s="275" t="s">
        <v>759</v>
      </c>
      <c r="E228" s="275">
        <v>1000030433</v>
      </c>
      <c r="F228" s="275">
        <v>85287390</v>
      </c>
      <c r="G228" s="285"/>
      <c r="H228" s="275">
        <v>18</v>
      </c>
      <c r="I228" s="277"/>
      <c r="J228" s="278" t="s">
        <v>513</v>
      </c>
      <c r="K228" s="275" t="s">
        <v>297</v>
      </c>
      <c r="L228" s="275">
        <v>1</v>
      </c>
      <c r="M228" s="279"/>
      <c r="N228" s="280" t="str">
        <f t="shared" si="49"/>
        <v>INCLUDED</v>
      </c>
      <c r="O228" s="281">
        <f t="shared" si="50"/>
        <v>0</v>
      </c>
      <c r="P228" s="281">
        <f t="shared" si="51"/>
        <v>0</v>
      </c>
      <c r="Q228" s="281">
        <f>Discount!$H$36</f>
        <v>0</v>
      </c>
      <c r="R228" s="282">
        <f t="shared" si="52"/>
        <v>0</v>
      </c>
      <c r="S228" s="282">
        <f t="shared" si="53"/>
        <v>0</v>
      </c>
      <c r="T228" s="283">
        <f t="shared" si="54"/>
        <v>0</v>
      </c>
    </row>
    <row r="229" spans="1:20">
      <c r="A229" s="274">
        <v>45</v>
      </c>
      <c r="B229" s="275">
        <v>7000026628</v>
      </c>
      <c r="C229" s="275">
        <v>440</v>
      </c>
      <c r="D229" s="275" t="s">
        <v>760</v>
      </c>
      <c r="E229" s="275">
        <v>1000024186</v>
      </c>
      <c r="F229" s="275">
        <v>85354010</v>
      </c>
      <c r="G229" s="285"/>
      <c r="H229" s="275">
        <v>18</v>
      </c>
      <c r="I229" s="277"/>
      <c r="J229" s="278" t="s">
        <v>653</v>
      </c>
      <c r="K229" s="275" t="s">
        <v>472</v>
      </c>
      <c r="L229" s="275">
        <v>1</v>
      </c>
      <c r="M229" s="279"/>
      <c r="N229" s="280" t="str">
        <f t="shared" si="49"/>
        <v>INCLUDED</v>
      </c>
      <c r="O229" s="281">
        <f t="shared" si="50"/>
        <v>0</v>
      </c>
      <c r="P229" s="281">
        <f t="shared" si="51"/>
        <v>0</v>
      </c>
      <c r="Q229" s="281">
        <f>Discount!$H$36</f>
        <v>0</v>
      </c>
      <c r="R229" s="282">
        <f t="shared" si="52"/>
        <v>0</v>
      </c>
      <c r="S229" s="282">
        <f t="shared" si="53"/>
        <v>0</v>
      </c>
      <c r="T229" s="283">
        <f t="shared" si="54"/>
        <v>0</v>
      </c>
    </row>
    <row r="230" spans="1:20">
      <c r="A230" s="274">
        <v>46</v>
      </c>
      <c r="B230" s="275">
        <v>7000026628</v>
      </c>
      <c r="C230" s="275">
        <v>450</v>
      </c>
      <c r="D230" s="275" t="s">
        <v>760</v>
      </c>
      <c r="E230" s="275">
        <v>1000025930</v>
      </c>
      <c r="F230" s="275">
        <v>85354010</v>
      </c>
      <c r="G230" s="285"/>
      <c r="H230" s="275">
        <v>18</v>
      </c>
      <c r="I230" s="277"/>
      <c r="J230" s="278" t="s">
        <v>559</v>
      </c>
      <c r="K230" s="275" t="s">
        <v>297</v>
      </c>
      <c r="L230" s="275">
        <v>1</v>
      </c>
      <c r="M230" s="279"/>
      <c r="N230" s="280" t="str">
        <f t="shared" si="49"/>
        <v>INCLUDED</v>
      </c>
      <c r="O230" s="281">
        <f t="shared" si="50"/>
        <v>0</v>
      </c>
      <c r="P230" s="281">
        <f>IF( I230="",H230*(IF(N230="Included",0,N230))/100,I230*(IF(N230="Included",0,N230)))</f>
        <v>0</v>
      </c>
      <c r="Q230" s="281">
        <f>Discount!$H$36</f>
        <v>0</v>
      </c>
      <c r="R230" s="282">
        <f t="shared" si="52"/>
        <v>0</v>
      </c>
      <c r="S230" s="282">
        <f t="shared" si="53"/>
        <v>0</v>
      </c>
      <c r="T230" s="283">
        <f t="shared" si="54"/>
        <v>0</v>
      </c>
    </row>
    <row r="231" spans="1:20">
      <c r="A231" s="274">
        <v>47</v>
      </c>
      <c r="B231" s="275">
        <v>7000026628</v>
      </c>
      <c r="C231" s="275">
        <v>460</v>
      </c>
      <c r="D231" s="275" t="s">
        <v>760</v>
      </c>
      <c r="E231" s="275">
        <v>1000019912</v>
      </c>
      <c r="F231" s="275">
        <v>85371000</v>
      </c>
      <c r="G231" s="285"/>
      <c r="H231" s="275">
        <v>18</v>
      </c>
      <c r="I231" s="277"/>
      <c r="J231" s="278" t="s">
        <v>529</v>
      </c>
      <c r="K231" s="275" t="s">
        <v>472</v>
      </c>
      <c r="L231" s="275">
        <v>1</v>
      </c>
      <c r="M231" s="279"/>
      <c r="N231" s="280" t="str">
        <f t="shared" si="49"/>
        <v>INCLUDED</v>
      </c>
      <c r="O231" s="281">
        <f t="shared" si="50"/>
        <v>0</v>
      </c>
      <c r="P231" s="281">
        <f>IF( I231="",H231*(IF(N231="Included",0,N231))/100,I231*(IF(N231="Included",0,N231)))</f>
        <v>0</v>
      </c>
      <c r="Q231" s="281">
        <f>Discount!$H$36</f>
        <v>0</v>
      </c>
      <c r="R231" s="282">
        <f t="shared" si="52"/>
        <v>0</v>
      </c>
      <c r="S231" s="282">
        <f t="shared" si="53"/>
        <v>0</v>
      </c>
      <c r="T231" s="283">
        <f t="shared" si="54"/>
        <v>0</v>
      </c>
    </row>
    <row r="232" spans="1:20">
      <c r="A232" s="274">
        <v>48</v>
      </c>
      <c r="B232" s="275">
        <v>7000026628</v>
      </c>
      <c r="C232" s="275">
        <v>470</v>
      </c>
      <c r="D232" s="275" t="s">
        <v>760</v>
      </c>
      <c r="E232" s="275">
        <v>1000019927</v>
      </c>
      <c r="F232" s="275">
        <v>85389000</v>
      </c>
      <c r="G232" s="285"/>
      <c r="H232" s="275">
        <v>18</v>
      </c>
      <c r="I232" s="277"/>
      <c r="J232" s="278" t="s">
        <v>530</v>
      </c>
      <c r="K232" s="275" t="s">
        <v>472</v>
      </c>
      <c r="L232" s="275">
        <v>1</v>
      </c>
      <c r="M232" s="279"/>
      <c r="N232" s="280" t="str">
        <f t="shared" si="49"/>
        <v>INCLUDED</v>
      </c>
      <c r="O232" s="281">
        <f t="shared" si="50"/>
        <v>0</v>
      </c>
      <c r="P232" s="281">
        <f t="shared" ref="P232:P300" si="55">IF( I232="",H232*(IF(N232="Included",0,N232))/100,I232*(IF(N232="Included",0,N232)))</f>
        <v>0</v>
      </c>
      <c r="Q232" s="281">
        <f>Discount!$H$36</f>
        <v>0</v>
      </c>
      <c r="R232" s="282">
        <f t="shared" si="52"/>
        <v>0</v>
      </c>
      <c r="S232" s="282">
        <f t="shared" si="53"/>
        <v>0</v>
      </c>
      <c r="T232" s="283">
        <f t="shared" si="54"/>
        <v>0</v>
      </c>
    </row>
    <row r="233" spans="1:20">
      <c r="A233" s="274">
        <v>49</v>
      </c>
      <c r="B233" s="275">
        <v>7000026628</v>
      </c>
      <c r="C233" s="275">
        <v>480</v>
      </c>
      <c r="D233" s="275" t="s">
        <v>760</v>
      </c>
      <c r="E233" s="275">
        <v>1000019925</v>
      </c>
      <c r="F233" s="275">
        <v>84819090</v>
      </c>
      <c r="G233" s="285"/>
      <c r="H233" s="275">
        <v>18</v>
      </c>
      <c r="I233" s="277"/>
      <c r="J233" s="278" t="s">
        <v>531</v>
      </c>
      <c r="K233" s="275" t="s">
        <v>472</v>
      </c>
      <c r="L233" s="275">
        <v>1</v>
      </c>
      <c r="M233" s="279"/>
      <c r="N233" s="280" t="str">
        <f t="shared" si="49"/>
        <v>INCLUDED</v>
      </c>
      <c r="O233" s="281">
        <f t="shared" si="50"/>
        <v>0</v>
      </c>
      <c r="P233" s="281">
        <f t="shared" si="55"/>
        <v>0</v>
      </c>
      <c r="Q233" s="281">
        <f>Discount!$H$36</f>
        <v>0</v>
      </c>
      <c r="R233" s="282">
        <f t="shared" si="52"/>
        <v>0</v>
      </c>
      <c r="S233" s="282">
        <f t="shared" si="53"/>
        <v>0</v>
      </c>
      <c r="T233" s="283">
        <f t="shared" si="54"/>
        <v>0</v>
      </c>
    </row>
    <row r="234" spans="1:20" ht="31.2">
      <c r="A234" s="274">
        <v>50</v>
      </c>
      <c r="B234" s="275">
        <v>7000026628</v>
      </c>
      <c r="C234" s="275">
        <v>490</v>
      </c>
      <c r="D234" s="275" t="s">
        <v>761</v>
      </c>
      <c r="E234" s="275">
        <v>1000058332</v>
      </c>
      <c r="F234" s="275">
        <v>85359030</v>
      </c>
      <c r="G234" s="285"/>
      <c r="H234" s="275">
        <v>18</v>
      </c>
      <c r="I234" s="277"/>
      <c r="J234" s="278" t="s">
        <v>644</v>
      </c>
      <c r="K234" s="275" t="s">
        <v>296</v>
      </c>
      <c r="L234" s="275">
        <v>1</v>
      </c>
      <c r="M234" s="279"/>
      <c r="N234" s="280" t="str">
        <f t="shared" si="49"/>
        <v>INCLUDED</v>
      </c>
      <c r="O234" s="281">
        <f t="shared" si="50"/>
        <v>0</v>
      </c>
      <c r="P234" s="281">
        <f t="shared" si="55"/>
        <v>0</v>
      </c>
      <c r="Q234" s="281">
        <f>Discount!$H$36</f>
        <v>0</v>
      </c>
      <c r="R234" s="282">
        <f t="shared" si="52"/>
        <v>0</v>
      </c>
      <c r="S234" s="282">
        <f t="shared" si="53"/>
        <v>0</v>
      </c>
      <c r="T234" s="283">
        <f t="shared" si="54"/>
        <v>0</v>
      </c>
    </row>
    <row r="235" spans="1:20" ht="46.8">
      <c r="A235" s="274">
        <v>51</v>
      </c>
      <c r="B235" s="275">
        <v>7000026628</v>
      </c>
      <c r="C235" s="275">
        <v>500</v>
      </c>
      <c r="D235" s="275" t="s">
        <v>761</v>
      </c>
      <c r="E235" s="275">
        <v>1000049817</v>
      </c>
      <c r="F235" s="275">
        <v>85359030</v>
      </c>
      <c r="G235" s="285"/>
      <c r="H235" s="275">
        <v>18</v>
      </c>
      <c r="I235" s="277"/>
      <c r="J235" s="278" t="s">
        <v>645</v>
      </c>
      <c r="K235" s="275" t="s">
        <v>297</v>
      </c>
      <c r="L235" s="275">
        <v>2</v>
      </c>
      <c r="M235" s="279"/>
      <c r="N235" s="280" t="str">
        <f t="shared" ref="N235:N294" si="56">IF(M235=0, "INCLUDED", IF(ISERROR(M235*L235), M235, M235*L235))</f>
        <v>INCLUDED</v>
      </c>
      <c r="O235" s="281">
        <f t="shared" ref="O235:O294" si="57">IF(N235="Included",0,N235)</f>
        <v>0</v>
      </c>
      <c r="P235" s="281">
        <f t="shared" ref="P235:P269" si="58">IF( I235="",H235*(IF(N235="Included",0,N235))/100,I235*(IF(N235="Included",0,N235)))</f>
        <v>0</v>
      </c>
      <c r="Q235" s="281">
        <f>Discount!$H$36</f>
        <v>0</v>
      </c>
      <c r="R235" s="282">
        <f t="shared" ref="R235:R294" si="59">Q235*O235</f>
        <v>0</v>
      </c>
      <c r="S235" s="282">
        <f t="shared" ref="S235:S294" si="60">IF(I235="",H235*R235/100,I235*R235)</f>
        <v>0</v>
      </c>
      <c r="T235" s="283">
        <f t="shared" ref="T235:T294" si="61">M235*L235</f>
        <v>0</v>
      </c>
    </row>
    <row r="236" spans="1:20" ht="46.8">
      <c r="A236" s="274">
        <v>52</v>
      </c>
      <c r="B236" s="275">
        <v>7000026628</v>
      </c>
      <c r="C236" s="275">
        <v>510</v>
      </c>
      <c r="D236" s="275" t="s">
        <v>761</v>
      </c>
      <c r="E236" s="275">
        <v>1000049753</v>
      </c>
      <c r="F236" s="275">
        <v>85359030</v>
      </c>
      <c r="G236" s="285"/>
      <c r="H236" s="275">
        <v>18</v>
      </c>
      <c r="I236" s="277"/>
      <c r="J236" s="278" t="s">
        <v>646</v>
      </c>
      <c r="K236" s="275" t="s">
        <v>297</v>
      </c>
      <c r="L236" s="275">
        <v>1</v>
      </c>
      <c r="M236" s="279"/>
      <c r="N236" s="280" t="str">
        <f t="shared" si="56"/>
        <v>INCLUDED</v>
      </c>
      <c r="O236" s="281">
        <f t="shared" si="57"/>
        <v>0</v>
      </c>
      <c r="P236" s="281">
        <f t="shared" si="58"/>
        <v>0</v>
      </c>
      <c r="Q236" s="281">
        <f>Discount!$H$36</f>
        <v>0</v>
      </c>
      <c r="R236" s="282">
        <f t="shared" si="59"/>
        <v>0</v>
      </c>
      <c r="S236" s="282">
        <f t="shared" si="60"/>
        <v>0</v>
      </c>
      <c r="T236" s="283">
        <f t="shared" si="61"/>
        <v>0</v>
      </c>
    </row>
    <row r="237" spans="1:20" ht="46.8">
      <c r="A237" s="274">
        <v>53</v>
      </c>
      <c r="B237" s="275">
        <v>7000026628</v>
      </c>
      <c r="C237" s="275">
        <v>520</v>
      </c>
      <c r="D237" s="275" t="s">
        <v>761</v>
      </c>
      <c r="E237" s="275">
        <v>1000049762</v>
      </c>
      <c r="F237" s="275">
        <v>85359030</v>
      </c>
      <c r="G237" s="285"/>
      <c r="H237" s="275">
        <v>18</v>
      </c>
      <c r="I237" s="277"/>
      <c r="J237" s="278" t="s">
        <v>647</v>
      </c>
      <c r="K237" s="275" t="s">
        <v>297</v>
      </c>
      <c r="L237" s="275">
        <v>2</v>
      </c>
      <c r="M237" s="279"/>
      <c r="N237" s="280" t="str">
        <f t="shared" si="56"/>
        <v>INCLUDED</v>
      </c>
      <c r="O237" s="281">
        <f t="shared" si="57"/>
        <v>0</v>
      </c>
      <c r="P237" s="281">
        <f t="shared" si="58"/>
        <v>0</v>
      </c>
      <c r="Q237" s="281">
        <f>Discount!$H$36</f>
        <v>0</v>
      </c>
      <c r="R237" s="282">
        <f t="shared" si="59"/>
        <v>0</v>
      </c>
      <c r="S237" s="282">
        <f t="shared" si="60"/>
        <v>0</v>
      </c>
      <c r="T237" s="283">
        <f t="shared" si="61"/>
        <v>0</v>
      </c>
    </row>
    <row r="238" spans="1:20" ht="31.2">
      <c r="A238" s="274">
        <v>54</v>
      </c>
      <c r="B238" s="275">
        <v>7000026628</v>
      </c>
      <c r="C238" s="275">
        <v>530</v>
      </c>
      <c r="D238" s="275" t="s">
        <v>761</v>
      </c>
      <c r="E238" s="275">
        <v>1000058330</v>
      </c>
      <c r="F238" s="275">
        <v>85359030</v>
      </c>
      <c r="G238" s="285"/>
      <c r="H238" s="275">
        <v>18</v>
      </c>
      <c r="I238" s="277"/>
      <c r="J238" s="278" t="s">
        <v>648</v>
      </c>
      <c r="K238" s="275" t="s">
        <v>297</v>
      </c>
      <c r="L238" s="275">
        <v>1</v>
      </c>
      <c r="M238" s="279"/>
      <c r="N238" s="280" t="str">
        <f t="shared" si="56"/>
        <v>INCLUDED</v>
      </c>
      <c r="O238" s="281">
        <f t="shared" si="57"/>
        <v>0</v>
      </c>
      <c r="P238" s="281">
        <f t="shared" si="58"/>
        <v>0</v>
      </c>
      <c r="Q238" s="281">
        <f>Discount!$H$36</f>
        <v>0</v>
      </c>
      <c r="R238" s="282">
        <f t="shared" si="59"/>
        <v>0</v>
      </c>
      <c r="S238" s="282">
        <f t="shared" si="60"/>
        <v>0</v>
      </c>
      <c r="T238" s="283">
        <f t="shared" si="61"/>
        <v>0</v>
      </c>
    </row>
    <row r="239" spans="1:20" ht="31.2">
      <c r="A239" s="274">
        <v>55</v>
      </c>
      <c r="B239" s="275">
        <v>7000026628</v>
      </c>
      <c r="C239" s="275">
        <v>540</v>
      </c>
      <c r="D239" s="275" t="s">
        <v>761</v>
      </c>
      <c r="E239" s="275">
        <v>1000049750</v>
      </c>
      <c r="F239" s="275">
        <v>85359030</v>
      </c>
      <c r="G239" s="285"/>
      <c r="H239" s="275">
        <v>18</v>
      </c>
      <c r="I239" s="277"/>
      <c r="J239" s="278" t="s">
        <v>649</v>
      </c>
      <c r="K239" s="275" t="s">
        <v>297</v>
      </c>
      <c r="L239" s="275">
        <v>2</v>
      </c>
      <c r="M239" s="279"/>
      <c r="N239" s="280" t="str">
        <f t="shared" si="56"/>
        <v>INCLUDED</v>
      </c>
      <c r="O239" s="281">
        <f t="shared" si="57"/>
        <v>0</v>
      </c>
      <c r="P239" s="281">
        <f t="shared" si="58"/>
        <v>0</v>
      </c>
      <c r="Q239" s="281">
        <f>Discount!$H$36</f>
        <v>0</v>
      </c>
      <c r="R239" s="282">
        <f t="shared" si="59"/>
        <v>0</v>
      </c>
      <c r="S239" s="282">
        <f t="shared" si="60"/>
        <v>0</v>
      </c>
      <c r="T239" s="283">
        <f t="shared" si="61"/>
        <v>0</v>
      </c>
    </row>
    <row r="240" spans="1:20" ht="31.2">
      <c r="A240" s="274">
        <v>56</v>
      </c>
      <c r="B240" s="275">
        <v>7000026628</v>
      </c>
      <c r="C240" s="275">
        <v>550</v>
      </c>
      <c r="D240" s="275" t="s">
        <v>761</v>
      </c>
      <c r="E240" s="275">
        <v>1000058331</v>
      </c>
      <c r="F240" s="275">
        <v>85359030</v>
      </c>
      <c r="G240" s="285"/>
      <c r="H240" s="275">
        <v>18</v>
      </c>
      <c r="I240" s="277"/>
      <c r="J240" s="278" t="s">
        <v>650</v>
      </c>
      <c r="K240" s="275" t="s">
        <v>514</v>
      </c>
      <c r="L240" s="275">
        <v>1</v>
      </c>
      <c r="M240" s="279"/>
      <c r="N240" s="280" t="str">
        <f t="shared" si="56"/>
        <v>INCLUDED</v>
      </c>
      <c r="O240" s="281">
        <f t="shared" si="57"/>
        <v>0</v>
      </c>
      <c r="P240" s="281">
        <f t="shared" si="58"/>
        <v>0</v>
      </c>
      <c r="Q240" s="281">
        <f>Discount!$H$36</f>
        <v>0</v>
      </c>
      <c r="R240" s="282">
        <f t="shared" si="59"/>
        <v>0</v>
      </c>
      <c r="S240" s="282">
        <f t="shared" si="60"/>
        <v>0</v>
      </c>
      <c r="T240" s="283">
        <f t="shared" si="61"/>
        <v>0</v>
      </c>
    </row>
    <row r="241" spans="1:20" ht="62.4">
      <c r="A241" s="274">
        <v>57</v>
      </c>
      <c r="B241" s="275">
        <v>7000026628</v>
      </c>
      <c r="C241" s="275">
        <v>560</v>
      </c>
      <c r="D241" s="275" t="s">
        <v>761</v>
      </c>
      <c r="E241" s="275">
        <v>1000049783</v>
      </c>
      <c r="F241" s="275">
        <v>85359030</v>
      </c>
      <c r="G241" s="285"/>
      <c r="H241" s="275">
        <v>18</v>
      </c>
      <c r="I241" s="277"/>
      <c r="J241" s="278" t="s">
        <v>651</v>
      </c>
      <c r="K241" s="275" t="s">
        <v>297</v>
      </c>
      <c r="L241" s="275">
        <v>2</v>
      </c>
      <c r="M241" s="279"/>
      <c r="N241" s="280" t="str">
        <f t="shared" si="56"/>
        <v>INCLUDED</v>
      </c>
      <c r="O241" s="281">
        <f t="shared" si="57"/>
        <v>0</v>
      </c>
      <c r="P241" s="281">
        <f t="shared" si="58"/>
        <v>0</v>
      </c>
      <c r="Q241" s="281">
        <f>Discount!$H$36</f>
        <v>0</v>
      </c>
      <c r="R241" s="282">
        <f t="shared" si="59"/>
        <v>0</v>
      </c>
      <c r="S241" s="282">
        <f t="shared" si="60"/>
        <v>0</v>
      </c>
      <c r="T241" s="283">
        <f t="shared" si="61"/>
        <v>0</v>
      </c>
    </row>
    <row r="242" spans="1:20" ht="31.2">
      <c r="A242" s="274">
        <v>58</v>
      </c>
      <c r="B242" s="275">
        <v>7000026628</v>
      </c>
      <c r="C242" s="275">
        <v>570</v>
      </c>
      <c r="D242" s="275" t="s">
        <v>761</v>
      </c>
      <c r="E242" s="275">
        <v>1000049505</v>
      </c>
      <c r="F242" s="275">
        <v>85359030</v>
      </c>
      <c r="G242" s="285"/>
      <c r="H242" s="275">
        <v>18</v>
      </c>
      <c r="I242" s="277"/>
      <c r="J242" s="278" t="s">
        <v>652</v>
      </c>
      <c r="K242" s="275" t="s">
        <v>296</v>
      </c>
      <c r="L242" s="275">
        <v>3</v>
      </c>
      <c r="M242" s="279"/>
      <c r="N242" s="280" t="str">
        <f t="shared" si="56"/>
        <v>INCLUDED</v>
      </c>
      <c r="O242" s="281">
        <f t="shared" si="57"/>
        <v>0</v>
      </c>
      <c r="P242" s="281">
        <f t="shared" si="58"/>
        <v>0</v>
      </c>
      <c r="Q242" s="281">
        <f>Discount!$H$36</f>
        <v>0</v>
      </c>
      <c r="R242" s="282">
        <f t="shared" si="59"/>
        <v>0</v>
      </c>
      <c r="S242" s="282">
        <f t="shared" si="60"/>
        <v>0</v>
      </c>
      <c r="T242" s="283">
        <f t="shared" si="61"/>
        <v>0</v>
      </c>
    </row>
    <row r="243" spans="1:20" ht="46.8">
      <c r="A243" s="274">
        <v>59</v>
      </c>
      <c r="B243" s="275">
        <v>7000026628</v>
      </c>
      <c r="C243" s="275">
        <v>580</v>
      </c>
      <c r="D243" s="275" t="s">
        <v>761</v>
      </c>
      <c r="E243" s="275">
        <v>1000058334</v>
      </c>
      <c r="F243" s="275">
        <v>85359030</v>
      </c>
      <c r="G243" s="285"/>
      <c r="H243" s="275">
        <v>18</v>
      </c>
      <c r="I243" s="277"/>
      <c r="J243" s="278" t="s">
        <v>657</v>
      </c>
      <c r="K243" s="275" t="s">
        <v>296</v>
      </c>
      <c r="L243" s="275">
        <v>3</v>
      </c>
      <c r="M243" s="279"/>
      <c r="N243" s="280" t="str">
        <f t="shared" si="56"/>
        <v>INCLUDED</v>
      </c>
      <c r="O243" s="281">
        <f t="shared" si="57"/>
        <v>0</v>
      </c>
      <c r="P243" s="281">
        <f t="shared" si="58"/>
        <v>0</v>
      </c>
      <c r="Q243" s="281">
        <f>Discount!$H$36</f>
        <v>0</v>
      </c>
      <c r="R243" s="282">
        <f t="shared" si="59"/>
        <v>0</v>
      </c>
      <c r="S243" s="282">
        <f t="shared" si="60"/>
        <v>0</v>
      </c>
      <c r="T243" s="283">
        <f t="shared" si="61"/>
        <v>0</v>
      </c>
    </row>
    <row r="244" spans="1:20" ht="46.8">
      <c r="A244" s="274">
        <v>60</v>
      </c>
      <c r="B244" s="275">
        <v>7000026628</v>
      </c>
      <c r="C244" s="275">
        <v>590</v>
      </c>
      <c r="D244" s="275" t="s">
        <v>761</v>
      </c>
      <c r="E244" s="275">
        <v>1000058329</v>
      </c>
      <c r="F244" s="275">
        <v>85359030</v>
      </c>
      <c r="G244" s="285"/>
      <c r="H244" s="275">
        <v>18</v>
      </c>
      <c r="I244" s="277"/>
      <c r="J244" s="278" t="s">
        <v>658</v>
      </c>
      <c r="K244" s="275" t="s">
        <v>296</v>
      </c>
      <c r="L244" s="275">
        <v>3</v>
      </c>
      <c r="M244" s="279"/>
      <c r="N244" s="280" t="str">
        <f t="shared" si="56"/>
        <v>INCLUDED</v>
      </c>
      <c r="O244" s="281">
        <f t="shared" si="57"/>
        <v>0</v>
      </c>
      <c r="P244" s="281">
        <f t="shared" si="58"/>
        <v>0</v>
      </c>
      <c r="Q244" s="281">
        <f>Discount!$H$36</f>
        <v>0</v>
      </c>
      <c r="R244" s="282">
        <f t="shared" si="59"/>
        <v>0</v>
      </c>
      <c r="S244" s="282">
        <f t="shared" si="60"/>
        <v>0</v>
      </c>
      <c r="T244" s="283">
        <f t="shared" si="61"/>
        <v>0</v>
      </c>
    </row>
    <row r="245" spans="1:20" ht="31.2">
      <c r="A245" s="274">
        <v>61</v>
      </c>
      <c r="B245" s="275">
        <v>7000026628</v>
      </c>
      <c r="C245" s="275">
        <v>600</v>
      </c>
      <c r="D245" s="275" t="s">
        <v>761</v>
      </c>
      <c r="E245" s="275">
        <v>1000058333</v>
      </c>
      <c r="F245" s="275">
        <v>85359030</v>
      </c>
      <c r="G245" s="285"/>
      <c r="H245" s="275">
        <v>18</v>
      </c>
      <c r="I245" s="277"/>
      <c r="J245" s="278" t="s">
        <v>659</v>
      </c>
      <c r="K245" s="275" t="s">
        <v>296</v>
      </c>
      <c r="L245" s="275">
        <v>1</v>
      </c>
      <c r="M245" s="279"/>
      <c r="N245" s="280" t="str">
        <f t="shared" si="56"/>
        <v>INCLUDED</v>
      </c>
      <c r="O245" s="281">
        <f t="shared" si="57"/>
        <v>0</v>
      </c>
      <c r="P245" s="281">
        <f t="shared" si="58"/>
        <v>0</v>
      </c>
      <c r="Q245" s="281">
        <f>Discount!$H$36</f>
        <v>0</v>
      </c>
      <c r="R245" s="282">
        <f t="shared" si="59"/>
        <v>0</v>
      </c>
      <c r="S245" s="282">
        <f t="shared" si="60"/>
        <v>0</v>
      </c>
      <c r="T245" s="283">
        <f t="shared" si="61"/>
        <v>0</v>
      </c>
    </row>
    <row r="246" spans="1:20" ht="62.4">
      <c r="A246" s="274">
        <v>62</v>
      </c>
      <c r="B246" s="275">
        <v>7000026628</v>
      </c>
      <c r="C246" s="275">
        <v>610</v>
      </c>
      <c r="D246" s="275" t="s">
        <v>761</v>
      </c>
      <c r="E246" s="275">
        <v>1000049498</v>
      </c>
      <c r="F246" s="275">
        <v>85359030</v>
      </c>
      <c r="G246" s="285"/>
      <c r="H246" s="275">
        <v>18</v>
      </c>
      <c r="I246" s="277"/>
      <c r="J246" s="278" t="s">
        <v>660</v>
      </c>
      <c r="K246" s="275" t="s">
        <v>297</v>
      </c>
      <c r="L246" s="275">
        <v>1</v>
      </c>
      <c r="M246" s="279"/>
      <c r="N246" s="280" t="str">
        <f t="shared" si="56"/>
        <v>INCLUDED</v>
      </c>
      <c r="O246" s="281">
        <f t="shared" si="57"/>
        <v>0</v>
      </c>
      <c r="P246" s="281">
        <f t="shared" si="58"/>
        <v>0</v>
      </c>
      <c r="Q246" s="281">
        <f>Discount!$H$36</f>
        <v>0</v>
      </c>
      <c r="R246" s="282">
        <f t="shared" si="59"/>
        <v>0</v>
      </c>
      <c r="S246" s="282">
        <f t="shared" si="60"/>
        <v>0</v>
      </c>
      <c r="T246" s="283">
        <f t="shared" si="61"/>
        <v>0</v>
      </c>
    </row>
    <row r="247" spans="1:20" ht="62.4">
      <c r="A247" s="274">
        <v>63</v>
      </c>
      <c r="B247" s="275">
        <v>7000026628</v>
      </c>
      <c r="C247" s="275">
        <v>620</v>
      </c>
      <c r="D247" s="275" t="s">
        <v>761</v>
      </c>
      <c r="E247" s="275">
        <v>1000058317</v>
      </c>
      <c r="F247" s="275">
        <v>85359030</v>
      </c>
      <c r="G247" s="285"/>
      <c r="H247" s="275">
        <v>18</v>
      </c>
      <c r="I247" s="277"/>
      <c r="J247" s="278" t="s">
        <v>661</v>
      </c>
      <c r="K247" s="275" t="s">
        <v>297</v>
      </c>
      <c r="L247" s="275">
        <v>1</v>
      </c>
      <c r="M247" s="279"/>
      <c r="N247" s="280" t="str">
        <f t="shared" si="56"/>
        <v>INCLUDED</v>
      </c>
      <c r="O247" s="281">
        <f t="shared" si="57"/>
        <v>0</v>
      </c>
      <c r="P247" s="281">
        <f t="shared" si="58"/>
        <v>0</v>
      </c>
      <c r="Q247" s="281">
        <f>Discount!$H$36</f>
        <v>0</v>
      </c>
      <c r="R247" s="282">
        <f t="shared" si="59"/>
        <v>0</v>
      </c>
      <c r="S247" s="282">
        <f t="shared" si="60"/>
        <v>0</v>
      </c>
      <c r="T247" s="283">
        <f t="shared" si="61"/>
        <v>0</v>
      </c>
    </row>
    <row r="248" spans="1:20" ht="31.2">
      <c r="A248" s="274">
        <v>64</v>
      </c>
      <c r="B248" s="275">
        <v>7000026628</v>
      </c>
      <c r="C248" s="275">
        <v>630</v>
      </c>
      <c r="D248" s="275" t="s">
        <v>761</v>
      </c>
      <c r="E248" s="275">
        <v>1000021873</v>
      </c>
      <c r="F248" s="275">
        <v>85389000</v>
      </c>
      <c r="G248" s="285"/>
      <c r="H248" s="275">
        <v>18</v>
      </c>
      <c r="I248" s="277"/>
      <c r="J248" s="278" t="s">
        <v>662</v>
      </c>
      <c r="K248" s="275" t="s">
        <v>297</v>
      </c>
      <c r="L248" s="275">
        <v>3</v>
      </c>
      <c r="M248" s="279"/>
      <c r="N248" s="280" t="str">
        <f t="shared" si="56"/>
        <v>INCLUDED</v>
      </c>
      <c r="O248" s="281">
        <f t="shared" si="57"/>
        <v>0</v>
      </c>
      <c r="P248" s="281">
        <f t="shared" si="58"/>
        <v>0</v>
      </c>
      <c r="Q248" s="281">
        <f>Discount!$H$36</f>
        <v>0</v>
      </c>
      <c r="R248" s="282">
        <f t="shared" si="59"/>
        <v>0</v>
      </c>
      <c r="S248" s="282">
        <f t="shared" si="60"/>
        <v>0</v>
      </c>
      <c r="T248" s="283">
        <f t="shared" si="61"/>
        <v>0</v>
      </c>
    </row>
    <row r="249" spans="1:20" ht="31.2">
      <c r="A249" s="274">
        <v>65</v>
      </c>
      <c r="B249" s="275">
        <v>7000026628</v>
      </c>
      <c r="C249" s="275">
        <v>640</v>
      </c>
      <c r="D249" s="275" t="s">
        <v>761</v>
      </c>
      <c r="E249" s="275">
        <v>1000009208</v>
      </c>
      <c r="F249" s="275">
        <v>85389000</v>
      </c>
      <c r="G249" s="285"/>
      <c r="H249" s="275">
        <v>18</v>
      </c>
      <c r="I249" s="277"/>
      <c r="J249" s="278" t="s">
        <v>663</v>
      </c>
      <c r="K249" s="275" t="s">
        <v>297</v>
      </c>
      <c r="L249" s="275">
        <v>3</v>
      </c>
      <c r="M249" s="279"/>
      <c r="N249" s="280" t="str">
        <f t="shared" si="56"/>
        <v>INCLUDED</v>
      </c>
      <c r="O249" s="281">
        <f t="shared" si="57"/>
        <v>0</v>
      </c>
      <c r="P249" s="281">
        <f t="shared" si="58"/>
        <v>0</v>
      </c>
      <c r="Q249" s="281">
        <f>Discount!$H$36</f>
        <v>0</v>
      </c>
      <c r="R249" s="282">
        <f t="shared" si="59"/>
        <v>0</v>
      </c>
      <c r="S249" s="282">
        <f t="shared" si="60"/>
        <v>0</v>
      </c>
      <c r="T249" s="283">
        <f t="shared" si="61"/>
        <v>0</v>
      </c>
    </row>
    <row r="250" spans="1:20" ht="46.8">
      <c r="A250" s="274">
        <v>66</v>
      </c>
      <c r="B250" s="275">
        <v>7000026628</v>
      </c>
      <c r="C250" s="275">
        <v>650</v>
      </c>
      <c r="D250" s="275" t="s">
        <v>761</v>
      </c>
      <c r="E250" s="275">
        <v>1000058324</v>
      </c>
      <c r="F250" s="275">
        <v>85359030</v>
      </c>
      <c r="G250" s="285"/>
      <c r="H250" s="275">
        <v>18</v>
      </c>
      <c r="I250" s="277"/>
      <c r="J250" s="278" t="s">
        <v>664</v>
      </c>
      <c r="K250" s="275" t="s">
        <v>297</v>
      </c>
      <c r="L250" s="275">
        <v>1</v>
      </c>
      <c r="M250" s="279"/>
      <c r="N250" s="280" t="str">
        <f t="shared" si="56"/>
        <v>INCLUDED</v>
      </c>
      <c r="O250" s="281">
        <f t="shared" si="57"/>
        <v>0</v>
      </c>
      <c r="P250" s="281">
        <f t="shared" si="58"/>
        <v>0</v>
      </c>
      <c r="Q250" s="281">
        <f>Discount!$H$36</f>
        <v>0</v>
      </c>
      <c r="R250" s="282">
        <f t="shared" si="59"/>
        <v>0</v>
      </c>
      <c r="S250" s="282">
        <f t="shared" si="60"/>
        <v>0</v>
      </c>
      <c r="T250" s="283">
        <f t="shared" si="61"/>
        <v>0</v>
      </c>
    </row>
    <row r="251" spans="1:20" ht="31.2">
      <c r="A251" s="274">
        <v>67</v>
      </c>
      <c r="B251" s="275">
        <v>7000026628</v>
      </c>
      <c r="C251" s="275">
        <v>660</v>
      </c>
      <c r="D251" s="275" t="s">
        <v>761</v>
      </c>
      <c r="E251" s="275">
        <v>1000007067</v>
      </c>
      <c r="F251" s="275">
        <v>85389000</v>
      </c>
      <c r="G251" s="285"/>
      <c r="H251" s="275">
        <v>18</v>
      </c>
      <c r="I251" s="277"/>
      <c r="J251" s="278" t="s">
        <v>665</v>
      </c>
      <c r="K251" s="275" t="s">
        <v>297</v>
      </c>
      <c r="L251" s="275">
        <v>1</v>
      </c>
      <c r="M251" s="279"/>
      <c r="N251" s="280" t="str">
        <f t="shared" si="56"/>
        <v>INCLUDED</v>
      </c>
      <c r="O251" s="281">
        <f t="shared" si="57"/>
        <v>0</v>
      </c>
      <c r="P251" s="281">
        <f t="shared" si="58"/>
        <v>0</v>
      </c>
      <c r="Q251" s="281">
        <f>Discount!$H$36</f>
        <v>0</v>
      </c>
      <c r="R251" s="282">
        <f t="shared" si="59"/>
        <v>0</v>
      </c>
      <c r="S251" s="282">
        <f t="shared" si="60"/>
        <v>0</v>
      </c>
      <c r="T251" s="283">
        <f t="shared" si="61"/>
        <v>0</v>
      </c>
    </row>
    <row r="252" spans="1:20" ht="31.2">
      <c r="A252" s="274">
        <v>68</v>
      </c>
      <c r="B252" s="275">
        <v>7000026628</v>
      </c>
      <c r="C252" s="275">
        <v>670</v>
      </c>
      <c r="D252" s="275" t="s">
        <v>761</v>
      </c>
      <c r="E252" s="275">
        <v>1000058323</v>
      </c>
      <c r="F252" s="275">
        <v>85359030</v>
      </c>
      <c r="G252" s="285"/>
      <c r="H252" s="275">
        <v>18</v>
      </c>
      <c r="I252" s="277"/>
      <c r="J252" s="278" t="s">
        <v>666</v>
      </c>
      <c r="K252" s="275" t="s">
        <v>296</v>
      </c>
      <c r="L252" s="275">
        <v>1</v>
      </c>
      <c r="M252" s="279"/>
      <c r="N252" s="280" t="str">
        <f t="shared" si="56"/>
        <v>INCLUDED</v>
      </c>
      <c r="O252" s="281">
        <f t="shared" si="57"/>
        <v>0</v>
      </c>
      <c r="P252" s="281">
        <f t="shared" si="58"/>
        <v>0</v>
      </c>
      <c r="Q252" s="281">
        <f>Discount!$H$36</f>
        <v>0</v>
      </c>
      <c r="R252" s="282">
        <f t="shared" si="59"/>
        <v>0</v>
      </c>
      <c r="S252" s="282">
        <f t="shared" si="60"/>
        <v>0</v>
      </c>
      <c r="T252" s="283">
        <f t="shared" si="61"/>
        <v>0</v>
      </c>
    </row>
    <row r="253" spans="1:20" ht="46.8">
      <c r="A253" s="274">
        <v>69</v>
      </c>
      <c r="B253" s="275">
        <v>7000026628</v>
      </c>
      <c r="C253" s="275">
        <v>680</v>
      </c>
      <c r="D253" s="275" t="s">
        <v>761</v>
      </c>
      <c r="E253" s="275">
        <v>1000058320</v>
      </c>
      <c r="F253" s="275">
        <v>85359030</v>
      </c>
      <c r="G253" s="285"/>
      <c r="H253" s="275">
        <v>18</v>
      </c>
      <c r="I253" s="277"/>
      <c r="J253" s="278" t="s">
        <v>667</v>
      </c>
      <c r="K253" s="275" t="s">
        <v>297</v>
      </c>
      <c r="L253" s="275">
        <v>1</v>
      </c>
      <c r="M253" s="279"/>
      <c r="N253" s="280" t="str">
        <f t="shared" si="56"/>
        <v>INCLUDED</v>
      </c>
      <c r="O253" s="281">
        <f t="shared" si="57"/>
        <v>0</v>
      </c>
      <c r="P253" s="281">
        <f t="shared" si="58"/>
        <v>0</v>
      </c>
      <c r="Q253" s="281">
        <f>Discount!$H$36</f>
        <v>0</v>
      </c>
      <c r="R253" s="282">
        <f t="shared" si="59"/>
        <v>0</v>
      </c>
      <c r="S253" s="282">
        <f t="shared" si="60"/>
        <v>0</v>
      </c>
      <c r="T253" s="283">
        <f t="shared" si="61"/>
        <v>0</v>
      </c>
    </row>
    <row r="254" spans="1:20" ht="46.8">
      <c r="A254" s="274">
        <v>70</v>
      </c>
      <c r="B254" s="275">
        <v>7000026628</v>
      </c>
      <c r="C254" s="275">
        <v>690</v>
      </c>
      <c r="D254" s="275" t="s">
        <v>761</v>
      </c>
      <c r="E254" s="275">
        <v>1000049759</v>
      </c>
      <c r="F254" s="275">
        <v>85359030</v>
      </c>
      <c r="G254" s="285"/>
      <c r="H254" s="275">
        <v>18</v>
      </c>
      <c r="I254" s="277"/>
      <c r="J254" s="278" t="s">
        <v>668</v>
      </c>
      <c r="K254" s="275" t="s">
        <v>297</v>
      </c>
      <c r="L254" s="275">
        <v>1</v>
      </c>
      <c r="M254" s="279"/>
      <c r="N254" s="280" t="str">
        <f t="shared" si="56"/>
        <v>INCLUDED</v>
      </c>
      <c r="O254" s="281">
        <f t="shared" si="57"/>
        <v>0</v>
      </c>
      <c r="P254" s="281">
        <f t="shared" si="58"/>
        <v>0</v>
      </c>
      <c r="Q254" s="281">
        <f>Discount!$H$36</f>
        <v>0</v>
      </c>
      <c r="R254" s="282">
        <f t="shared" si="59"/>
        <v>0</v>
      </c>
      <c r="S254" s="282">
        <f t="shared" si="60"/>
        <v>0</v>
      </c>
      <c r="T254" s="283">
        <f t="shared" si="61"/>
        <v>0</v>
      </c>
    </row>
    <row r="255" spans="1:20" ht="46.8">
      <c r="A255" s="274">
        <v>71</v>
      </c>
      <c r="B255" s="275">
        <v>7000026628</v>
      </c>
      <c r="C255" s="275">
        <v>700</v>
      </c>
      <c r="D255" s="275" t="s">
        <v>761</v>
      </c>
      <c r="E255" s="275">
        <v>1000058319</v>
      </c>
      <c r="F255" s="275">
        <v>85359030</v>
      </c>
      <c r="G255" s="285"/>
      <c r="H255" s="275">
        <v>18</v>
      </c>
      <c r="I255" s="277"/>
      <c r="J255" s="278" t="s">
        <v>669</v>
      </c>
      <c r="K255" s="275" t="s">
        <v>297</v>
      </c>
      <c r="L255" s="275">
        <v>1</v>
      </c>
      <c r="M255" s="279"/>
      <c r="N255" s="280" t="str">
        <f t="shared" si="56"/>
        <v>INCLUDED</v>
      </c>
      <c r="O255" s="281">
        <f t="shared" si="57"/>
        <v>0</v>
      </c>
      <c r="P255" s="281">
        <f t="shared" si="58"/>
        <v>0</v>
      </c>
      <c r="Q255" s="281">
        <f>Discount!$H$36</f>
        <v>0</v>
      </c>
      <c r="R255" s="282">
        <f t="shared" si="59"/>
        <v>0</v>
      </c>
      <c r="S255" s="282">
        <f t="shared" si="60"/>
        <v>0</v>
      </c>
      <c r="T255" s="283">
        <f t="shared" si="61"/>
        <v>0</v>
      </c>
    </row>
    <row r="256" spans="1:20" ht="31.2">
      <c r="A256" s="274">
        <v>72</v>
      </c>
      <c r="B256" s="275">
        <v>7000026628</v>
      </c>
      <c r="C256" s="275">
        <v>710</v>
      </c>
      <c r="D256" s="275" t="s">
        <v>761</v>
      </c>
      <c r="E256" s="275">
        <v>1000058322</v>
      </c>
      <c r="F256" s="275">
        <v>85359030</v>
      </c>
      <c r="G256" s="285"/>
      <c r="H256" s="275">
        <v>18</v>
      </c>
      <c r="I256" s="277"/>
      <c r="J256" s="278" t="s">
        <v>670</v>
      </c>
      <c r="K256" s="275" t="s">
        <v>297</v>
      </c>
      <c r="L256" s="275">
        <v>1</v>
      </c>
      <c r="M256" s="279"/>
      <c r="N256" s="280" t="str">
        <f t="shared" si="56"/>
        <v>INCLUDED</v>
      </c>
      <c r="O256" s="281">
        <f t="shared" si="57"/>
        <v>0</v>
      </c>
      <c r="P256" s="281">
        <f t="shared" si="58"/>
        <v>0</v>
      </c>
      <c r="Q256" s="281">
        <f>Discount!$H$36</f>
        <v>0</v>
      </c>
      <c r="R256" s="282">
        <f t="shared" si="59"/>
        <v>0</v>
      </c>
      <c r="S256" s="282">
        <f t="shared" si="60"/>
        <v>0</v>
      </c>
      <c r="T256" s="283">
        <f t="shared" si="61"/>
        <v>0</v>
      </c>
    </row>
    <row r="257" spans="1:20" ht="31.2">
      <c r="A257" s="274">
        <v>73</v>
      </c>
      <c r="B257" s="275">
        <v>7000026628</v>
      </c>
      <c r="C257" s="275">
        <v>720</v>
      </c>
      <c r="D257" s="275" t="s">
        <v>761</v>
      </c>
      <c r="E257" s="275">
        <v>1000049835</v>
      </c>
      <c r="F257" s="275">
        <v>85359030</v>
      </c>
      <c r="G257" s="285"/>
      <c r="H257" s="275">
        <v>18</v>
      </c>
      <c r="I257" s="277"/>
      <c r="J257" s="278" t="s">
        <v>671</v>
      </c>
      <c r="K257" s="275" t="s">
        <v>297</v>
      </c>
      <c r="L257" s="275">
        <v>1</v>
      </c>
      <c r="M257" s="279"/>
      <c r="N257" s="280" t="str">
        <f t="shared" si="56"/>
        <v>INCLUDED</v>
      </c>
      <c r="O257" s="281">
        <f t="shared" si="57"/>
        <v>0</v>
      </c>
      <c r="P257" s="281">
        <f t="shared" si="58"/>
        <v>0</v>
      </c>
      <c r="Q257" s="281">
        <f>Discount!$H$36</f>
        <v>0</v>
      </c>
      <c r="R257" s="282">
        <f t="shared" si="59"/>
        <v>0</v>
      </c>
      <c r="S257" s="282">
        <f t="shared" si="60"/>
        <v>0</v>
      </c>
      <c r="T257" s="283">
        <f t="shared" si="61"/>
        <v>0</v>
      </c>
    </row>
    <row r="258" spans="1:20" ht="46.8">
      <c r="A258" s="274">
        <v>74</v>
      </c>
      <c r="B258" s="275">
        <v>7000026628</v>
      </c>
      <c r="C258" s="275">
        <v>730</v>
      </c>
      <c r="D258" s="275" t="s">
        <v>761</v>
      </c>
      <c r="E258" s="275">
        <v>1000049795</v>
      </c>
      <c r="F258" s="275">
        <v>85359030</v>
      </c>
      <c r="G258" s="285"/>
      <c r="H258" s="275">
        <v>18</v>
      </c>
      <c r="I258" s="277"/>
      <c r="J258" s="278" t="s">
        <v>672</v>
      </c>
      <c r="K258" s="275" t="s">
        <v>297</v>
      </c>
      <c r="L258" s="275">
        <v>1</v>
      </c>
      <c r="M258" s="279"/>
      <c r="N258" s="280" t="str">
        <f t="shared" si="56"/>
        <v>INCLUDED</v>
      </c>
      <c r="O258" s="281">
        <f t="shared" si="57"/>
        <v>0</v>
      </c>
      <c r="P258" s="281">
        <f t="shared" si="58"/>
        <v>0</v>
      </c>
      <c r="Q258" s="281">
        <f>Discount!$H$36</f>
        <v>0</v>
      </c>
      <c r="R258" s="282">
        <f t="shared" si="59"/>
        <v>0</v>
      </c>
      <c r="S258" s="282">
        <f t="shared" si="60"/>
        <v>0</v>
      </c>
      <c r="T258" s="283">
        <f t="shared" si="61"/>
        <v>0</v>
      </c>
    </row>
    <row r="259" spans="1:20" ht="46.8">
      <c r="A259" s="274">
        <v>75</v>
      </c>
      <c r="B259" s="275">
        <v>7000026628</v>
      </c>
      <c r="C259" s="275">
        <v>740</v>
      </c>
      <c r="D259" s="275" t="s">
        <v>761</v>
      </c>
      <c r="E259" s="275">
        <v>1000049808</v>
      </c>
      <c r="F259" s="275">
        <v>85359030</v>
      </c>
      <c r="G259" s="285"/>
      <c r="H259" s="275">
        <v>18</v>
      </c>
      <c r="I259" s="277"/>
      <c r="J259" s="278" t="s">
        <v>620</v>
      </c>
      <c r="K259" s="275" t="s">
        <v>297</v>
      </c>
      <c r="L259" s="275">
        <v>1</v>
      </c>
      <c r="M259" s="279"/>
      <c r="N259" s="280" t="str">
        <f t="shared" si="56"/>
        <v>INCLUDED</v>
      </c>
      <c r="O259" s="281">
        <f t="shared" si="57"/>
        <v>0</v>
      </c>
      <c r="P259" s="281">
        <f t="shared" si="58"/>
        <v>0</v>
      </c>
      <c r="Q259" s="281">
        <f>Discount!$H$36</f>
        <v>0</v>
      </c>
      <c r="R259" s="282">
        <f t="shared" si="59"/>
        <v>0</v>
      </c>
      <c r="S259" s="282">
        <f t="shared" si="60"/>
        <v>0</v>
      </c>
      <c r="T259" s="283">
        <f t="shared" si="61"/>
        <v>0</v>
      </c>
    </row>
    <row r="260" spans="1:20" ht="46.8">
      <c r="A260" s="274">
        <v>76</v>
      </c>
      <c r="B260" s="275">
        <v>7000026628</v>
      </c>
      <c r="C260" s="275">
        <v>750</v>
      </c>
      <c r="D260" s="275" t="s">
        <v>761</v>
      </c>
      <c r="E260" s="275">
        <v>1000049805</v>
      </c>
      <c r="F260" s="275">
        <v>85359030</v>
      </c>
      <c r="G260" s="285"/>
      <c r="H260" s="275">
        <v>18</v>
      </c>
      <c r="I260" s="277"/>
      <c r="J260" s="278" t="s">
        <v>621</v>
      </c>
      <c r="K260" s="275" t="s">
        <v>297</v>
      </c>
      <c r="L260" s="275">
        <v>1</v>
      </c>
      <c r="M260" s="279"/>
      <c r="N260" s="280" t="str">
        <f t="shared" si="56"/>
        <v>INCLUDED</v>
      </c>
      <c r="O260" s="281">
        <f t="shared" si="57"/>
        <v>0</v>
      </c>
      <c r="P260" s="281">
        <f t="shared" si="58"/>
        <v>0</v>
      </c>
      <c r="Q260" s="281">
        <f>Discount!$H$36</f>
        <v>0</v>
      </c>
      <c r="R260" s="282">
        <f t="shared" si="59"/>
        <v>0</v>
      </c>
      <c r="S260" s="282">
        <f t="shared" si="60"/>
        <v>0</v>
      </c>
      <c r="T260" s="283">
        <f t="shared" si="61"/>
        <v>0</v>
      </c>
    </row>
    <row r="261" spans="1:20" ht="46.8">
      <c r="A261" s="274">
        <v>77</v>
      </c>
      <c r="B261" s="275">
        <v>7000026628</v>
      </c>
      <c r="C261" s="275">
        <v>760</v>
      </c>
      <c r="D261" s="275" t="s">
        <v>761</v>
      </c>
      <c r="E261" s="275">
        <v>1000058321</v>
      </c>
      <c r="F261" s="275">
        <v>85359030</v>
      </c>
      <c r="G261" s="285"/>
      <c r="H261" s="275">
        <v>18</v>
      </c>
      <c r="I261" s="277"/>
      <c r="J261" s="278" t="s">
        <v>622</v>
      </c>
      <c r="K261" s="275" t="s">
        <v>297</v>
      </c>
      <c r="L261" s="275">
        <v>1</v>
      </c>
      <c r="M261" s="279"/>
      <c r="N261" s="280" t="str">
        <f t="shared" si="56"/>
        <v>INCLUDED</v>
      </c>
      <c r="O261" s="281">
        <f t="shared" si="57"/>
        <v>0</v>
      </c>
      <c r="P261" s="281">
        <f t="shared" si="58"/>
        <v>0</v>
      </c>
      <c r="Q261" s="281">
        <f>Discount!$H$36</f>
        <v>0</v>
      </c>
      <c r="R261" s="282">
        <f t="shared" si="59"/>
        <v>0</v>
      </c>
      <c r="S261" s="282">
        <f t="shared" si="60"/>
        <v>0</v>
      </c>
      <c r="T261" s="283">
        <f t="shared" si="61"/>
        <v>0</v>
      </c>
    </row>
    <row r="262" spans="1:20" ht="46.8">
      <c r="A262" s="274">
        <v>78</v>
      </c>
      <c r="B262" s="275">
        <v>7000026628</v>
      </c>
      <c r="C262" s="275">
        <v>770</v>
      </c>
      <c r="D262" s="275" t="s">
        <v>761</v>
      </c>
      <c r="E262" s="275">
        <v>1000049799</v>
      </c>
      <c r="F262" s="275">
        <v>85359030</v>
      </c>
      <c r="G262" s="285"/>
      <c r="H262" s="275">
        <v>18</v>
      </c>
      <c r="I262" s="277"/>
      <c r="J262" s="278" t="s">
        <v>623</v>
      </c>
      <c r="K262" s="275" t="s">
        <v>297</v>
      </c>
      <c r="L262" s="275">
        <v>1</v>
      </c>
      <c r="M262" s="279"/>
      <c r="N262" s="280" t="str">
        <f t="shared" si="56"/>
        <v>INCLUDED</v>
      </c>
      <c r="O262" s="281">
        <f t="shared" si="57"/>
        <v>0</v>
      </c>
      <c r="P262" s="281">
        <f t="shared" si="58"/>
        <v>0</v>
      </c>
      <c r="Q262" s="281">
        <f>Discount!$H$36</f>
        <v>0</v>
      </c>
      <c r="R262" s="282">
        <f t="shared" si="59"/>
        <v>0</v>
      </c>
      <c r="S262" s="282">
        <f t="shared" si="60"/>
        <v>0</v>
      </c>
      <c r="T262" s="283">
        <f t="shared" si="61"/>
        <v>0</v>
      </c>
    </row>
    <row r="263" spans="1:20" ht="62.4">
      <c r="A263" s="274">
        <v>79</v>
      </c>
      <c r="B263" s="275">
        <v>7000026628</v>
      </c>
      <c r="C263" s="275">
        <v>780</v>
      </c>
      <c r="D263" s="275" t="s">
        <v>761</v>
      </c>
      <c r="E263" s="275">
        <v>1000058325</v>
      </c>
      <c r="F263" s="275">
        <v>85359030</v>
      </c>
      <c r="G263" s="285"/>
      <c r="H263" s="275">
        <v>18</v>
      </c>
      <c r="I263" s="277"/>
      <c r="J263" s="278" t="s">
        <v>624</v>
      </c>
      <c r="K263" s="275" t="s">
        <v>297</v>
      </c>
      <c r="L263" s="275">
        <v>1</v>
      </c>
      <c r="M263" s="279"/>
      <c r="N263" s="280" t="str">
        <f t="shared" si="56"/>
        <v>INCLUDED</v>
      </c>
      <c r="O263" s="281">
        <f t="shared" si="57"/>
        <v>0</v>
      </c>
      <c r="P263" s="281">
        <f t="shared" si="58"/>
        <v>0</v>
      </c>
      <c r="Q263" s="281">
        <f>Discount!$H$36</f>
        <v>0</v>
      </c>
      <c r="R263" s="282">
        <f t="shared" si="59"/>
        <v>0</v>
      </c>
      <c r="S263" s="282">
        <f t="shared" si="60"/>
        <v>0</v>
      </c>
      <c r="T263" s="283">
        <f t="shared" si="61"/>
        <v>0</v>
      </c>
    </row>
    <row r="264" spans="1:20" ht="62.4">
      <c r="A264" s="274">
        <v>80</v>
      </c>
      <c r="B264" s="275">
        <v>7000026628</v>
      </c>
      <c r="C264" s="275">
        <v>790</v>
      </c>
      <c r="D264" s="275" t="s">
        <v>761</v>
      </c>
      <c r="E264" s="275">
        <v>1000058318</v>
      </c>
      <c r="F264" s="275">
        <v>85359030</v>
      </c>
      <c r="G264" s="285"/>
      <c r="H264" s="275">
        <v>18</v>
      </c>
      <c r="I264" s="277"/>
      <c r="J264" s="278" t="s">
        <v>625</v>
      </c>
      <c r="K264" s="275" t="s">
        <v>297</v>
      </c>
      <c r="L264" s="275">
        <v>1</v>
      </c>
      <c r="M264" s="279"/>
      <c r="N264" s="280" t="str">
        <f t="shared" si="56"/>
        <v>INCLUDED</v>
      </c>
      <c r="O264" s="281">
        <f t="shared" si="57"/>
        <v>0</v>
      </c>
      <c r="P264" s="281">
        <f t="shared" si="58"/>
        <v>0</v>
      </c>
      <c r="Q264" s="281">
        <f>Discount!$H$36</f>
        <v>0</v>
      </c>
      <c r="R264" s="282">
        <f t="shared" si="59"/>
        <v>0</v>
      </c>
      <c r="S264" s="282">
        <f t="shared" si="60"/>
        <v>0</v>
      </c>
      <c r="T264" s="283">
        <f t="shared" si="61"/>
        <v>0</v>
      </c>
    </row>
    <row r="265" spans="1:20" ht="46.8">
      <c r="A265" s="274">
        <v>81</v>
      </c>
      <c r="B265" s="275">
        <v>7000026628</v>
      </c>
      <c r="C265" s="275">
        <v>800</v>
      </c>
      <c r="D265" s="275" t="s">
        <v>761</v>
      </c>
      <c r="E265" s="275">
        <v>1000049495</v>
      </c>
      <c r="F265" s="275">
        <v>85359030</v>
      </c>
      <c r="G265" s="285"/>
      <c r="H265" s="275">
        <v>18</v>
      </c>
      <c r="I265" s="277"/>
      <c r="J265" s="278" t="s">
        <v>626</v>
      </c>
      <c r="K265" s="275" t="s">
        <v>297</v>
      </c>
      <c r="L265" s="275">
        <v>1</v>
      </c>
      <c r="M265" s="279"/>
      <c r="N265" s="280" t="str">
        <f t="shared" si="56"/>
        <v>INCLUDED</v>
      </c>
      <c r="O265" s="281">
        <f t="shared" si="57"/>
        <v>0</v>
      </c>
      <c r="P265" s="281">
        <f t="shared" si="58"/>
        <v>0</v>
      </c>
      <c r="Q265" s="281">
        <f>Discount!$H$36</f>
        <v>0</v>
      </c>
      <c r="R265" s="282">
        <f t="shared" si="59"/>
        <v>0</v>
      </c>
      <c r="S265" s="282">
        <f t="shared" si="60"/>
        <v>0</v>
      </c>
      <c r="T265" s="283">
        <f t="shared" si="61"/>
        <v>0</v>
      </c>
    </row>
    <row r="266" spans="1:20" ht="46.8">
      <c r="A266" s="274">
        <v>82</v>
      </c>
      <c r="B266" s="275">
        <v>7000026628</v>
      </c>
      <c r="C266" s="275">
        <v>810</v>
      </c>
      <c r="D266" s="275" t="s">
        <v>761</v>
      </c>
      <c r="E266" s="275">
        <v>1000049802</v>
      </c>
      <c r="F266" s="275">
        <v>85359030</v>
      </c>
      <c r="G266" s="285"/>
      <c r="H266" s="275">
        <v>18</v>
      </c>
      <c r="I266" s="277"/>
      <c r="J266" s="278" t="s">
        <v>627</v>
      </c>
      <c r="K266" s="275" t="s">
        <v>297</v>
      </c>
      <c r="L266" s="275">
        <v>1</v>
      </c>
      <c r="M266" s="279"/>
      <c r="N266" s="280" t="str">
        <f t="shared" si="56"/>
        <v>INCLUDED</v>
      </c>
      <c r="O266" s="281">
        <f t="shared" si="57"/>
        <v>0</v>
      </c>
      <c r="P266" s="281">
        <f t="shared" si="58"/>
        <v>0</v>
      </c>
      <c r="Q266" s="281">
        <f>Discount!$H$36</f>
        <v>0</v>
      </c>
      <c r="R266" s="282">
        <f t="shared" si="59"/>
        <v>0</v>
      </c>
      <c r="S266" s="282">
        <f t="shared" si="60"/>
        <v>0</v>
      </c>
      <c r="T266" s="283">
        <f t="shared" si="61"/>
        <v>0</v>
      </c>
    </row>
    <row r="267" spans="1:20" ht="405.6">
      <c r="A267" s="274">
        <v>83</v>
      </c>
      <c r="B267" s="275">
        <v>7000026628</v>
      </c>
      <c r="C267" s="275">
        <v>820</v>
      </c>
      <c r="D267" s="275" t="s">
        <v>761</v>
      </c>
      <c r="E267" s="275">
        <v>1000058374</v>
      </c>
      <c r="F267" s="275">
        <v>85359030</v>
      </c>
      <c r="G267" s="285"/>
      <c r="H267" s="275">
        <v>18</v>
      </c>
      <c r="I267" s="277"/>
      <c r="J267" s="278" t="s">
        <v>628</v>
      </c>
      <c r="K267" s="275" t="s">
        <v>296</v>
      </c>
      <c r="L267" s="275">
        <v>2</v>
      </c>
      <c r="M267" s="279"/>
      <c r="N267" s="280" t="str">
        <f t="shared" si="56"/>
        <v>INCLUDED</v>
      </c>
      <c r="O267" s="281">
        <f t="shared" si="57"/>
        <v>0</v>
      </c>
      <c r="P267" s="281">
        <f t="shared" si="58"/>
        <v>0</v>
      </c>
      <c r="Q267" s="281">
        <f>Discount!$H$36</f>
        <v>0</v>
      </c>
      <c r="R267" s="282">
        <f t="shared" si="59"/>
        <v>0</v>
      </c>
      <c r="S267" s="282">
        <f t="shared" si="60"/>
        <v>0</v>
      </c>
      <c r="T267" s="283">
        <f t="shared" si="61"/>
        <v>0</v>
      </c>
    </row>
    <row r="268" spans="1:20" ht="265.2">
      <c r="A268" s="274">
        <v>84</v>
      </c>
      <c r="B268" s="275">
        <v>7000026628</v>
      </c>
      <c r="C268" s="275">
        <v>830</v>
      </c>
      <c r="D268" s="275" t="s">
        <v>761</v>
      </c>
      <c r="E268" s="275">
        <v>1000058314</v>
      </c>
      <c r="F268" s="275">
        <v>85359030</v>
      </c>
      <c r="G268" s="285"/>
      <c r="H268" s="275">
        <v>18</v>
      </c>
      <c r="I268" s="277"/>
      <c r="J268" s="278" t="s">
        <v>629</v>
      </c>
      <c r="K268" s="275" t="s">
        <v>296</v>
      </c>
      <c r="L268" s="275">
        <v>1</v>
      </c>
      <c r="M268" s="279"/>
      <c r="N268" s="280" t="str">
        <f t="shared" si="56"/>
        <v>INCLUDED</v>
      </c>
      <c r="O268" s="281">
        <f t="shared" si="57"/>
        <v>0</v>
      </c>
      <c r="P268" s="281">
        <f t="shared" si="58"/>
        <v>0</v>
      </c>
      <c r="Q268" s="281">
        <f>Discount!$H$36</f>
        <v>0</v>
      </c>
      <c r="R268" s="282">
        <f t="shared" si="59"/>
        <v>0</v>
      </c>
      <c r="S268" s="282">
        <f t="shared" si="60"/>
        <v>0</v>
      </c>
      <c r="T268" s="283">
        <f t="shared" si="61"/>
        <v>0</v>
      </c>
    </row>
    <row r="269" spans="1:20" ht="109.2">
      <c r="A269" s="274">
        <v>85</v>
      </c>
      <c r="B269" s="275">
        <v>7000026628</v>
      </c>
      <c r="C269" s="275">
        <v>840</v>
      </c>
      <c r="D269" s="275" t="s">
        <v>761</v>
      </c>
      <c r="E269" s="275">
        <v>1000058305</v>
      </c>
      <c r="F269" s="275">
        <v>85359030</v>
      </c>
      <c r="G269" s="285"/>
      <c r="H269" s="275">
        <v>18</v>
      </c>
      <c r="I269" s="277"/>
      <c r="J269" s="278" t="s">
        <v>631</v>
      </c>
      <c r="K269" s="275" t="s">
        <v>297</v>
      </c>
      <c r="L269" s="275">
        <v>1</v>
      </c>
      <c r="M269" s="279"/>
      <c r="N269" s="280" t="str">
        <f t="shared" si="56"/>
        <v>INCLUDED</v>
      </c>
      <c r="O269" s="281">
        <f t="shared" si="57"/>
        <v>0</v>
      </c>
      <c r="P269" s="281">
        <f t="shared" si="58"/>
        <v>0</v>
      </c>
      <c r="Q269" s="281">
        <f>Discount!$H$36</f>
        <v>0</v>
      </c>
      <c r="R269" s="282">
        <f t="shared" si="59"/>
        <v>0</v>
      </c>
      <c r="S269" s="282">
        <f t="shared" si="60"/>
        <v>0</v>
      </c>
      <c r="T269" s="283">
        <f t="shared" si="61"/>
        <v>0</v>
      </c>
    </row>
    <row r="270" spans="1:20" ht="109.2">
      <c r="A270" s="274">
        <v>86</v>
      </c>
      <c r="B270" s="275">
        <v>7000026628</v>
      </c>
      <c r="C270" s="275">
        <v>850</v>
      </c>
      <c r="D270" s="275" t="s">
        <v>761</v>
      </c>
      <c r="E270" s="275">
        <v>1000058312</v>
      </c>
      <c r="F270" s="275">
        <v>85359030</v>
      </c>
      <c r="G270" s="285"/>
      <c r="H270" s="275">
        <v>18</v>
      </c>
      <c r="I270" s="277"/>
      <c r="J270" s="278" t="s">
        <v>632</v>
      </c>
      <c r="K270" s="275" t="s">
        <v>297</v>
      </c>
      <c r="L270" s="275">
        <v>1</v>
      </c>
      <c r="M270" s="279"/>
      <c r="N270" s="280" t="str">
        <f t="shared" si="56"/>
        <v>INCLUDED</v>
      </c>
      <c r="O270" s="281">
        <f t="shared" si="57"/>
        <v>0</v>
      </c>
      <c r="P270" s="281">
        <f>IF( I270="",H270*(IF(N270="Included",0,N270))/100,I270*(IF(N270="Included",0,N270)))</f>
        <v>0</v>
      </c>
      <c r="Q270" s="281">
        <f>Discount!$H$36</f>
        <v>0</v>
      </c>
      <c r="R270" s="282">
        <f t="shared" si="59"/>
        <v>0</v>
      </c>
      <c r="S270" s="282">
        <f t="shared" si="60"/>
        <v>0</v>
      </c>
      <c r="T270" s="283">
        <f t="shared" si="61"/>
        <v>0</v>
      </c>
    </row>
    <row r="271" spans="1:20" ht="31.2">
      <c r="A271" s="274">
        <v>87</v>
      </c>
      <c r="B271" s="275">
        <v>7000026628</v>
      </c>
      <c r="C271" s="275">
        <v>860</v>
      </c>
      <c r="D271" s="275" t="s">
        <v>761</v>
      </c>
      <c r="E271" s="275">
        <v>1000049776</v>
      </c>
      <c r="F271" s="275">
        <v>85359030</v>
      </c>
      <c r="G271" s="285"/>
      <c r="H271" s="275">
        <v>18</v>
      </c>
      <c r="I271" s="277"/>
      <c r="J271" s="278" t="s">
        <v>634</v>
      </c>
      <c r="K271" s="275" t="s">
        <v>297</v>
      </c>
      <c r="L271" s="275">
        <v>1</v>
      </c>
      <c r="M271" s="279"/>
      <c r="N271" s="280" t="str">
        <f t="shared" si="56"/>
        <v>INCLUDED</v>
      </c>
      <c r="O271" s="281">
        <f t="shared" si="57"/>
        <v>0</v>
      </c>
      <c r="P271" s="281">
        <f>IF( I271="",H271*(IF(N271="Included",0,N271))/100,I271*(IF(N271="Included",0,N271)))</f>
        <v>0</v>
      </c>
      <c r="Q271" s="281">
        <f>Discount!$H$36</f>
        <v>0</v>
      </c>
      <c r="R271" s="282">
        <f t="shared" si="59"/>
        <v>0</v>
      </c>
      <c r="S271" s="282">
        <f t="shared" si="60"/>
        <v>0</v>
      </c>
      <c r="T271" s="283">
        <f t="shared" si="61"/>
        <v>0</v>
      </c>
    </row>
    <row r="272" spans="1:20" ht="46.8">
      <c r="A272" s="274">
        <v>88</v>
      </c>
      <c r="B272" s="275">
        <v>7000026628</v>
      </c>
      <c r="C272" s="275">
        <v>870</v>
      </c>
      <c r="D272" s="275" t="s">
        <v>761</v>
      </c>
      <c r="E272" s="275">
        <v>1000049778</v>
      </c>
      <c r="F272" s="275">
        <v>85359030</v>
      </c>
      <c r="G272" s="285"/>
      <c r="H272" s="275">
        <v>18</v>
      </c>
      <c r="I272" s="277"/>
      <c r="J272" s="278" t="s">
        <v>635</v>
      </c>
      <c r="K272" s="275" t="s">
        <v>297</v>
      </c>
      <c r="L272" s="275">
        <v>1</v>
      </c>
      <c r="M272" s="279"/>
      <c r="N272" s="280" t="str">
        <f t="shared" si="56"/>
        <v>INCLUDED</v>
      </c>
      <c r="O272" s="281">
        <f t="shared" si="57"/>
        <v>0</v>
      </c>
      <c r="P272" s="281">
        <f t="shared" ref="P272:P294" si="62">IF( I272="",H272*(IF(N272="Included",0,N272))/100,I272*(IF(N272="Included",0,N272)))</f>
        <v>0</v>
      </c>
      <c r="Q272" s="281">
        <f>Discount!$H$36</f>
        <v>0</v>
      </c>
      <c r="R272" s="282">
        <f t="shared" si="59"/>
        <v>0</v>
      </c>
      <c r="S272" s="282">
        <f t="shared" si="60"/>
        <v>0</v>
      </c>
      <c r="T272" s="283">
        <f t="shared" si="61"/>
        <v>0</v>
      </c>
    </row>
    <row r="273" spans="1:20" ht="31.2">
      <c r="A273" s="274">
        <v>89</v>
      </c>
      <c r="B273" s="275">
        <v>7000026628</v>
      </c>
      <c r="C273" s="275">
        <v>880</v>
      </c>
      <c r="D273" s="275" t="s">
        <v>761</v>
      </c>
      <c r="E273" s="275">
        <v>1000058306</v>
      </c>
      <c r="F273" s="275">
        <v>85359030</v>
      </c>
      <c r="G273" s="285"/>
      <c r="H273" s="275">
        <v>18</v>
      </c>
      <c r="I273" s="277"/>
      <c r="J273" s="278" t="s">
        <v>637</v>
      </c>
      <c r="K273" s="275" t="s">
        <v>297</v>
      </c>
      <c r="L273" s="275">
        <v>1</v>
      </c>
      <c r="M273" s="279"/>
      <c r="N273" s="280" t="str">
        <f t="shared" si="56"/>
        <v>INCLUDED</v>
      </c>
      <c r="O273" s="281">
        <f t="shared" si="57"/>
        <v>0</v>
      </c>
      <c r="P273" s="281">
        <f t="shared" si="62"/>
        <v>0</v>
      </c>
      <c r="Q273" s="281">
        <f>Discount!$H$36</f>
        <v>0</v>
      </c>
      <c r="R273" s="282">
        <f t="shared" si="59"/>
        <v>0</v>
      </c>
      <c r="S273" s="282">
        <f t="shared" si="60"/>
        <v>0</v>
      </c>
      <c r="T273" s="283">
        <f t="shared" si="61"/>
        <v>0</v>
      </c>
    </row>
    <row r="274" spans="1:20" ht="31.2">
      <c r="A274" s="274">
        <v>90</v>
      </c>
      <c r="B274" s="275">
        <v>7000026628</v>
      </c>
      <c r="C274" s="275">
        <v>890</v>
      </c>
      <c r="D274" s="275" t="s">
        <v>761</v>
      </c>
      <c r="E274" s="275">
        <v>1000058313</v>
      </c>
      <c r="F274" s="275">
        <v>85359030</v>
      </c>
      <c r="G274" s="285"/>
      <c r="H274" s="275">
        <v>18</v>
      </c>
      <c r="I274" s="277"/>
      <c r="J274" s="278" t="s">
        <v>638</v>
      </c>
      <c r="K274" s="275" t="s">
        <v>297</v>
      </c>
      <c r="L274" s="275">
        <v>1</v>
      </c>
      <c r="M274" s="279"/>
      <c r="N274" s="280" t="str">
        <f t="shared" si="56"/>
        <v>INCLUDED</v>
      </c>
      <c r="O274" s="281">
        <f t="shared" si="57"/>
        <v>0</v>
      </c>
      <c r="P274" s="281">
        <f t="shared" si="62"/>
        <v>0</v>
      </c>
      <c r="Q274" s="281">
        <f>Discount!$H$36</f>
        <v>0</v>
      </c>
      <c r="R274" s="282">
        <f t="shared" si="59"/>
        <v>0</v>
      </c>
      <c r="S274" s="282">
        <f t="shared" si="60"/>
        <v>0</v>
      </c>
      <c r="T274" s="283">
        <f t="shared" si="61"/>
        <v>0</v>
      </c>
    </row>
    <row r="275" spans="1:20" ht="31.2">
      <c r="A275" s="274">
        <v>91</v>
      </c>
      <c r="B275" s="275">
        <v>7000026628</v>
      </c>
      <c r="C275" s="275">
        <v>900</v>
      </c>
      <c r="D275" s="275" t="s">
        <v>761</v>
      </c>
      <c r="E275" s="275">
        <v>1000058307</v>
      </c>
      <c r="F275" s="275">
        <v>85359030</v>
      </c>
      <c r="G275" s="285"/>
      <c r="H275" s="275">
        <v>18</v>
      </c>
      <c r="I275" s="277"/>
      <c r="J275" s="278" t="s">
        <v>640</v>
      </c>
      <c r="K275" s="275" t="s">
        <v>296</v>
      </c>
      <c r="L275" s="275">
        <v>1</v>
      </c>
      <c r="M275" s="279"/>
      <c r="N275" s="280" t="str">
        <f t="shared" si="56"/>
        <v>INCLUDED</v>
      </c>
      <c r="O275" s="281">
        <f t="shared" si="57"/>
        <v>0</v>
      </c>
      <c r="P275" s="281">
        <f t="shared" si="62"/>
        <v>0</v>
      </c>
      <c r="Q275" s="281">
        <f>Discount!$H$36</f>
        <v>0</v>
      </c>
      <c r="R275" s="282">
        <f t="shared" si="59"/>
        <v>0</v>
      </c>
      <c r="S275" s="282">
        <f t="shared" si="60"/>
        <v>0</v>
      </c>
      <c r="T275" s="283">
        <f t="shared" si="61"/>
        <v>0</v>
      </c>
    </row>
    <row r="276" spans="1:20" ht="31.2">
      <c r="A276" s="274">
        <v>92</v>
      </c>
      <c r="B276" s="275">
        <v>7000026628</v>
      </c>
      <c r="C276" s="275">
        <v>910</v>
      </c>
      <c r="D276" s="275" t="s">
        <v>761</v>
      </c>
      <c r="E276" s="275">
        <v>1000058315</v>
      </c>
      <c r="F276" s="275">
        <v>85359030</v>
      </c>
      <c r="G276" s="285"/>
      <c r="H276" s="275">
        <v>18</v>
      </c>
      <c r="I276" s="277"/>
      <c r="J276" s="278" t="s">
        <v>641</v>
      </c>
      <c r="K276" s="275" t="s">
        <v>296</v>
      </c>
      <c r="L276" s="275">
        <v>1</v>
      </c>
      <c r="M276" s="279"/>
      <c r="N276" s="280" t="str">
        <f t="shared" si="56"/>
        <v>INCLUDED</v>
      </c>
      <c r="O276" s="281">
        <f t="shared" si="57"/>
        <v>0</v>
      </c>
      <c r="P276" s="281">
        <f t="shared" si="62"/>
        <v>0</v>
      </c>
      <c r="Q276" s="281">
        <f>Discount!$H$36</f>
        <v>0</v>
      </c>
      <c r="R276" s="282">
        <f t="shared" si="59"/>
        <v>0</v>
      </c>
      <c r="S276" s="282">
        <f t="shared" si="60"/>
        <v>0</v>
      </c>
      <c r="T276" s="283">
        <f t="shared" si="61"/>
        <v>0</v>
      </c>
    </row>
    <row r="277" spans="1:20" ht="46.8">
      <c r="A277" s="274">
        <v>93</v>
      </c>
      <c r="B277" s="275">
        <v>7000026628</v>
      </c>
      <c r="C277" s="275">
        <v>920</v>
      </c>
      <c r="D277" s="275" t="s">
        <v>761</v>
      </c>
      <c r="E277" s="275">
        <v>1000058327</v>
      </c>
      <c r="F277" s="275">
        <v>85359030</v>
      </c>
      <c r="G277" s="285"/>
      <c r="H277" s="275">
        <v>18</v>
      </c>
      <c r="I277" s="277"/>
      <c r="J277" s="278" t="s">
        <v>642</v>
      </c>
      <c r="K277" s="275" t="s">
        <v>296</v>
      </c>
      <c r="L277" s="275">
        <v>1</v>
      </c>
      <c r="M277" s="279"/>
      <c r="N277" s="280" t="str">
        <f t="shared" si="56"/>
        <v>INCLUDED</v>
      </c>
      <c r="O277" s="281">
        <f t="shared" si="57"/>
        <v>0</v>
      </c>
      <c r="P277" s="281">
        <f t="shared" si="62"/>
        <v>0</v>
      </c>
      <c r="Q277" s="281">
        <f>Discount!$H$36</f>
        <v>0</v>
      </c>
      <c r="R277" s="282">
        <f t="shared" si="59"/>
        <v>0</v>
      </c>
      <c r="S277" s="282">
        <f t="shared" si="60"/>
        <v>0</v>
      </c>
      <c r="T277" s="283">
        <f t="shared" si="61"/>
        <v>0</v>
      </c>
    </row>
    <row r="278" spans="1:20" ht="46.8">
      <c r="A278" s="274">
        <v>94</v>
      </c>
      <c r="B278" s="275">
        <v>7000026628</v>
      </c>
      <c r="C278" s="275">
        <v>930</v>
      </c>
      <c r="D278" s="275" t="s">
        <v>761</v>
      </c>
      <c r="E278" s="275">
        <v>1000058326</v>
      </c>
      <c r="F278" s="275">
        <v>85359030</v>
      </c>
      <c r="G278" s="285"/>
      <c r="H278" s="275">
        <v>18</v>
      </c>
      <c r="I278" s="277"/>
      <c r="J278" s="278" t="s">
        <v>643</v>
      </c>
      <c r="K278" s="275" t="s">
        <v>296</v>
      </c>
      <c r="L278" s="275">
        <v>1</v>
      </c>
      <c r="M278" s="279"/>
      <c r="N278" s="280" t="str">
        <f t="shared" si="56"/>
        <v>INCLUDED</v>
      </c>
      <c r="O278" s="281">
        <f t="shared" si="57"/>
        <v>0</v>
      </c>
      <c r="P278" s="281">
        <f t="shared" si="62"/>
        <v>0</v>
      </c>
      <c r="Q278" s="281">
        <f>Discount!$H$36</f>
        <v>0</v>
      </c>
      <c r="R278" s="282">
        <f t="shared" si="59"/>
        <v>0</v>
      </c>
      <c r="S278" s="282">
        <f t="shared" si="60"/>
        <v>0</v>
      </c>
      <c r="T278" s="283">
        <f t="shared" si="61"/>
        <v>0</v>
      </c>
    </row>
    <row r="279" spans="1:20" ht="31.2">
      <c r="A279" s="274">
        <v>95</v>
      </c>
      <c r="B279" s="275">
        <v>7000026628</v>
      </c>
      <c r="C279" s="275">
        <v>940</v>
      </c>
      <c r="D279" s="275" t="s">
        <v>762</v>
      </c>
      <c r="E279" s="275">
        <v>1000058300</v>
      </c>
      <c r="F279" s="275">
        <v>85359030</v>
      </c>
      <c r="G279" s="285"/>
      <c r="H279" s="275">
        <v>18</v>
      </c>
      <c r="I279" s="277"/>
      <c r="J279" s="278" t="s">
        <v>560</v>
      </c>
      <c r="K279" s="275" t="s">
        <v>296</v>
      </c>
      <c r="L279" s="275">
        <v>1</v>
      </c>
      <c r="M279" s="279"/>
      <c r="N279" s="280" t="str">
        <f t="shared" si="56"/>
        <v>INCLUDED</v>
      </c>
      <c r="O279" s="281">
        <f t="shared" si="57"/>
        <v>0</v>
      </c>
      <c r="P279" s="281">
        <f t="shared" si="62"/>
        <v>0</v>
      </c>
      <c r="Q279" s="281">
        <f>Discount!$H$36</f>
        <v>0</v>
      </c>
      <c r="R279" s="282">
        <f t="shared" si="59"/>
        <v>0</v>
      </c>
      <c r="S279" s="282">
        <f t="shared" si="60"/>
        <v>0</v>
      </c>
      <c r="T279" s="283">
        <f t="shared" si="61"/>
        <v>0</v>
      </c>
    </row>
    <row r="280" spans="1:20" ht="46.8">
      <c r="A280" s="274">
        <v>96</v>
      </c>
      <c r="B280" s="275">
        <v>7000026628</v>
      </c>
      <c r="C280" s="275">
        <v>950</v>
      </c>
      <c r="D280" s="275" t="s">
        <v>762</v>
      </c>
      <c r="E280" s="275">
        <v>1000049816</v>
      </c>
      <c r="F280" s="275">
        <v>85359030</v>
      </c>
      <c r="G280" s="285"/>
      <c r="H280" s="275">
        <v>18</v>
      </c>
      <c r="I280" s="277"/>
      <c r="J280" s="278" t="s">
        <v>561</v>
      </c>
      <c r="K280" s="275" t="s">
        <v>297</v>
      </c>
      <c r="L280" s="275">
        <v>2</v>
      </c>
      <c r="M280" s="279"/>
      <c r="N280" s="280" t="str">
        <f t="shared" si="56"/>
        <v>INCLUDED</v>
      </c>
      <c r="O280" s="281">
        <f t="shared" si="57"/>
        <v>0</v>
      </c>
      <c r="P280" s="281">
        <f t="shared" si="62"/>
        <v>0</v>
      </c>
      <c r="Q280" s="281">
        <f>Discount!$H$36</f>
        <v>0</v>
      </c>
      <c r="R280" s="282">
        <f t="shared" si="59"/>
        <v>0</v>
      </c>
      <c r="S280" s="282">
        <f t="shared" si="60"/>
        <v>0</v>
      </c>
      <c r="T280" s="283">
        <f t="shared" si="61"/>
        <v>0</v>
      </c>
    </row>
    <row r="281" spans="1:20" ht="46.8">
      <c r="A281" s="274">
        <v>97</v>
      </c>
      <c r="B281" s="275">
        <v>7000026628</v>
      </c>
      <c r="C281" s="275">
        <v>960</v>
      </c>
      <c r="D281" s="275" t="s">
        <v>762</v>
      </c>
      <c r="E281" s="275">
        <v>1000049752</v>
      </c>
      <c r="F281" s="275">
        <v>85359030</v>
      </c>
      <c r="G281" s="285"/>
      <c r="H281" s="275">
        <v>18</v>
      </c>
      <c r="I281" s="277"/>
      <c r="J281" s="278" t="s">
        <v>562</v>
      </c>
      <c r="K281" s="275" t="s">
        <v>297</v>
      </c>
      <c r="L281" s="275">
        <v>1</v>
      </c>
      <c r="M281" s="279"/>
      <c r="N281" s="280" t="str">
        <f t="shared" si="56"/>
        <v>INCLUDED</v>
      </c>
      <c r="O281" s="281">
        <f t="shared" si="57"/>
        <v>0</v>
      </c>
      <c r="P281" s="281">
        <f t="shared" si="62"/>
        <v>0</v>
      </c>
      <c r="Q281" s="281">
        <f>Discount!$H$36</f>
        <v>0</v>
      </c>
      <c r="R281" s="282">
        <f t="shared" si="59"/>
        <v>0</v>
      </c>
      <c r="S281" s="282">
        <f t="shared" si="60"/>
        <v>0</v>
      </c>
      <c r="T281" s="283">
        <f t="shared" si="61"/>
        <v>0</v>
      </c>
    </row>
    <row r="282" spans="1:20" ht="46.8">
      <c r="A282" s="274">
        <v>98</v>
      </c>
      <c r="B282" s="275">
        <v>7000026628</v>
      </c>
      <c r="C282" s="275">
        <v>970</v>
      </c>
      <c r="D282" s="275" t="s">
        <v>762</v>
      </c>
      <c r="E282" s="275">
        <v>1000049761</v>
      </c>
      <c r="F282" s="275">
        <v>85359030</v>
      </c>
      <c r="G282" s="285"/>
      <c r="H282" s="275">
        <v>18</v>
      </c>
      <c r="I282" s="277"/>
      <c r="J282" s="278" t="s">
        <v>563</v>
      </c>
      <c r="K282" s="275" t="s">
        <v>297</v>
      </c>
      <c r="L282" s="275">
        <v>2</v>
      </c>
      <c r="M282" s="279"/>
      <c r="N282" s="280" t="str">
        <f t="shared" si="56"/>
        <v>INCLUDED</v>
      </c>
      <c r="O282" s="281">
        <f t="shared" si="57"/>
        <v>0</v>
      </c>
      <c r="P282" s="281">
        <f t="shared" si="62"/>
        <v>0</v>
      </c>
      <c r="Q282" s="281">
        <f>Discount!$H$36</f>
        <v>0</v>
      </c>
      <c r="R282" s="282">
        <f t="shared" si="59"/>
        <v>0</v>
      </c>
      <c r="S282" s="282">
        <f t="shared" si="60"/>
        <v>0</v>
      </c>
      <c r="T282" s="283">
        <f t="shared" si="61"/>
        <v>0</v>
      </c>
    </row>
    <row r="283" spans="1:20" ht="31.2">
      <c r="A283" s="274">
        <v>99</v>
      </c>
      <c r="B283" s="275">
        <v>7000026628</v>
      </c>
      <c r="C283" s="275">
        <v>980</v>
      </c>
      <c r="D283" s="275" t="s">
        <v>762</v>
      </c>
      <c r="E283" s="275">
        <v>1000058298</v>
      </c>
      <c r="F283" s="275">
        <v>85359030</v>
      </c>
      <c r="G283" s="285"/>
      <c r="H283" s="275">
        <v>18</v>
      </c>
      <c r="I283" s="277"/>
      <c r="J283" s="278" t="s">
        <v>564</v>
      </c>
      <c r="K283" s="275" t="s">
        <v>297</v>
      </c>
      <c r="L283" s="275">
        <v>1</v>
      </c>
      <c r="M283" s="279"/>
      <c r="N283" s="280" t="str">
        <f t="shared" si="56"/>
        <v>INCLUDED</v>
      </c>
      <c r="O283" s="281">
        <f t="shared" si="57"/>
        <v>0</v>
      </c>
      <c r="P283" s="281">
        <f t="shared" si="62"/>
        <v>0</v>
      </c>
      <c r="Q283" s="281">
        <f>Discount!$H$36</f>
        <v>0</v>
      </c>
      <c r="R283" s="282">
        <f t="shared" si="59"/>
        <v>0</v>
      </c>
      <c r="S283" s="282">
        <f t="shared" si="60"/>
        <v>0</v>
      </c>
      <c r="T283" s="283">
        <f t="shared" si="61"/>
        <v>0</v>
      </c>
    </row>
    <row r="284" spans="1:20" ht="31.2">
      <c r="A284" s="274">
        <v>100</v>
      </c>
      <c r="B284" s="275">
        <v>7000026628</v>
      </c>
      <c r="C284" s="275">
        <v>990</v>
      </c>
      <c r="D284" s="275" t="s">
        <v>762</v>
      </c>
      <c r="E284" s="275">
        <v>1000049749</v>
      </c>
      <c r="F284" s="275">
        <v>85359030</v>
      </c>
      <c r="G284" s="285"/>
      <c r="H284" s="275">
        <v>18</v>
      </c>
      <c r="I284" s="277"/>
      <c r="J284" s="278" t="s">
        <v>565</v>
      </c>
      <c r="K284" s="275" t="s">
        <v>297</v>
      </c>
      <c r="L284" s="275">
        <v>2</v>
      </c>
      <c r="M284" s="279"/>
      <c r="N284" s="280" t="str">
        <f t="shared" si="56"/>
        <v>INCLUDED</v>
      </c>
      <c r="O284" s="281">
        <f t="shared" si="57"/>
        <v>0</v>
      </c>
      <c r="P284" s="281">
        <f t="shared" si="62"/>
        <v>0</v>
      </c>
      <c r="Q284" s="281">
        <f>Discount!$H$36</f>
        <v>0</v>
      </c>
      <c r="R284" s="282">
        <f t="shared" si="59"/>
        <v>0</v>
      </c>
      <c r="S284" s="282">
        <f t="shared" si="60"/>
        <v>0</v>
      </c>
      <c r="T284" s="283">
        <f t="shared" si="61"/>
        <v>0</v>
      </c>
    </row>
    <row r="285" spans="1:20" ht="31.2">
      <c r="A285" s="274">
        <v>101</v>
      </c>
      <c r="B285" s="275">
        <v>7000026628</v>
      </c>
      <c r="C285" s="275">
        <v>1000</v>
      </c>
      <c r="D285" s="275" t="s">
        <v>762</v>
      </c>
      <c r="E285" s="275">
        <v>1000058299</v>
      </c>
      <c r="F285" s="275">
        <v>85359030</v>
      </c>
      <c r="G285" s="285"/>
      <c r="H285" s="275">
        <v>18</v>
      </c>
      <c r="I285" s="277"/>
      <c r="J285" s="278" t="s">
        <v>566</v>
      </c>
      <c r="K285" s="275" t="s">
        <v>514</v>
      </c>
      <c r="L285" s="275">
        <v>1</v>
      </c>
      <c r="M285" s="279"/>
      <c r="N285" s="280" t="str">
        <f t="shared" si="56"/>
        <v>INCLUDED</v>
      </c>
      <c r="O285" s="281">
        <f t="shared" si="57"/>
        <v>0</v>
      </c>
      <c r="P285" s="281">
        <f t="shared" si="62"/>
        <v>0</v>
      </c>
      <c r="Q285" s="281">
        <f>Discount!$H$36</f>
        <v>0</v>
      </c>
      <c r="R285" s="282">
        <f t="shared" si="59"/>
        <v>0</v>
      </c>
      <c r="S285" s="282">
        <f t="shared" si="60"/>
        <v>0</v>
      </c>
      <c r="T285" s="283">
        <f t="shared" si="61"/>
        <v>0</v>
      </c>
    </row>
    <row r="286" spans="1:20" ht="62.4">
      <c r="A286" s="274">
        <v>102</v>
      </c>
      <c r="B286" s="275">
        <v>7000026628</v>
      </c>
      <c r="C286" s="275">
        <v>1010</v>
      </c>
      <c r="D286" s="275" t="s">
        <v>762</v>
      </c>
      <c r="E286" s="275">
        <v>1000049782</v>
      </c>
      <c r="F286" s="275">
        <v>85359030</v>
      </c>
      <c r="G286" s="285"/>
      <c r="H286" s="275">
        <v>18</v>
      </c>
      <c r="I286" s="277"/>
      <c r="J286" s="278" t="s">
        <v>567</v>
      </c>
      <c r="K286" s="275" t="s">
        <v>297</v>
      </c>
      <c r="L286" s="275">
        <v>2</v>
      </c>
      <c r="M286" s="279"/>
      <c r="N286" s="280" t="str">
        <f t="shared" si="56"/>
        <v>INCLUDED</v>
      </c>
      <c r="O286" s="281">
        <f t="shared" si="57"/>
        <v>0</v>
      </c>
      <c r="P286" s="281">
        <f t="shared" si="62"/>
        <v>0</v>
      </c>
      <c r="Q286" s="281">
        <f>Discount!$H$36</f>
        <v>0</v>
      </c>
      <c r="R286" s="282">
        <f t="shared" si="59"/>
        <v>0</v>
      </c>
      <c r="S286" s="282">
        <f t="shared" si="60"/>
        <v>0</v>
      </c>
      <c r="T286" s="283">
        <f t="shared" si="61"/>
        <v>0</v>
      </c>
    </row>
    <row r="287" spans="1:20" ht="31.2">
      <c r="A287" s="274">
        <v>103</v>
      </c>
      <c r="B287" s="275">
        <v>7000026628</v>
      </c>
      <c r="C287" s="275">
        <v>1020</v>
      </c>
      <c r="D287" s="275" t="s">
        <v>762</v>
      </c>
      <c r="E287" s="275">
        <v>1000049504</v>
      </c>
      <c r="F287" s="275">
        <v>85359030</v>
      </c>
      <c r="G287" s="285"/>
      <c r="H287" s="275">
        <v>18</v>
      </c>
      <c r="I287" s="277"/>
      <c r="J287" s="278" t="s">
        <v>568</v>
      </c>
      <c r="K287" s="275" t="s">
        <v>296</v>
      </c>
      <c r="L287" s="275">
        <v>3</v>
      </c>
      <c r="M287" s="279"/>
      <c r="N287" s="280" t="str">
        <f t="shared" si="56"/>
        <v>INCLUDED</v>
      </c>
      <c r="O287" s="281">
        <f t="shared" si="57"/>
        <v>0</v>
      </c>
      <c r="P287" s="281">
        <f t="shared" si="62"/>
        <v>0</v>
      </c>
      <c r="Q287" s="281">
        <f>Discount!$H$36</f>
        <v>0</v>
      </c>
      <c r="R287" s="282">
        <f t="shared" si="59"/>
        <v>0</v>
      </c>
      <c r="S287" s="282">
        <f t="shared" si="60"/>
        <v>0</v>
      </c>
      <c r="T287" s="283">
        <f t="shared" si="61"/>
        <v>0</v>
      </c>
    </row>
    <row r="288" spans="1:20" ht="46.8">
      <c r="A288" s="274">
        <v>104</v>
      </c>
      <c r="B288" s="275">
        <v>7000026628</v>
      </c>
      <c r="C288" s="275">
        <v>1030</v>
      </c>
      <c r="D288" s="275" t="s">
        <v>762</v>
      </c>
      <c r="E288" s="275">
        <v>1000058302</v>
      </c>
      <c r="F288" s="275">
        <v>85359030</v>
      </c>
      <c r="G288" s="285"/>
      <c r="H288" s="275">
        <v>18</v>
      </c>
      <c r="I288" s="277"/>
      <c r="J288" s="278" t="s">
        <v>569</v>
      </c>
      <c r="K288" s="275" t="s">
        <v>296</v>
      </c>
      <c r="L288" s="275">
        <v>3</v>
      </c>
      <c r="M288" s="279"/>
      <c r="N288" s="280" t="str">
        <f t="shared" si="56"/>
        <v>INCLUDED</v>
      </c>
      <c r="O288" s="281">
        <f t="shared" si="57"/>
        <v>0</v>
      </c>
      <c r="P288" s="281">
        <f t="shared" si="62"/>
        <v>0</v>
      </c>
      <c r="Q288" s="281">
        <f>Discount!$H$36</f>
        <v>0</v>
      </c>
      <c r="R288" s="282">
        <f t="shared" si="59"/>
        <v>0</v>
      </c>
      <c r="S288" s="282">
        <f t="shared" si="60"/>
        <v>0</v>
      </c>
      <c r="T288" s="283">
        <f t="shared" si="61"/>
        <v>0</v>
      </c>
    </row>
    <row r="289" spans="1:20" ht="46.8">
      <c r="A289" s="274">
        <v>105</v>
      </c>
      <c r="B289" s="275">
        <v>7000026628</v>
      </c>
      <c r="C289" s="275">
        <v>1040</v>
      </c>
      <c r="D289" s="275" t="s">
        <v>762</v>
      </c>
      <c r="E289" s="275">
        <v>1000058297</v>
      </c>
      <c r="F289" s="275">
        <v>85359030</v>
      </c>
      <c r="G289" s="285"/>
      <c r="H289" s="275">
        <v>18</v>
      </c>
      <c r="I289" s="277"/>
      <c r="J289" s="278" t="s">
        <v>570</v>
      </c>
      <c r="K289" s="275" t="s">
        <v>296</v>
      </c>
      <c r="L289" s="275">
        <v>3</v>
      </c>
      <c r="M289" s="279"/>
      <c r="N289" s="280" t="str">
        <f t="shared" si="56"/>
        <v>INCLUDED</v>
      </c>
      <c r="O289" s="281">
        <f t="shared" si="57"/>
        <v>0</v>
      </c>
      <c r="P289" s="281">
        <f t="shared" si="62"/>
        <v>0</v>
      </c>
      <c r="Q289" s="281">
        <f>Discount!$H$36</f>
        <v>0</v>
      </c>
      <c r="R289" s="282">
        <f t="shared" si="59"/>
        <v>0</v>
      </c>
      <c r="S289" s="282">
        <f t="shared" si="60"/>
        <v>0</v>
      </c>
      <c r="T289" s="283">
        <f t="shared" si="61"/>
        <v>0</v>
      </c>
    </row>
    <row r="290" spans="1:20" ht="31.2">
      <c r="A290" s="274">
        <v>106</v>
      </c>
      <c r="B290" s="275">
        <v>7000026628</v>
      </c>
      <c r="C290" s="275">
        <v>1050</v>
      </c>
      <c r="D290" s="275" t="s">
        <v>762</v>
      </c>
      <c r="E290" s="275">
        <v>1000058301</v>
      </c>
      <c r="F290" s="275">
        <v>85359030</v>
      </c>
      <c r="G290" s="285"/>
      <c r="H290" s="275">
        <v>18</v>
      </c>
      <c r="I290" s="277"/>
      <c r="J290" s="278" t="s">
        <v>571</v>
      </c>
      <c r="K290" s="275" t="s">
        <v>296</v>
      </c>
      <c r="L290" s="275">
        <v>1</v>
      </c>
      <c r="M290" s="279"/>
      <c r="N290" s="280" t="str">
        <f t="shared" si="56"/>
        <v>INCLUDED</v>
      </c>
      <c r="O290" s="281">
        <f t="shared" si="57"/>
        <v>0</v>
      </c>
      <c r="P290" s="281">
        <f t="shared" si="62"/>
        <v>0</v>
      </c>
      <c r="Q290" s="281">
        <f>Discount!$H$36</f>
        <v>0</v>
      </c>
      <c r="R290" s="282">
        <f t="shared" si="59"/>
        <v>0</v>
      </c>
      <c r="S290" s="282">
        <f t="shared" si="60"/>
        <v>0</v>
      </c>
      <c r="T290" s="283">
        <f t="shared" si="61"/>
        <v>0</v>
      </c>
    </row>
    <row r="291" spans="1:20" ht="62.4">
      <c r="A291" s="274">
        <v>107</v>
      </c>
      <c r="B291" s="275">
        <v>7000026628</v>
      </c>
      <c r="C291" s="275">
        <v>1060</v>
      </c>
      <c r="D291" s="275" t="s">
        <v>762</v>
      </c>
      <c r="E291" s="275">
        <v>1000049497</v>
      </c>
      <c r="F291" s="275">
        <v>85359030</v>
      </c>
      <c r="G291" s="285"/>
      <c r="H291" s="275">
        <v>18</v>
      </c>
      <c r="I291" s="277"/>
      <c r="J291" s="278" t="s">
        <v>572</v>
      </c>
      <c r="K291" s="275" t="s">
        <v>297</v>
      </c>
      <c r="L291" s="275">
        <v>1</v>
      </c>
      <c r="M291" s="279"/>
      <c r="N291" s="280" t="str">
        <f t="shared" si="56"/>
        <v>INCLUDED</v>
      </c>
      <c r="O291" s="281">
        <f t="shared" si="57"/>
        <v>0</v>
      </c>
      <c r="P291" s="281">
        <f t="shared" si="62"/>
        <v>0</v>
      </c>
      <c r="Q291" s="281">
        <f>Discount!$H$36</f>
        <v>0</v>
      </c>
      <c r="R291" s="282">
        <f t="shared" si="59"/>
        <v>0</v>
      </c>
      <c r="S291" s="282">
        <f t="shared" si="60"/>
        <v>0</v>
      </c>
      <c r="T291" s="283">
        <f t="shared" si="61"/>
        <v>0</v>
      </c>
    </row>
    <row r="292" spans="1:20" ht="46.8">
      <c r="A292" s="274">
        <v>108</v>
      </c>
      <c r="B292" s="275">
        <v>7000026628</v>
      </c>
      <c r="C292" s="275">
        <v>1070</v>
      </c>
      <c r="D292" s="275" t="s">
        <v>762</v>
      </c>
      <c r="E292" s="275">
        <v>1000058284</v>
      </c>
      <c r="F292" s="275">
        <v>85359030</v>
      </c>
      <c r="G292" s="285"/>
      <c r="H292" s="275">
        <v>18</v>
      </c>
      <c r="I292" s="277"/>
      <c r="J292" s="278" t="s">
        <v>573</v>
      </c>
      <c r="K292" s="275" t="s">
        <v>297</v>
      </c>
      <c r="L292" s="275">
        <v>1</v>
      </c>
      <c r="M292" s="279"/>
      <c r="N292" s="280" t="str">
        <f t="shared" si="56"/>
        <v>INCLUDED</v>
      </c>
      <c r="O292" s="281">
        <f t="shared" si="57"/>
        <v>0</v>
      </c>
      <c r="P292" s="281">
        <f t="shared" si="62"/>
        <v>0</v>
      </c>
      <c r="Q292" s="281">
        <f>Discount!$H$36</f>
        <v>0</v>
      </c>
      <c r="R292" s="282">
        <f t="shared" si="59"/>
        <v>0</v>
      </c>
      <c r="S292" s="282">
        <f t="shared" si="60"/>
        <v>0</v>
      </c>
      <c r="T292" s="283">
        <f t="shared" si="61"/>
        <v>0</v>
      </c>
    </row>
    <row r="293" spans="1:20" ht="31.2">
      <c r="A293" s="274">
        <v>109</v>
      </c>
      <c r="B293" s="275">
        <v>7000026628</v>
      </c>
      <c r="C293" s="275">
        <v>1080</v>
      </c>
      <c r="D293" s="275" t="s">
        <v>762</v>
      </c>
      <c r="E293" s="275">
        <v>1000021871</v>
      </c>
      <c r="F293" s="275">
        <v>85389000</v>
      </c>
      <c r="G293" s="285"/>
      <c r="H293" s="275">
        <v>18</v>
      </c>
      <c r="I293" s="277"/>
      <c r="J293" s="278" t="s">
        <v>574</v>
      </c>
      <c r="K293" s="275" t="s">
        <v>297</v>
      </c>
      <c r="L293" s="275">
        <v>3</v>
      </c>
      <c r="M293" s="279"/>
      <c r="N293" s="280" t="str">
        <f t="shared" si="56"/>
        <v>INCLUDED</v>
      </c>
      <c r="O293" s="281">
        <f t="shared" si="57"/>
        <v>0</v>
      </c>
      <c r="P293" s="281">
        <f t="shared" si="62"/>
        <v>0</v>
      </c>
      <c r="Q293" s="281">
        <f>Discount!$H$36</f>
        <v>0</v>
      </c>
      <c r="R293" s="282">
        <f t="shared" si="59"/>
        <v>0</v>
      </c>
      <c r="S293" s="282">
        <f t="shared" si="60"/>
        <v>0</v>
      </c>
      <c r="T293" s="283">
        <f t="shared" si="61"/>
        <v>0</v>
      </c>
    </row>
    <row r="294" spans="1:20" ht="31.2">
      <c r="A294" s="274">
        <v>110</v>
      </c>
      <c r="B294" s="275">
        <v>7000026628</v>
      </c>
      <c r="C294" s="275">
        <v>1090</v>
      </c>
      <c r="D294" s="275" t="s">
        <v>762</v>
      </c>
      <c r="E294" s="275">
        <v>1000009185</v>
      </c>
      <c r="F294" s="275">
        <v>85389000</v>
      </c>
      <c r="G294" s="285"/>
      <c r="H294" s="275">
        <v>18</v>
      </c>
      <c r="I294" s="277"/>
      <c r="J294" s="278" t="s">
        <v>575</v>
      </c>
      <c r="K294" s="275" t="s">
        <v>297</v>
      </c>
      <c r="L294" s="275">
        <v>3</v>
      </c>
      <c r="M294" s="279"/>
      <c r="N294" s="280" t="str">
        <f t="shared" si="56"/>
        <v>INCLUDED</v>
      </c>
      <c r="O294" s="281">
        <f t="shared" si="57"/>
        <v>0</v>
      </c>
      <c r="P294" s="281">
        <f t="shared" si="62"/>
        <v>0</v>
      </c>
      <c r="Q294" s="281">
        <f>Discount!$H$36</f>
        <v>0</v>
      </c>
      <c r="R294" s="282">
        <f t="shared" si="59"/>
        <v>0</v>
      </c>
      <c r="S294" s="282">
        <f t="shared" si="60"/>
        <v>0</v>
      </c>
      <c r="T294" s="283">
        <f t="shared" si="61"/>
        <v>0</v>
      </c>
    </row>
    <row r="295" spans="1:20" ht="46.8">
      <c r="A295" s="274">
        <v>111</v>
      </c>
      <c r="B295" s="275">
        <v>7000026628</v>
      </c>
      <c r="C295" s="275">
        <v>1100</v>
      </c>
      <c r="D295" s="275" t="s">
        <v>762</v>
      </c>
      <c r="E295" s="275">
        <v>1000058292</v>
      </c>
      <c r="F295" s="275">
        <v>85359030</v>
      </c>
      <c r="G295" s="285"/>
      <c r="H295" s="275">
        <v>18</v>
      </c>
      <c r="I295" s="277"/>
      <c r="J295" s="278" t="s">
        <v>576</v>
      </c>
      <c r="K295" s="275" t="s">
        <v>297</v>
      </c>
      <c r="L295" s="275">
        <v>1</v>
      </c>
      <c r="M295" s="279"/>
      <c r="N295" s="280" t="str">
        <f t="shared" si="49"/>
        <v>INCLUDED</v>
      </c>
      <c r="O295" s="281">
        <f t="shared" si="50"/>
        <v>0</v>
      </c>
      <c r="P295" s="281">
        <f t="shared" si="55"/>
        <v>0</v>
      </c>
      <c r="Q295" s="281">
        <f>Discount!$H$36</f>
        <v>0</v>
      </c>
      <c r="R295" s="282">
        <f t="shared" si="52"/>
        <v>0</v>
      </c>
      <c r="S295" s="282">
        <f t="shared" si="53"/>
        <v>0</v>
      </c>
      <c r="T295" s="283">
        <f t="shared" si="54"/>
        <v>0</v>
      </c>
    </row>
    <row r="296" spans="1:20" ht="31.2">
      <c r="A296" s="274">
        <v>112</v>
      </c>
      <c r="B296" s="275">
        <v>7000026628</v>
      </c>
      <c r="C296" s="275">
        <v>1110</v>
      </c>
      <c r="D296" s="275" t="s">
        <v>762</v>
      </c>
      <c r="E296" s="275">
        <v>1000007066</v>
      </c>
      <c r="F296" s="275">
        <v>85389000</v>
      </c>
      <c r="G296" s="285"/>
      <c r="H296" s="275">
        <v>18</v>
      </c>
      <c r="I296" s="277"/>
      <c r="J296" s="278" t="s">
        <v>577</v>
      </c>
      <c r="K296" s="275" t="s">
        <v>297</v>
      </c>
      <c r="L296" s="275">
        <v>1</v>
      </c>
      <c r="M296" s="279"/>
      <c r="N296" s="280" t="str">
        <f t="shared" si="49"/>
        <v>INCLUDED</v>
      </c>
      <c r="O296" s="281">
        <f t="shared" si="50"/>
        <v>0</v>
      </c>
      <c r="P296" s="281">
        <f t="shared" si="55"/>
        <v>0</v>
      </c>
      <c r="Q296" s="281">
        <f>Discount!$H$36</f>
        <v>0</v>
      </c>
      <c r="R296" s="282">
        <f t="shared" si="52"/>
        <v>0</v>
      </c>
      <c r="S296" s="282">
        <f t="shared" si="53"/>
        <v>0</v>
      </c>
      <c r="T296" s="283">
        <f t="shared" si="54"/>
        <v>0</v>
      </c>
    </row>
    <row r="297" spans="1:20" ht="31.2">
      <c r="A297" s="274">
        <v>113</v>
      </c>
      <c r="B297" s="275">
        <v>7000026628</v>
      </c>
      <c r="C297" s="275">
        <v>1120</v>
      </c>
      <c r="D297" s="275" t="s">
        <v>762</v>
      </c>
      <c r="E297" s="275">
        <v>1000058291</v>
      </c>
      <c r="F297" s="275">
        <v>85359030</v>
      </c>
      <c r="G297" s="285"/>
      <c r="H297" s="275">
        <v>18</v>
      </c>
      <c r="I297" s="277"/>
      <c r="J297" s="278" t="s">
        <v>578</v>
      </c>
      <c r="K297" s="275" t="s">
        <v>296</v>
      </c>
      <c r="L297" s="275">
        <v>1</v>
      </c>
      <c r="M297" s="279"/>
      <c r="N297" s="280" t="str">
        <f t="shared" si="49"/>
        <v>INCLUDED</v>
      </c>
      <c r="O297" s="281">
        <f t="shared" si="50"/>
        <v>0</v>
      </c>
      <c r="P297" s="281">
        <f t="shared" si="55"/>
        <v>0</v>
      </c>
      <c r="Q297" s="281">
        <f>Discount!$H$36</f>
        <v>0</v>
      </c>
      <c r="R297" s="282">
        <f t="shared" si="52"/>
        <v>0</v>
      </c>
      <c r="S297" s="282">
        <f t="shared" si="53"/>
        <v>0</v>
      </c>
      <c r="T297" s="283">
        <f t="shared" si="54"/>
        <v>0</v>
      </c>
    </row>
    <row r="298" spans="1:20" ht="46.8">
      <c r="A298" s="274">
        <v>114</v>
      </c>
      <c r="B298" s="275">
        <v>7000026628</v>
      </c>
      <c r="C298" s="275">
        <v>1130</v>
      </c>
      <c r="D298" s="275" t="s">
        <v>762</v>
      </c>
      <c r="E298" s="275">
        <v>1000058288</v>
      </c>
      <c r="F298" s="275">
        <v>85359030</v>
      </c>
      <c r="G298" s="285"/>
      <c r="H298" s="275">
        <v>18</v>
      </c>
      <c r="I298" s="277"/>
      <c r="J298" s="278" t="s">
        <v>579</v>
      </c>
      <c r="K298" s="275" t="s">
        <v>297</v>
      </c>
      <c r="L298" s="275">
        <v>1</v>
      </c>
      <c r="M298" s="279"/>
      <c r="N298" s="280" t="str">
        <f t="shared" si="49"/>
        <v>INCLUDED</v>
      </c>
      <c r="O298" s="281">
        <f t="shared" si="50"/>
        <v>0</v>
      </c>
      <c r="P298" s="281">
        <f t="shared" si="55"/>
        <v>0</v>
      </c>
      <c r="Q298" s="281">
        <f>Discount!$H$36</f>
        <v>0</v>
      </c>
      <c r="R298" s="282">
        <f t="shared" si="52"/>
        <v>0</v>
      </c>
      <c r="S298" s="282">
        <f t="shared" si="53"/>
        <v>0</v>
      </c>
      <c r="T298" s="283">
        <f t="shared" si="54"/>
        <v>0</v>
      </c>
    </row>
    <row r="299" spans="1:20" ht="46.8">
      <c r="A299" s="274">
        <v>115</v>
      </c>
      <c r="B299" s="275">
        <v>7000026628</v>
      </c>
      <c r="C299" s="275">
        <v>1140</v>
      </c>
      <c r="D299" s="275" t="s">
        <v>762</v>
      </c>
      <c r="E299" s="275">
        <v>1000049758</v>
      </c>
      <c r="F299" s="275">
        <v>85359030</v>
      </c>
      <c r="G299" s="285"/>
      <c r="H299" s="275">
        <v>18</v>
      </c>
      <c r="I299" s="277"/>
      <c r="J299" s="278" t="s">
        <v>580</v>
      </c>
      <c r="K299" s="275" t="s">
        <v>297</v>
      </c>
      <c r="L299" s="275">
        <v>1</v>
      </c>
      <c r="M299" s="279"/>
      <c r="N299" s="280" t="str">
        <f t="shared" si="49"/>
        <v>INCLUDED</v>
      </c>
      <c r="O299" s="281">
        <f t="shared" si="50"/>
        <v>0</v>
      </c>
      <c r="P299" s="281">
        <f t="shared" si="55"/>
        <v>0</v>
      </c>
      <c r="Q299" s="281">
        <f>Discount!$H$36</f>
        <v>0</v>
      </c>
      <c r="R299" s="282">
        <f t="shared" si="52"/>
        <v>0</v>
      </c>
      <c r="S299" s="282">
        <f t="shared" si="53"/>
        <v>0</v>
      </c>
      <c r="T299" s="283">
        <f t="shared" si="54"/>
        <v>0</v>
      </c>
    </row>
    <row r="300" spans="1:20" ht="46.8">
      <c r="A300" s="274">
        <v>116</v>
      </c>
      <c r="B300" s="275">
        <v>7000026628</v>
      </c>
      <c r="C300" s="275">
        <v>1150</v>
      </c>
      <c r="D300" s="275" t="s">
        <v>762</v>
      </c>
      <c r="E300" s="275">
        <v>1000058272</v>
      </c>
      <c r="F300" s="275">
        <v>85359030</v>
      </c>
      <c r="G300" s="285"/>
      <c r="H300" s="275">
        <v>18</v>
      </c>
      <c r="I300" s="277"/>
      <c r="J300" s="278" t="s">
        <v>581</v>
      </c>
      <c r="K300" s="275" t="s">
        <v>297</v>
      </c>
      <c r="L300" s="275">
        <v>1</v>
      </c>
      <c r="M300" s="279"/>
      <c r="N300" s="280" t="str">
        <f t="shared" si="49"/>
        <v>INCLUDED</v>
      </c>
      <c r="O300" s="281">
        <f t="shared" si="50"/>
        <v>0</v>
      </c>
      <c r="P300" s="281">
        <f t="shared" si="55"/>
        <v>0</v>
      </c>
      <c r="Q300" s="281">
        <f>Discount!$H$36</f>
        <v>0</v>
      </c>
      <c r="R300" s="282">
        <f t="shared" si="52"/>
        <v>0</v>
      </c>
      <c r="S300" s="282">
        <f t="shared" si="53"/>
        <v>0</v>
      </c>
      <c r="T300" s="283">
        <f t="shared" si="54"/>
        <v>0</v>
      </c>
    </row>
    <row r="301" spans="1:20" ht="31.2">
      <c r="A301" s="274">
        <v>117</v>
      </c>
      <c r="B301" s="275">
        <v>7000026628</v>
      </c>
      <c r="C301" s="275">
        <v>1160</v>
      </c>
      <c r="D301" s="275" t="s">
        <v>762</v>
      </c>
      <c r="E301" s="275">
        <v>1000058290</v>
      </c>
      <c r="F301" s="275">
        <v>85359030</v>
      </c>
      <c r="G301" s="285"/>
      <c r="H301" s="275">
        <v>18</v>
      </c>
      <c r="I301" s="277"/>
      <c r="J301" s="278" t="s">
        <v>582</v>
      </c>
      <c r="K301" s="275" t="s">
        <v>297</v>
      </c>
      <c r="L301" s="275">
        <v>1</v>
      </c>
      <c r="M301" s="279"/>
      <c r="N301" s="280" t="str">
        <f t="shared" ref="N301:N325" si="63">IF(M301=0, "INCLUDED", IF(ISERROR(M301*L301), M301, M301*L301))</f>
        <v>INCLUDED</v>
      </c>
      <c r="O301" s="281">
        <f t="shared" ref="O301:O325" si="64">IF(N301="Included",0,N301)</f>
        <v>0</v>
      </c>
      <c r="P301" s="281">
        <f t="shared" ref="P301:P325" si="65">IF( I301="",H301*(IF(N301="Included",0,N301))/100,I301*(IF(N301="Included",0,N301)))</f>
        <v>0</v>
      </c>
      <c r="Q301" s="281">
        <f>Discount!$H$36</f>
        <v>0</v>
      </c>
      <c r="R301" s="282">
        <f t="shared" ref="R301:R325" si="66">Q301*O301</f>
        <v>0</v>
      </c>
      <c r="S301" s="282">
        <f t="shared" ref="S301:S325" si="67">IF(I301="",H301*R301/100,I301*R301)</f>
        <v>0</v>
      </c>
      <c r="T301" s="283">
        <f t="shared" ref="T301:T325" si="68">M301*L301</f>
        <v>0</v>
      </c>
    </row>
    <row r="302" spans="1:20" ht="31.2">
      <c r="A302" s="274">
        <v>118</v>
      </c>
      <c r="B302" s="275">
        <v>7000026628</v>
      </c>
      <c r="C302" s="275">
        <v>1170</v>
      </c>
      <c r="D302" s="275" t="s">
        <v>762</v>
      </c>
      <c r="E302" s="275">
        <v>1000049834</v>
      </c>
      <c r="F302" s="275">
        <v>85359030</v>
      </c>
      <c r="G302" s="285"/>
      <c r="H302" s="275">
        <v>18</v>
      </c>
      <c r="I302" s="277"/>
      <c r="J302" s="278" t="s">
        <v>583</v>
      </c>
      <c r="K302" s="275" t="s">
        <v>297</v>
      </c>
      <c r="L302" s="275">
        <v>1</v>
      </c>
      <c r="M302" s="279"/>
      <c r="N302" s="280" t="str">
        <f t="shared" si="63"/>
        <v>INCLUDED</v>
      </c>
      <c r="O302" s="281">
        <f t="shared" si="64"/>
        <v>0</v>
      </c>
      <c r="P302" s="281">
        <f t="shared" si="65"/>
        <v>0</v>
      </c>
      <c r="Q302" s="281">
        <f>Discount!$H$36</f>
        <v>0</v>
      </c>
      <c r="R302" s="282">
        <f t="shared" si="66"/>
        <v>0</v>
      </c>
      <c r="S302" s="282">
        <f t="shared" si="67"/>
        <v>0</v>
      </c>
      <c r="T302" s="283">
        <f t="shared" si="68"/>
        <v>0</v>
      </c>
    </row>
    <row r="303" spans="1:20" ht="46.8">
      <c r="A303" s="274">
        <v>119</v>
      </c>
      <c r="B303" s="275">
        <v>7000026628</v>
      </c>
      <c r="C303" s="275">
        <v>1180</v>
      </c>
      <c r="D303" s="275" t="s">
        <v>762</v>
      </c>
      <c r="E303" s="275">
        <v>1000049794</v>
      </c>
      <c r="F303" s="275">
        <v>85359030</v>
      </c>
      <c r="G303" s="285"/>
      <c r="H303" s="275">
        <v>18</v>
      </c>
      <c r="I303" s="277"/>
      <c r="J303" s="278" t="s">
        <v>584</v>
      </c>
      <c r="K303" s="275" t="s">
        <v>297</v>
      </c>
      <c r="L303" s="275">
        <v>1</v>
      </c>
      <c r="M303" s="279"/>
      <c r="N303" s="280" t="str">
        <f t="shared" si="63"/>
        <v>INCLUDED</v>
      </c>
      <c r="O303" s="281">
        <f t="shared" si="64"/>
        <v>0</v>
      </c>
      <c r="P303" s="281">
        <f t="shared" si="65"/>
        <v>0</v>
      </c>
      <c r="Q303" s="281">
        <f>Discount!$H$36</f>
        <v>0</v>
      </c>
      <c r="R303" s="282">
        <f t="shared" si="66"/>
        <v>0</v>
      </c>
      <c r="S303" s="282">
        <f t="shared" si="67"/>
        <v>0</v>
      </c>
      <c r="T303" s="283">
        <f t="shared" si="68"/>
        <v>0</v>
      </c>
    </row>
    <row r="304" spans="1:20" ht="46.8">
      <c r="A304" s="274">
        <v>120</v>
      </c>
      <c r="B304" s="275">
        <v>7000026628</v>
      </c>
      <c r="C304" s="275">
        <v>1190</v>
      </c>
      <c r="D304" s="275" t="s">
        <v>762</v>
      </c>
      <c r="E304" s="275">
        <v>1000049807</v>
      </c>
      <c r="F304" s="275">
        <v>85359030</v>
      </c>
      <c r="G304" s="285"/>
      <c r="H304" s="275">
        <v>18</v>
      </c>
      <c r="I304" s="277"/>
      <c r="J304" s="278" t="s">
        <v>585</v>
      </c>
      <c r="K304" s="275" t="s">
        <v>297</v>
      </c>
      <c r="L304" s="275">
        <v>1</v>
      </c>
      <c r="M304" s="279"/>
      <c r="N304" s="280" t="str">
        <f t="shared" si="63"/>
        <v>INCLUDED</v>
      </c>
      <c r="O304" s="281">
        <f t="shared" si="64"/>
        <v>0</v>
      </c>
      <c r="P304" s="281">
        <f t="shared" si="65"/>
        <v>0</v>
      </c>
      <c r="Q304" s="281">
        <f>Discount!$H$36</f>
        <v>0</v>
      </c>
      <c r="R304" s="282">
        <f t="shared" si="66"/>
        <v>0</v>
      </c>
      <c r="S304" s="282">
        <f t="shared" si="67"/>
        <v>0</v>
      </c>
      <c r="T304" s="283">
        <f t="shared" si="68"/>
        <v>0</v>
      </c>
    </row>
    <row r="305" spans="1:20" ht="46.8">
      <c r="A305" s="274">
        <v>121</v>
      </c>
      <c r="B305" s="275">
        <v>7000026628</v>
      </c>
      <c r="C305" s="275">
        <v>1200</v>
      </c>
      <c r="D305" s="275" t="s">
        <v>762</v>
      </c>
      <c r="E305" s="275">
        <v>1000049804</v>
      </c>
      <c r="F305" s="275">
        <v>85359030</v>
      </c>
      <c r="G305" s="285"/>
      <c r="H305" s="275">
        <v>18</v>
      </c>
      <c r="I305" s="277"/>
      <c r="J305" s="278" t="s">
        <v>586</v>
      </c>
      <c r="K305" s="275" t="s">
        <v>297</v>
      </c>
      <c r="L305" s="275">
        <v>1</v>
      </c>
      <c r="M305" s="279"/>
      <c r="N305" s="280" t="str">
        <f t="shared" si="63"/>
        <v>INCLUDED</v>
      </c>
      <c r="O305" s="281">
        <f t="shared" si="64"/>
        <v>0</v>
      </c>
      <c r="P305" s="281">
        <f t="shared" si="65"/>
        <v>0</v>
      </c>
      <c r="Q305" s="281">
        <f>Discount!$H$36</f>
        <v>0</v>
      </c>
      <c r="R305" s="282">
        <f t="shared" si="66"/>
        <v>0</v>
      </c>
      <c r="S305" s="282">
        <f t="shared" si="67"/>
        <v>0</v>
      </c>
      <c r="T305" s="283">
        <f t="shared" si="68"/>
        <v>0</v>
      </c>
    </row>
    <row r="306" spans="1:20" ht="46.8">
      <c r="A306" s="274">
        <v>122</v>
      </c>
      <c r="B306" s="275">
        <v>7000026628</v>
      </c>
      <c r="C306" s="275">
        <v>1210</v>
      </c>
      <c r="D306" s="275" t="s">
        <v>762</v>
      </c>
      <c r="E306" s="275">
        <v>1000058289</v>
      </c>
      <c r="F306" s="275">
        <v>85359030</v>
      </c>
      <c r="G306" s="285"/>
      <c r="H306" s="275">
        <v>18</v>
      </c>
      <c r="I306" s="277"/>
      <c r="J306" s="278" t="s">
        <v>587</v>
      </c>
      <c r="K306" s="275" t="s">
        <v>297</v>
      </c>
      <c r="L306" s="275">
        <v>1</v>
      </c>
      <c r="M306" s="279"/>
      <c r="N306" s="280" t="str">
        <f t="shared" si="63"/>
        <v>INCLUDED</v>
      </c>
      <c r="O306" s="281">
        <f t="shared" si="64"/>
        <v>0</v>
      </c>
      <c r="P306" s="281">
        <f t="shared" si="65"/>
        <v>0</v>
      </c>
      <c r="Q306" s="281">
        <f>Discount!$H$36</f>
        <v>0</v>
      </c>
      <c r="R306" s="282">
        <f t="shared" si="66"/>
        <v>0</v>
      </c>
      <c r="S306" s="282">
        <f t="shared" si="67"/>
        <v>0</v>
      </c>
      <c r="T306" s="283">
        <f t="shared" si="68"/>
        <v>0</v>
      </c>
    </row>
    <row r="307" spans="1:20" ht="46.8">
      <c r="A307" s="274">
        <v>123</v>
      </c>
      <c r="B307" s="275">
        <v>7000026628</v>
      </c>
      <c r="C307" s="275">
        <v>1220</v>
      </c>
      <c r="D307" s="275" t="s">
        <v>762</v>
      </c>
      <c r="E307" s="275">
        <v>1000049798</v>
      </c>
      <c r="F307" s="275">
        <v>85359030</v>
      </c>
      <c r="G307" s="285"/>
      <c r="H307" s="275">
        <v>18</v>
      </c>
      <c r="I307" s="277"/>
      <c r="J307" s="278" t="s">
        <v>588</v>
      </c>
      <c r="K307" s="275" t="s">
        <v>297</v>
      </c>
      <c r="L307" s="275">
        <v>1</v>
      </c>
      <c r="M307" s="279"/>
      <c r="N307" s="280" t="str">
        <f t="shared" si="63"/>
        <v>INCLUDED</v>
      </c>
      <c r="O307" s="281">
        <f t="shared" si="64"/>
        <v>0</v>
      </c>
      <c r="P307" s="281">
        <f t="shared" si="65"/>
        <v>0</v>
      </c>
      <c r="Q307" s="281">
        <f>Discount!$H$36</f>
        <v>0</v>
      </c>
      <c r="R307" s="282">
        <f t="shared" si="66"/>
        <v>0</v>
      </c>
      <c r="S307" s="282">
        <f t="shared" si="67"/>
        <v>0</v>
      </c>
      <c r="T307" s="283">
        <f t="shared" si="68"/>
        <v>0</v>
      </c>
    </row>
    <row r="308" spans="1:20" ht="62.4">
      <c r="A308" s="274">
        <v>124</v>
      </c>
      <c r="B308" s="275">
        <v>7000026628</v>
      </c>
      <c r="C308" s="275">
        <v>1230</v>
      </c>
      <c r="D308" s="275" t="s">
        <v>762</v>
      </c>
      <c r="E308" s="275">
        <v>1000058293</v>
      </c>
      <c r="F308" s="275">
        <v>85359030</v>
      </c>
      <c r="G308" s="285"/>
      <c r="H308" s="275">
        <v>18</v>
      </c>
      <c r="I308" s="277"/>
      <c r="J308" s="278" t="s">
        <v>589</v>
      </c>
      <c r="K308" s="275" t="s">
        <v>297</v>
      </c>
      <c r="L308" s="275">
        <v>1</v>
      </c>
      <c r="M308" s="279"/>
      <c r="N308" s="280" t="str">
        <f t="shared" si="63"/>
        <v>INCLUDED</v>
      </c>
      <c r="O308" s="281">
        <f t="shared" si="64"/>
        <v>0</v>
      </c>
      <c r="P308" s="281">
        <f t="shared" si="65"/>
        <v>0</v>
      </c>
      <c r="Q308" s="281">
        <f>Discount!$H$36</f>
        <v>0</v>
      </c>
      <c r="R308" s="282">
        <f t="shared" si="66"/>
        <v>0</v>
      </c>
      <c r="S308" s="282">
        <f t="shared" si="67"/>
        <v>0</v>
      </c>
      <c r="T308" s="283">
        <f t="shared" si="68"/>
        <v>0</v>
      </c>
    </row>
    <row r="309" spans="1:20" ht="62.4">
      <c r="A309" s="274">
        <v>125</v>
      </c>
      <c r="B309" s="275">
        <v>7000026628</v>
      </c>
      <c r="C309" s="275">
        <v>1240</v>
      </c>
      <c r="D309" s="275" t="s">
        <v>762</v>
      </c>
      <c r="E309" s="275">
        <v>1000058287</v>
      </c>
      <c r="F309" s="275">
        <v>85359030</v>
      </c>
      <c r="G309" s="285"/>
      <c r="H309" s="275">
        <v>18</v>
      </c>
      <c r="I309" s="277"/>
      <c r="J309" s="278" t="s">
        <v>590</v>
      </c>
      <c r="K309" s="275" t="s">
        <v>297</v>
      </c>
      <c r="L309" s="275">
        <v>1</v>
      </c>
      <c r="M309" s="279"/>
      <c r="N309" s="280" t="str">
        <f t="shared" si="63"/>
        <v>INCLUDED</v>
      </c>
      <c r="O309" s="281">
        <f t="shared" si="64"/>
        <v>0</v>
      </c>
      <c r="P309" s="281">
        <f t="shared" si="65"/>
        <v>0</v>
      </c>
      <c r="Q309" s="281">
        <f>Discount!$H$36</f>
        <v>0</v>
      </c>
      <c r="R309" s="282">
        <f t="shared" si="66"/>
        <v>0</v>
      </c>
      <c r="S309" s="282">
        <f t="shared" si="67"/>
        <v>0</v>
      </c>
      <c r="T309" s="283">
        <f t="shared" si="68"/>
        <v>0</v>
      </c>
    </row>
    <row r="310" spans="1:20" ht="46.8">
      <c r="A310" s="274">
        <v>126</v>
      </c>
      <c r="B310" s="275">
        <v>7000026628</v>
      </c>
      <c r="C310" s="275">
        <v>1250</v>
      </c>
      <c r="D310" s="275" t="s">
        <v>762</v>
      </c>
      <c r="E310" s="275">
        <v>1000049797</v>
      </c>
      <c r="F310" s="275">
        <v>85359030</v>
      </c>
      <c r="G310" s="285"/>
      <c r="H310" s="275">
        <v>18</v>
      </c>
      <c r="I310" s="277"/>
      <c r="J310" s="278" t="s">
        <v>591</v>
      </c>
      <c r="K310" s="275" t="s">
        <v>297</v>
      </c>
      <c r="L310" s="275">
        <v>1</v>
      </c>
      <c r="M310" s="279"/>
      <c r="N310" s="280" t="str">
        <f t="shared" si="63"/>
        <v>INCLUDED</v>
      </c>
      <c r="O310" s="281">
        <f t="shared" si="64"/>
        <v>0</v>
      </c>
      <c r="P310" s="281">
        <f t="shared" si="65"/>
        <v>0</v>
      </c>
      <c r="Q310" s="281">
        <f>Discount!$H$36</f>
        <v>0</v>
      </c>
      <c r="R310" s="282">
        <f t="shared" si="66"/>
        <v>0</v>
      </c>
      <c r="S310" s="282">
        <f t="shared" si="67"/>
        <v>0</v>
      </c>
      <c r="T310" s="283">
        <f t="shared" si="68"/>
        <v>0</v>
      </c>
    </row>
    <row r="311" spans="1:20" ht="46.8">
      <c r="A311" s="274">
        <v>127</v>
      </c>
      <c r="B311" s="275">
        <v>7000026628</v>
      </c>
      <c r="C311" s="275">
        <v>1260</v>
      </c>
      <c r="D311" s="275" t="s">
        <v>762</v>
      </c>
      <c r="E311" s="275">
        <v>1000049801</v>
      </c>
      <c r="F311" s="275">
        <v>85359030</v>
      </c>
      <c r="G311" s="285"/>
      <c r="H311" s="275">
        <v>18</v>
      </c>
      <c r="I311" s="277"/>
      <c r="J311" s="278" t="s">
        <v>592</v>
      </c>
      <c r="K311" s="275" t="s">
        <v>297</v>
      </c>
      <c r="L311" s="275">
        <v>1</v>
      </c>
      <c r="M311" s="279"/>
      <c r="N311" s="280" t="str">
        <f t="shared" si="63"/>
        <v>INCLUDED</v>
      </c>
      <c r="O311" s="281">
        <f t="shared" si="64"/>
        <v>0</v>
      </c>
      <c r="P311" s="281">
        <f t="shared" si="65"/>
        <v>0</v>
      </c>
      <c r="Q311" s="281">
        <f>Discount!$H$36</f>
        <v>0</v>
      </c>
      <c r="R311" s="282">
        <f t="shared" si="66"/>
        <v>0</v>
      </c>
      <c r="S311" s="282">
        <f t="shared" si="67"/>
        <v>0</v>
      </c>
      <c r="T311" s="283">
        <f t="shared" si="68"/>
        <v>0</v>
      </c>
    </row>
    <row r="312" spans="1:20" ht="405.6">
      <c r="A312" s="274">
        <v>128</v>
      </c>
      <c r="B312" s="275">
        <v>7000026628</v>
      </c>
      <c r="C312" s="275">
        <v>1270</v>
      </c>
      <c r="D312" s="275" t="s">
        <v>762</v>
      </c>
      <c r="E312" s="275">
        <v>1000058371</v>
      </c>
      <c r="F312" s="275">
        <v>85359030</v>
      </c>
      <c r="G312" s="285"/>
      <c r="H312" s="275">
        <v>18</v>
      </c>
      <c r="I312" s="277"/>
      <c r="J312" s="278" t="s">
        <v>593</v>
      </c>
      <c r="K312" s="275" t="s">
        <v>296</v>
      </c>
      <c r="L312" s="275">
        <v>2</v>
      </c>
      <c r="M312" s="279"/>
      <c r="N312" s="280" t="str">
        <f t="shared" si="63"/>
        <v>INCLUDED</v>
      </c>
      <c r="O312" s="281">
        <f t="shared" si="64"/>
        <v>0</v>
      </c>
      <c r="P312" s="281">
        <f t="shared" si="65"/>
        <v>0</v>
      </c>
      <c r="Q312" s="281">
        <f>Discount!$H$36</f>
        <v>0</v>
      </c>
      <c r="R312" s="282">
        <f t="shared" si="66"/>
        <v>0</v>
      </c>
      <c r="S312" s="282">
        <f t="shared" si="67"/>
        <v>0</v>
      </c>
      <c r="T312" s="283">
        <f t="shared" si="68"/>
        <v>0</v>
      </c>
    </row>
    <row r="313" spans="1:20" ht="265.2">
      <c r="A313" s="274">
        <v>129</v>
      </c>
      <c r="B313" s="275">
        <v>7000026628</v>
      </c>
      <c r="C313" s="275">
        <v>1280</v>
      </c>
      <c r="D313" s="275" t="s">
        <v>762</v>
      </c>
      <c r="E313" s="275">
        <v>1000058282</v>
      </c>
      <c r="F313" s="275">
        <v>85359030</v>
      </c>
      <c r="G313" s="285"/>
      <c r="H313" s="275">
        <v>18</v>
      </c>
      <c r="I313" s="277"/>
      <c r="J313" s="278" t="s">
        <v>594</v>
      </c>
      <c r="K313" s="275" t="s">
        <v>296</v>
      </c>
      <c r="L313" s="275">
        <v>1</v>
      </c>
      <c r="M313" s="279"/>
      <c r="N313" s="280" t="str">
        <f t="shared" si="63"/>
        <v>INCLUDED</v>
      </c>
      <c r="O313" s="281">
        <f t="shared" si="64"/>
        <v>0</v>
      </c>
      <c r="P313" s="281">
        <f t="shared" si="65"/>
        <v>0</v>
      </c>
      <c r="Q313" s="281">
        <f>Discount!$H$36</f>
        <v>0</v>
      </c>
      <c r="R313" s="282">
        <f t="shared" si="66"/>
        <v>0</v>
      </c>
      <c r="S313" s="282">
        <f t="shared" si="67"/>
        <v>0</v>
      </c>
      <c r="T313" s="283">
        <f t="shared" si="68"/>
        <v>0</v>
      </c>
    </row>
    <row r="314" spans="1:20" ht="109.2">
      <c r="A314" s="274">
        <v>130</v>
      </c>
      <c r="B314" s="275">
        <v>7000026628</v>
      </c>
      <c r="C314" s="275">
        <v>1290</v>
      </c>
      <c r="D314" s="275" t="s">
        <v>762</v>
      </c>
      <c r="E314" s="275">
        <v>1000058273</v>
      </c>
      <c r="F314" s="275">
        <v>85359030</v>
      </c>
      <c r="G314" s="285"/>
      <c r="H314" s="275">
        <v>18</v>
      </c>
      <c r="I314" s="277"/>
      <c r="J314" s="278" t="s">
        <v>596</v>
      </c>
      <c r="K314" s="275" t="s">
        <v>297</v>
      </c>
      <c r="L314" s="275">
        <v>1</v>
      </c>
      <c r="M314" s="279"/>
      <c r="N314" s="280" t="str">
        <f t="shared" si="63"/>
        <v>INCLUDED</v>
      </c>
      <c r="O314" s="281">
        <f t="shared" si="64"/>
        <v>0</v>
      </c>
      <c r="P314" s="281">
        <f t="shared" si="65"/>
        <v>0</v>
      </c>
      <c r="Q314" s="281">
        <f>Discount!$H$36</f>
        <v>0</v>
      </c>
      <c r="R314" s="282">
        <f t="shared" si="66"/>
        <v>0</v>
      </c>
      <c r="S314" s="282">
        <f t="shared" si="67"/>
        <v>0</v>
      </c>
      <c r="T314" s="283">
        <f t="shared" si="68"/>
        <v>0</v>
      </c>
    </row>
    <row r="315" spans="1:20" ht="109.2">
      <c r="A315" s="274">
        <v>131</v>
      </c>
      <c r="B315" s="275">
        <v>7000026628</v>
      </c>
      <c r="C315" s="275">
        <v>1300</v>
      </c>
      <c r="D315" s="275" t="s">
        <v>762</v>
      </c>
      <c r="E315" s="275">
        <v>1000058280</v>
      </c>
      <c r="F315" s="275">
        <v>85359030</v>
      </c>
      <c r="G315" s="285"/>
      <c r="H315" s="275">
        <v>18</v>
      </c>
      <c r="I315" s="277"/>
      <c r="J315" s="278" t="s">
        <v>597</v>
      </c>
      <c r="K315" s="275" t="s">
        <v>297</v>
      </c>
      <c r="L315" s="275">
        <v>1</v>
      </c>
      <c r="M315" s="279"/>
      <c r="N315" s="280" t="str">
        <f t="shared" si="63"/>
        <v>INCLUDED</v>
      </c>
      <c r="O315" s="281">
        <f t="shared" si="64"/>
        <v>0</v>
      </c>
      <c r="P315" s="281">
        <f t="shared" si="65"/>
        <v>0</v>
      </c>
      <c r="Q315" s="281">
        <f>Discount!$H$36</f>
        <v>0</v>
      </c>
      <c r="R315" s="282">
        <f t="shared" si="66"/>
        <v>0</v>
      </c>
      <c r="S315" s="282">
        <f t="shared" si="67"/>
        <v>0</v>
      </c>
      <c r="T315" s="283">
        <f t="shared" si="68"/>
        <v>0</v>
      </c>
    </row>
    <row r="316" spans="1:20" ht="31.2">
      <c r="A316" s="274">
        <v>132</v>
      </c>
      <c r="B316" s="275">
        <v>7000026628</v>
      </c>
      <c r="C316" s="275">
        <v>1310</v>
      </c>
      <c r="D316" s="275" t="s">
        <v>762</v>
      </c>
      <c r="E316" s="275">
        <v>1000049773</v>
      </c>
      <c r="F316" s="275">
        <v>85359030</v>
      </c>
      <c r="G316" s="285"/>
      <c r="H316" s="275">
        <v>18</v>
      </c>
      <c r="I316" s="277"/>
      <c r="J316" s="278" t="s">
        <v>599</v>
      </c>
      <c r="K316" s="275" t="s">
        <v>297</v>
      </c>
      <c r="L316" s="275">
        <v>1</v>
      </c>
      <c r="M316" s="279"/>
      <c r="N316" s="280" t="str">
        <f t="shared" si="63"/>
        <v>INCLUDED</v>
      </c>
      <c r="O316" s="281">
        <f t="shared" si="64"/>
        <v>0</v>
      </c>
      <c r="P316" s="281">
        <f t="shared" si="65"/>
        <v>0</v>
      </c>
      <c r="Q316" s="281">
        <f>Discount!$H$36</f>
        <v>0</v>
      </c>
      <c r="R316" s="282">
        <f t="shared" si="66"/>
        <v>0</v>
      </c>
      <c r="S316" s="282">
        <f t="shared" si="67"/>
        <v>0</v>
      </c>
      <c r="T316" s="283">
        <f t="shared" si="68"/>
        <v>0</v>
      </c>
    </row>
    <row r="317" spans="1:20" ht="46.8">
      <c r="A317" s="274">
        <v>133</v>
      </c>
      <c r="B317" s="275">
        <v>7000026628</v>
      </c>
      <c r="C317" s="275">
        <v>1320</v>
      </c>
      <c r="D317" s="275" t="s">
        <v>762</v>
      </c>
      <c r="E317" s="275">
        <v>1000049775</v>
      </c>
      <c r="F317" s="275">
        <v>85359030</v>
      </c>
      <c r="G317" s="285"/>
      <c r="H317" s="275">
        <v>18</v>
      </c>
      <c r="I317" s="277"/>
      <c r="J317" s="278" t="s">
        <v>600</v>
      </c>
      <c r="K317" s="275" t="s">
        <v>297</v>
      </c>
      <c r="L317" s="275">
        <v>1</v>
      </c>
      <c r="M317" s="279"/>
      <c r="N317" s="280" t="str">
        <f t="shared" si="63"/>
        <v>INCLUDED</v>
      </c>
      <c r="O317" s="281">
        <f t="shared" si="64"/>
        <v>0</v>
      </c>
      <c r="P317" s="281">
        <f t="shared" si="65"/>
        <v>0</v>
      </c>
      <c r="Q317" s="281">
        <f>Discount!$H$36</f>
        <v>0</v>
      </c>
      <c r="R317" s="282">
        <f t="shared" si="66"/>
        <v>0</v>
      </c>
      <c r="S317" s="282">
        <f t="shared" si="67"/>
        <v>0</v>
      </c>
      <c r="T317" s="283">
        <f t="shared" si="68"/>
        <v>0</v>
      </c>
    </row>
    <row r="318" spans="1:20" ht="31.2">
      <c r="A318" s="274">
        <v>134</v>
      </c>
      <c r="B318" s="275">
        <v>7000026628</v>
      </c>
      <c r="C318" s="275">
        <v>1330</v>
      </c>
      <c r="D318" s="275" t="s">
        <v>762</v>
      </c>
      <c r="E318" s="275">
        <v>1000058274</v>
      </c>
      <c r="F318" s="275">
        <v>85359030</v>
      </c>
      <c r="G318" s="285"/>
      <c r="H318" s="275">
        <v>18</v>
      </c>
      <c r="I318" s="277"/>
      <c r="J318" s="278" t="s">
        <v>602</v>
      </c>
      <c r="K318" s="275" t="s">
        <v>297</v>
      </c>
      <c r="L318" s="275">
        <v>1</v>
      </c>
      <c r="M318" s="279"/>
      <c r="N318" s="280" t="str">
        <f t="shared" si="63"/>
        <v>INCLUDED</v>
      </c>
      <c r="O318" s="281">
        <f t="shared" si="64"/>
        <v>0</v>
      </c>
      <c r="P318" s="281">
        <f t="shared" si="65"/>
        <v>0</v>
      </c>
      <c r="Q318" s="281">
        <f>Discount!$H$36</f>
        <v>0</v>
      </c>
      <c r="R318" s="282">
        <f t="shared" si="66"/>
        <v>0</v>
      </c>
      <c r="S318" s="282">
        <f t="shared" si="67"/>
        <v>0</v>
      </c>
      <c r="T318" s="283">
        <f t="shared" si="68"/>
        <v>0</v>
      </c>
    </row>
    <row r="319" spans="1:20" ht="31.2">
      <c r="A319" s="274">
        <v>135</v>
      </c>
      <c r="B319" s="275">
        <v>7000026628</v>
      </c>
      <c r="C319" s="275">
        <v>1340</v>
      </c>
      <c r="D319" s="275" t="s">
        <v>762</v>
      </c>
      <c r="E319" s="275">
        <v>1000058281</v>
      </c>
      <c r="F319" s="275">
        <v>85359030</v>
      </c>
      <c r="G319" s="285"/>
      <c r="H319" s="275">
        <v>18</v>
      </c>
      <c r="I319" s="277"/>
      <c r="J319" s="278" t="s">
        <v>603</v>
      </c>
      <c r="K319" s="275" t="s">
        <v>297</v>
      </c>
      <c r="L319" s="275">
        <v>1</v>
      </c>
      <c r="M319" s="279"/>
      <c r="N319" s="280" t="str">
        <f t="shared" si="63"/>
        <v>INCLUDED</v>
      </c>
      <c r="O319" s="281">
        <f t="shared" si="64"/>
        <v>0</v>
      </c>
      <c r="P319" s="281">
        <f t="shared" si="65"/>
        <v>0</v>
      </c>
      <c r="Q319" s="281">
        <f>Discount!$H$36</f>
        <v>0</v>
      </c>
      <c r="R319" s="282">
        <f t="shared" si="66"/>
        <v>0</v>
      </c>
      <c r="S319" s="282">
        <f t="shared" si="67"/>
        <v>0</v>
      </c>
      <c r="T319" s="283">
        <f t="shared" si="68"/>
        <v>0</v>
      </c>
    </row>
    <row r="320" spans="1:20" ht="31.2">
      <c r="A320" s="274">
        <v>136</v>
      </c>
      <c r="B320" s="275">
        <v>7000026628</v>
      </c>
      <c r="C320" s="275">
        <v>1350</v>
      </c>
      <c r="D320" s="275" t="s">
        <v>762</v>
      </c>
      <c r="E320" s="275">
        <v>1000058275</v>
      </c>
      <c r="F320" s="275">
        <v>85359030</v>
      </c>
      <c r="G320" s="285"/>
      <c r="H320" s="275">
        <v>18</v>
      </c>
      <c r="I320" s="277"/>
      <c r="J320" s="278" t="s">
        <v>604</v>
      </c>
      <c r="K320" s="275" t="s">
        <v>296</v>
      </c>
      <c r="L320" s="275">
        <v>1</v>
      </c>
      <c r="M320" s="279"/>
      <c r="N320" s="280" t="str">
        <f t="shared" si="63"/>
        <v>INCLUDED</v>
      </c>
      <c r="O320" s="281">
        <f t="shared" si="64"/>
        <v>0</v>
      </c>
      <c r="P320" s="281">
        <f t="shared" si="65"/>
        <v>0</v>
      </c>
      <c r="Q320" s="281">
        <f>Discount!$H$36</f>
        <v>0</v>
      </c>
      <c r="R320" s="282">
        <f t="shared" si="66"/>
        <v>0</v>
      </c>
      <c r="S320" s="282">
        <f t="shared" si="67"/>
        <v>0</v>
      </c>
      <c r="T320" s="283">
        <f t="shared" si="68"/>
        <v>0</v>
      </c>
    </row>
    <row r="321" spans="1:20" ht="31.2">
      <c r="A321" s="274">
        <v>137</v>
      </c>
      <c r="B321" s="275">
        <v>7000026628</v>
      </c>
      <c r="C321" s="275">
        <v>1360</v>
      </c>
      <c r="D321" s="275" t="s">
        <v>762</v>
      </c>
      <c r="E321" s="275">
        <v>1000058283</v>
      </c>
      <c r="F321" s="275">
        <v>85359030</v>
      </c>
      <c r="G321" s="285"/>
      <c r="H321" s="275">
        <v>18</v>
      </c>
      <c r="I321" s="277"/>
      <c r="J321" s="278" t="s">
        <v>605</v>
      </c>
      <c r="K321" s="275" t="s">
        <v>296</v>
      </c>
      <c r="L321" s="275">
        <v>1</v>
      </c>
      <c r="M321" s="279"/>
      <c r="N321" s="280" t="str">
        <f t="shared" si="63"/>
        <v>INCLUDED</v>
      </c>
      <c r="O321" s="281">
        <f t="shared" si="64"/>
        <v>0</v>
      </c>
      <c r="P321" s="281">
        <f t="shared" si="65"/>
        <v>0</v>
      </c>
      <c r="Q321" s="281">
        <f>Discount!$H$36</f>
        <v>0</v>
      </c>
      <c r="R321" s="282">
        <f t="shared" si="66"/>
        <v>0</v>
      </c>
      <c r="S321" s="282">
        <f t="shared" si="67"/>
        <v>0</v>
      </c>
      <c r="T321" s="283">
        <f t="shared" si="68"/>
        <v>0</v>
      </c>
    </row>
    <row r="322" spans="1:20" ht="46.8">
      <c r="A322" s="274">
        <v>138</v>
      </c>
      <c r="B322" s="275">
        <v>7000026628</v>
      </c>
      <c r="C322" s="275">
        <v>1370</v>
      </c>
      <c r="D322" s="275" t="s">
        <v>762</v>
      </c>
      <c r="E322" s="275">
        <v>1000058294</v>
      </c>
      <c r="F322" s="275">
        <v>85359030</v>
      </c>
      <c r="G322" s="285"/>
      <c r="H322" s="275">
        <v>18</v>
      </c>
      <c r="I322" s="277"/>
      <c r="J322" s="278" t="s">
        <v>607</v>
      </c>
      <c r="K322" s="275" t="s">
        <v>296</v>
      </c>
      <c r="L322" s="275">
        <v>1</v>
      </c>
      <c r="M322" s="279"/>
      <c r="N322" s="280" t="str">
        <f t="shared" si="63"/>
        <v>INCLUDED</v>
      </c>
      <c r="O322" s="281">
        <f t="shared" si="64"/>
        <v>0</v>
      </c>
      <c r="P322" s="281">
        <f t="shared" si="65"/>
        <v>0</v>
      </c>
      <c r="Q322" s="281">
        <f>Discount!$H$36</f>
        <v>0</v>
      </c>
      <c r="R322" s="282">
        <f t="shared" si="66"/>
        <v>0</v>
      </c>
      <c r="S322" s="282">
        <f t="shared" si="67"/>
        <v>0</v>
      </c>
      <c r="T322" s="283">
        <f t="shared" si="68"/>
        <v>0</v>
      </c>
    </row>
    <row r="323" spans="1:20" ht="78">
      <c r="A323" s="274">
        <v>139</v>
      </c>
      <c r="B323" s="275">
        <v>7000026628</v>
      </c>
      <c r="C323" s="275">
        <v>1540</v>
      </c>
      <c r="D323" s="275" t="s">
        <v>763</v>
      </c>
      <c r="E323" s="275">
        <v>1000015954</v>
      </c>
      <c r="F323" s="275">
        <v>73082011</v>
      </c>
      <c r="G323" s="285"/>
      <c r="H323" s="275">
        <v>18</v>
      </c>
      <c r="I323" s="277"/>
      <c r="J323" s="278" t="s">
        <v>608</v>
      </c>
      <c r="K323" s="275" t="s">
        <v>295</v>
      </c>
      <c r="L323" s="275">
        <v>13</v>
      </c>
      <c r="M323" s="279"/>
      <c r="N323" s="280" t="str">
        <f t="shared" si="63"/>
        <v>INCLUDED</v>
      </c>
      <c r="O323" s="281">
        <f t="shared" si="64"/>
        <v>0</v>
      </c>
      <c r="P323" s="281">
        <f t="shared" si="65"/>
        <v>0</v>
      </c>
      <c r="Q323" s="281">
        <f>Discount!$H$36</f>
        <v>0</v>
      </c>
      <c r="R323" s="282">
        <f t="shared" si="66"/>
        <v>0</v>
      </c>
      <c r="S323" s="282">
        <f t="shared" si="67"/>
        <v>0</v>
      </c>
      <c r="T323" s="283">
        <f t="shared" si="68"/>
        <v>0</v>
      </c>
    </row>
    <row r="324" spans="1:20" ht="46.8">
      <c r="A324" s="274">
        <v>140</v>
      </c>
      <c r="B324" s="275">
        <v>7000026628</v>
      </c>
      <c r="C324" s="275">
        <v>1550</v>
      </c>
      <c r="D324" s="275" t="s">
        <v>763</v>
      </c>
      <c r="E324" s="275">
        <v>1000011713</v>
      </c>
      <c r="F324" s="275">
        <v>73082011</v>
      </c>
      <c r="G324" s="285"/>
      <c r="H324" s="275">
        <v>18</v>
      </c>
      <c r="I324" s="277"/>
      <c r="J324" s="278" t="s">
        <v>609</v>
      </c>
      <c r="K324" s="275" t="s">
        <v>295</v>
      </c>
      <c r="L324" s="275">
        <v>0.5</v>
      </c>
      <c r="M324" s="279"/>
      <c r="N324" s="280" t="str">
        <f t="shared" si="63"/>
        <v>INCLUDED</v>
      </c>
      <c r="O324" s="281">
        <f t="shared" si="64"/>
        <v>0</v>
      </c>
      <c r="P324" s="281">
        <f t="shared" si="65"/>
        <v>0</v>
      </c>
      <c r="Q324" s="281">
        <f>Discount!$H$36</f>
        <v>0</v>
      </c>
      <c r="R324" s="282">
        <f t="shared" si="66"/>
        <v>0</v>
      </c>
      <c r="S324" s="282">
        <f t="shared" si="67"/>
        <v>0</v>
      </c>
      <c r="T324" s="283">
        <f t="shared" si="68"/>
        <v>0</v>
      </c>
    </row>
    <row r="325" spans="1:20" ht="46.8">
      <c r="A325" s="274">
        <v>141</v>
      </c>
      <c r="B325" s="275">
        <v>7000026628</v>
      </c>
      <c r="C325" s="275">
        <v>1560</v>
      </c>
      <c r="D325" s="275" t="s">
        <v>763</v>
      </c>
      <c r="E325" s="275">
        <v>1000012373</v>
      </c>
      <c r="F325" s="275">
        <v>73082011</v>
      </c>
      <c r="G325" s="285"/>
      <c r="H325" s="275">
        <v>18</v>
      </c>
      <c r="I325" s="277"/>
      <c r="J325" s="278" t="s">
        <v>610</v>
      </c>
      <c r="K325" s="275" t="s">
        <v>295</v>
      </c>
      <c r="L325" s="275">
        <v>1.1000000000000001</v>
      </c>
      <c r="M325" s="279"/>
      <c r="N325" s="280" t="str">
        <f t="shared" si="63"/>
        <v>INCLUDED</v>
      </c>
      <c r="O325" s="281">
        <f t="shared" si="64"/>
        <v>0</v>
      </c>
      <c r="P325" s="281">
        <f t="shared" si="65"/>
        <v>0</v>
      </c>
      <c r="Q325" s="281">
        <f>Discount!$H$36</f>
        <v>0</v>
      </c>
      <c r="R325" s="282">
        <f t="shared" si="66"/>
        <v>0</v>
      </c>
      <c r="S325" s="282">
        <f t="shared" si="67"/>
        <v>0</v>
      </c>
      <c r="T325" s="283">
        <f t="shared" si="68"/>
        <v>0</v>
      </c>
    </row>
    <row r="326" spans="1:20" ht="31.2">
      <c r="A326" s="274">
        <v>142</v>
      </c>
      <c r="B326" s="275">
        <v>7000026628</v>
      </c>
      <c r="C326" s="275">
        <v>1570</v>
      </c>
      <c r="D326" s="275" t="s">
        <v>763</v>
      </c>
      <c r="E326" s="275">
        <v>1000015952</v>
      </c>
      <c r="F326" s="275">
        <v>73082011</v>
      </c>
      <c r="G326" s="285"/>
      <c r="H326" s="275">
        <v>18</v>
      </c>
      <c r="I326" s="277"/>
      <c r="J326" s="278" t="s">
        <v>611</v>
      </c>
      <c r="K326" s="275" t="s">
        <v>295</v>
      </c>
      <c r="L326" s="275">
        <v>4.0999999999999996</v>
      </c>
      <c r="M326" s="279"/>
      <c r="N326" s="280" t="str">
        <f t="shared" si="43"/>
        <v>INCLUDED</v>
      </c>
      <c r="O326" s="281">
        <f t="shared" si="45"/>
        <v>0</v>
      </c>
      <c r="P326" s="281">
        <f t="shared" ref="P326" si="69">IF( I326="",H326*(IF(N326="Included",0,N326))/100,I326*(IF(N326="Included",0,N326)))</f>
        <v>0</v>
      </c>
      <c r="Q326" s="281">
        <f>Discount!$H$36</f>
        <v>0</v>
      </c>
      <c r="R326" s="282">
        <f t="shared" si="47"/>
        <v>0</v>
      </c>
      <c r="S326" s="282">
        <f t="shared" si="48"/>
        <v>0</v>
      </c>
      <c r="T326" s="283">
        <f t="shared" si="44"/>
        <v>0</v>
      </c>
    </row>
    <row r="327" spans="1:20">
      <c r="A327" s="823" t="s">
        <v>500</v>
      </c>
      <c r="B327" s="823"/>
      <c r="C327" s="823"/>
      <c r="D327" s="823"/>
      <c r="E327" s="823"/>
      <c r="F327" s="823"/>
      <c r="G327" s="823"/>
      <c r="H327" s="823"/>
      <c r="I327" s="823"/>
      <c r="J327" s="823"/>
      <c r="K327" s="823"/>
      <c r="L327" s="823"/>
      <c r="M327" s="823"/>
      <c r="N327" s="293">
        <f>SUM(N18:N326)</f>
        <v>0</v>
      </c>
      <c r="O327" s="294"/>
      <c r="P327" s="295">
        <f>SUM(P18:P326)</f>
        <v>0</v>
      </c>
      <c r="Q327" s="296"/>
      <c r="R327" s="297">
        <f>SUM(R18:R326)</f>
        <v>0</v>
      </c>
      <c r="S327" s="298">
        <f>SUM(S18:S326)</f>
        <v>0</v>
      </c>
      <c r="T327" s="283">
        <f>SUM(T18:T326)</f>
        <v>0</v>
      </c>
    </row>
    <row r="328" spans="1:20">
      <c r="A328" s="823" t="s">
        <v>267</v>
      </c>
      <c r="B328" s="823"/>
      <c r="C328" s="823"/>
      <c r="D328" s="823"/>
      <c r="E328" s="823"/>
      <c r="F328" s="823"/>
      <c r="G328" s="823"/>
      <c r="H328" s="823"/>
      <c r="I328" s="823"/>
      <c r="J328" s="823"/>
      <c r="K328" s="823"/>
      <c r="L328" s="823"/>
      <c r="M328" s="823"/>
      <c r="N328" s="293">
        <f>'Sch-7'!M18</f>
        <v>0</v>
      </c>
      <c r="Q328" s="299"/>
      <c r="R328" s="299"/>
      <c r="S328" s="299"/>
    </row>
    <row r="329" spans="1:20">
      <c r="A329" s="823" t="s">
        <v>468</v>
      </c>
      <c r="B329" s="823"/>
      <c r="C329" s="823"/>
      <c r="D329" s="823"/>
      <c r="E329" s="823"/>
      <c r="F329" s="823"/>
      <c r="G329" s="823"/>
      <c r="H329" s="823"/>
      <c r="I329" s="823"/>
      <c r="J329" s="823"/>
      <c r="K329" s="823"/>
      <c r="L329" s="823"/>
      <c r="M329" s="823"/>
      <c r="N329" s="293">
        <f>N327+N328</f>
        <v>0</v>
      </c>
      <c r="Q329" s="299"/>
      <c r="R329" s="299"/>
      <c r="S329" s="299"/>
    </row>
    <row r="330" spans="1:20">
      <c r="B330" s="825" t="s">
        <v>309</v>
      </c>
      <c r="C330" s="825"/>
      <c r="D330" s="825"/>
      <c r="E330" s="825"/>
      <c r="F330" s="825"/>
      <c r="G330" s="825"/>
      <c r="H330" s="825"/>
      <c r="I330" s="825"/>
      <c r="J330" s="825"/>
      <c r="K330" s="825"/>
      <c r="L330" s="825"/>
      <c r="M330" s="825"/>
      <c r="N330" s="825"/>
      <c r="Q330" s="299"/>
      <c r="R330" s="299"/>
      <c r="S330" s="299"/>
    </row>
    <row r="331" spans="1:20">
      <c r="H331" s="241"/>
      <c r="O331" s="299"/>
      <c r="P331" s="299"/>
      <c r="Q331" s="299"/>
      <c r="R331" s="299"/>
      <c r="S331" s="299"/>
    </row>
    <row r="332" spans="1:20">
      <c r="B332" s="241" t="s">
        <v>313</v>
      </c>
      <c r="C332" s="827" t="str">
        <f>'Names of Bidder'!D27&amp;" "&amp;'Names of Bidder'!E27&amp;" "&amp;'Names of Bidder'!F27</f>
        <v xml:space="preserve">  </v>
      </c>
      <c r="D332" s="824"/>
      <c r="H332" s="241"/>
      <c r="I332" s="301"/>
      <c r="J332" s="302" t="s">
        <v>315</v>
      </c>
      <c r="K332" s="826" t="str">
        <f>IF('Names of Bidder'!D24="","",'Names of Bidder'!D24)</f>
        <v/>
      </c>
      <c r="L332" s="826"/>
      <c r="M332" s="826"/>
      <c r="N332" s="826"/>
      <c r="O332" s="299"/>
      <c r="P332" s="299"/>
      <c r="Q332" s="299"/>
      <c r="R332" s="299"/>
      <c r="S332" s="299"/>
    </row>
    <row r="333" spans="1:20">
      <c r="B333" s="241" t="s">
        <v>314</v>
      </c>
      <c r="C333" s="824" t="str">
        <f>IF('Names of Bidder'!D28="","",'Names of Bidder'!D28)</f>
        <v/>
      </c>
      <c r="D333" s="824"/>
      <c r="H333" s="241"/>
      <c r="I333" s="301"/>
      <c r="J333" s="302" t="s">
        <v>123</v>
      </c>
      <c r="K333" s="826" t="str">
        <f>IF('Names of Bidder'!D25="","",'Names of Bidder'!D25)</f>
        <v/>
      </c>
      <c r="L333" s="826"/>
      <c r="M333" s="826"/>
      <c r="N333" s="826"/>
      <c r="O333" s="299"/>
      <c r="P333" s="299"/>
      <c r="Q333" s="299"/>
      <c r="R333" s="299"/>
      <c r="S333" s="299"/>
    </row>
    <row r="334" spans="1:20">
      <c r="H334" s="241"/>
      <c r="O334" s="299"/>
      <c r="P334" s="299"/>
      <c r="Q334" s="299"/>
      <c r="R334" s="299"/>
      <c r="S334" s="299"/>
    </row>
    <row r="335" spans="1:20">
      <c r="G335" s="300"/>
      <c r="H335" s="300"/>
      <c r="I335" s="300"/>
    </row>
    <row r="336" spans="1:20">
      <c r="G336" s="300"/>
      <c r="H336" s="300"/>
      <c r="I336" s="300"/>
    </row>
    <row r="337" spans="7:9">
      <c r="G337" s="300"/>
      <c r="H337" s="300"/>
      <c r="I337" s="300"/>
    </row>
    <row r="338" spans="7:9">
      <c r="G338" s="300"/>
      <c r="H338" s="300"/>
      <c r="I338" s="300"/>
    </row>
    <row r="339" spans="7:9">
      <c r="G339" s="300"/>
      <c r="H339" s="300"/>
      <c r="I339" s="300"/>
    </row>
    <row r="340" spans="7:9">
      <c r="G340" s="300"/>
      <c r="H340" s="300"/>
      <c r="I340" s="300"/>
    </row>
    <row r="341" spans="7:9">
      <c r="G341" s="300"/>
      <c r="H341" s="300"/>
      <c r="I341" s="300"/>
    </row>
    <row r="342" spans="7:9">
      <c r="G342" s="300"/>
      <c r="H342" s="300"/>
      <c r="I342" s="300"/>
    </row>
    <row r="343" spans="7:9">
      <c r="G343" s="300"/>
      <c r="H343" s="300"/>
      <c r="I343" s="300"/>
    </row>
    <row r="344" spans="7:9">
      <c r="G344" s="300"/>
      <c r="H344" s="300"/>
      <c r="I344" s="300"/>
    </row>
    <row r="345" spans="7:9">
      <c r="G345" s="300"/>
      <c r="H345" s="300"/>
      <c r="I345" s="300"/>
    </row>
    <row r="346" spans="7:9">
      <c r="G346" s="300"/>
      <c r="H346" s="300"/>
      <c r="I346" s="300"/>
    </row>
    <row r="347" spans="7:9">
      <c r="G347" s="300"/>
      <c r="H347" s="300"/>
      <c r="I347" s="300"/>
    </row>
    <row r="348" spans="7:9">
      <c r="G348" s="300"/>
      <c r="H348" s="300"/>
      <c r="I348" s="300"/>
    </row>
    <row r="349" spans="7:9">
      <c r="G349" s="300"/>
      <c r="H349" s="300"/>
      <c r="I349" s="300"/>
    </row>
    <row r="350" spans="7:9">
      <c r="G350" s="300"/>
      <c r="H350" s="300"/>
      <c r="I350" s="300"/>
    </row>
    <row r="351" spans="7:9">
      <c r="G351" s="300"/>
      <c r="H351" s="300"/>
      <c r="I351" s="300"/>
    </row>
    <row r="352" spans="7:9">
      <c r="G352" s="300"/>
      <c r="H352" s="300"/>
      <c r="I352" s="300"/>
    </row>
    <row r="353" spans="7:9">
      <c r="G353" s="300"/>
      <c r="H353" s="300"/>
      <c r="I353" s="300"/>
    </row>
    <row r="354" spans="7:9">
      <c r="G354" s="300"/>
      <c r="H354" s="300"/>
      <c r="I354" s="300"/>
    </row>
    <row r="355" spans="7:9">
      <c r="G355" s="300"/>
      <c r="H355" s="300"/>
      <c r="I355" s="300"/>
    </row>
    <row r="356" spans="7:9">
      <c r="G356" s="300"/>
      <c r="H356" s="300"/>
      <c r="I356" s="300"/>
    </row>
    <row r="357" spans="7:9">
      <c r="G357" s="300"/>
      <c r="H357" s="300"/>
      <c r="I357" s="300"/>
    </row>
    <row r="358" spans="7:9">
      <c r="G358" s="300"/>
      <c r="H358" s="300"/>
      <c r="I358" s="300"/>
    </row>
    <row r="359" spans="7:9">
      <c r="G359" s="300"/>
      <c r="H359" s="300"/>
      <c r="I359" s="300"/>
    </row>
    <row r="360" spans="7:9">
      <c r="G360" s="300"/>
      <c r="H360" s="300"/>
      <c r="I360" s="300"/>
    </row>
    <row r="361" spans="7:9">
      <c r="G361" s="300"/>
      <c r="H361" s="300"/>
      <c r="I361" s="300"/>
    </row>
    <row r="362" spans="7:9">
      <c r="G362" s="300"/>
      <c r="H362" s="300"/>
      <c r="I362" s="300"/>
    </row>
    <row r="363" spans="7:9">
      <c r="G363" s="300"/>
      <c r="H363" s="300"/>
      <c r="I363" s="300"/>
    </row>
    <row r="364" spans="7:9">
      <c r="G364" s="300"/>
      <c r="H364" s="300"/>
      <c r="I364" s="300"/>
    </row>
    <row r="365" spans="7:9">
      <c r="G365" s="300"/>
      <c r="H365" s="300"/>
      <c r="I365" s="300"/>
    </row>
    <row r="366" spans="7:9">
      <c r="G366" s="300"/>
      <c r="H366" s="300"/>
      <c r="I366" s="300"/>
    </row>
  </sheetData>
  <sheetProtection algorithmName="SHA-512" hashValue="oWnZffSF9SfoF3mB2bad4/n8XYCIaDKhPEx7dCGgYfIJMX1mXRUtLFaOh6ShXlewnRoDVdbAho2fe/c1Pf6NQw==" saltValue="8wsrbGZlXLjDTa1OcnQPbA==" spinCount="100000" sheet="1" formatColumns="0" formatRows="0" selectLockedCells="1"/>
  <customSheetViews>
    <customSheetView guid="{B85D7887-A299-45C0-BD97-6C28577A6A5C}" scale="70" showPageBreaks="1" printArea="1" hiddenColumns="1" view="pageBreakPreview" topLeftCell="A247">
      <selection activeCell="G257" sqref="G257"/>
      <pageMargins left="0.25" right="0.25" top="0.75" bottom="0.5" header="0.3" footer="0.5"/>
      <printOptions horizontalCentered="1"/>
      <pageSetup paperSize="9" scale="57" orientation="landscape" r:id="rId1"/>
      <headerFooter>
        <oddHeader>&amp;RSchedule-1
Page &amp;P of &amp;N</oddHeader>
      </headerFooter>
    </customSheetView>
    <customSheetView guid="{CA9345C4-09FE-4F27-BFD9-3D9BCD2DED09}" scale="70" showPageBreaks="1" printArea="1" hiddenColumns="1" view="pageBreakPreview" topLeftCell="A281">
      <selection activeCell="G290" sqref="G290"/>
      <pageMargins left="0.25" right="0.25" top="0.75" bottom="0.5" header="0.3" footer="0.5"/>
      <printOptions horizontalCentered="1"/>
      <pageSetup paperSize="9" scale="57" orientation="landscape" r:id="rId2"/>
      <headerFooter>
        <oddHeader>&amp;RSchedule-1
Page &amp;P of &amp;N</oddHeader>
      </headerFooter>
    </customSheetView>
    <customSheetView guid="{7AB1F867-F01E-4EB9-A93D-DDCFDB9AA444}" scale="85" showPageBreaks="1" printArea="1" hiddenColumns="1" view="pageBreakPreview" topLeftCell="A124">
      <selection activeCell="G126" sqref="G126"/>
      <pageMargins left="0.25" right="0.25" top="0.75" bottom="0.5" header="0.3" footer="0.5"/>
      <printOptions horizontalCentered="1"/>
      <pageSetup paperSize="9" scale="57" orientation="landscape" r:id="rId3"/>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4"/>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
Page &amp;P of &amp;N</oddHeader>
      </headerFooter>
    </customSheetView>
    <customSheetView guid="{497EA202-A8B8-45C5-9E6C-C3CD104F3979}" scale="80" showPageBreaks="1" printArea="1" hiddenColumns="1" view="pageBreakPreview">
      <selection activeCell="G18" sqref="G18"/>
      <pageMargins left="0.25" right="0.25" top="0.75" bottom="0.5" header="0.3" footer="0.5"/>
      <printOptions horizontalCentered="1"/>
      <pageSetup paperSize="9" scale="57" orientation="landscape" r:id="rId8"/>
      <headerFooter>
        <oddHeader>&amp;RSchedule-1
Page &amp;P of &amp;N</oddHeader>
      </headerFooter>
    </customSheetView>
    <customSheetView guid="{63D51328-7CBC-4A1E-B96D-BAE91416501B}" scale="80" showPageBreaks="1" printArea="1" hiddenColumns="1" view="pageBreakPreview">
      <selection activeCell="M26" sqref="M26"/>
      <pageMargins left="0.25" right="0.25" top="0.75" bottom="0.5" header="0.3" footer="0.5"/>
      <printOptions horizontalCentered="1"/>
      <pageSetup paperSize="9" scale="57" orientation="landscape" r:id="rId9"/>
      <headerFooter>
        <oddHeader>&amp;RSchedule-1
Page &amp;P of &amp;N</oddHeader>
      </headerFooter>
    </customSheetView>
    <customSheetView guid="{D5521983-A70D-48A3-9506-C0263CBBC57D}" scale="85" showPageBreaks="1" printArea="1" hiddenColumns="1" view="pageBreakPreview" topLeftCell="A124">
      <selection activeCell="G126" sqref="G126"/>
      <pageMargins left="0.25" right="0.25" top="0.75" bottom="0.5" header="0.3" footer="0.5"/>
      <printOptions horizontalCentered="1"/>
      <pageSetup paperSize="9" scale="57" orientation="landscape" r:id="rId10"/>
      <headerFooter>
        <oddHeader>&amp;RSchedule-1
Page &amp;P of &amp;N</oddHeader>
      </headerFooter>
    </customSheetView>
    <customSheetView guid="{12A89170-4F84-482D-A3C5-7890082E7B73}" scale="85" showPageBreaks="1" printArea="1" hiddenColumns="1" view="pageBreakPreview" topLeftCell="A18">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CCA37BAE-906F-43D5-9FD9-B13563E4B9D7}" scale="70" showPageBreaks="1" printArea="1" hiddenColumns="1" view="pageBreakPreview">
      <selection activeCell="G257" sqref="G257"/>
      <pageMargins left="0.25" right="0.25" top="0.75" bottom="0.5" header="0.3" footer="0.5"/>
      <printOptions horizontalCentered="1"/>
      <pageSetup paperSize="9" scale="57" orientation="landscape" r:id="rId12"/>
      <headerFooter>
        <oddHeader>&amp;RSchedule-1
Page &amp;P of &amp;N</oddHeader>
      </headerFooter>
    </customSheetView>
  </customSheetViews>
  <mergeCells count="22">
    <mergeCell ref="Z10:AL10"/>
    <mergeCell ref="Z8:AL8"/>
    <mergeCell ref="Z9:AL9"/>
    <mergeCell ref="A327:M327"/>
    <mergeCell ref="C333:D333"/>
    <mergeCell ref="B330:N330"/>
    <mergeCell ref="K333:N333"/>
    <mergeCell ref="K332:N332"/>
    <mergeCell ref="A328:M328"/>
    <mergeCell ref="A329:M329"/>
    <mergeCell ref="C332:D332"/>
    <mergeCell ref="A3:N3"/>
    <mergeCell ref="A4:N4"/>
    <mergeCell ref="A6:B6"/>
    <mergeCell ref="A8:G8"/>
    <mergeCell ref="K14:N14"/>
    <mergeCell ref="C12:G12"/>
    <mergeCell ref="C10:G10"/>
    <mergeCell ref="C9:G9"/>
    <mergeCell ref="A7:I7"/>
    <mergeCell ref="A13:N13"/>
    <mergeCell ref="C11:G11"/>
  </mergeCells>
  <conditionalFormatting sqref="I18:I183 I185:I326">
    <cfRule type="expression" dxfId="6" priority="1" stopIfTrue="1">
      <formula>H18&gt;0</formula>
    </cfRule>
  </conditionalFormatting>
  <dataValidations count="3">
    <dataValidation type="list" operator="greaterThan" allowBlank="1" showInputMessage="1" showErrorMessage="1" sqref="I18:I183 I185:I326" xr:uid="{00000000-0002-0000-0400-000000000000}">
      <formula1>"0%,5%,12%,18%,28%"</formula1>
    </dataValidation>
    <dataValidation type="whole" operator="greaterThan" allowBlank="1" showInputMessage="1" showErrorMessage="1" sqref="G18:G183 G185:G326" xr:uid="{00000000-0002-0000-0400-000001000000}">
      <formula1>0</formula1>
    </dataValidation>
    <dataValidation type="decimal" operator="greaterThanOrEqual" allowBlank="1" showInputMessage="1" showErrorMessage="1" sqref="M18:M183 M185:M326" xr:uid="{00000000-0002-0000-0400-000002000000}">
      <formula1>0</formula1>
    </dataValidation>
  </dataValidations>
  <printOptions horizontalCentered="1"/>
  <pageMargins left="0.25" right="0.25" top="0.75" bottom="0.5" header="0.3" footer="0.5"/>
  <pageSetup paperSize="9" scale="56" fitToHeight="0" orientation="landscape" r:id="rId13"/>
  <headerFooter>
    <oddHeader>&amp;RSchedule-1
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22"/>
  <sheetViews>
    <sheetView view="pageBreakPreview" topLeftCell="A18" zoomScale="80" zoomScaleNormal="100" zoomScaleSheetLayoutView="80" workbookViewId="0">
      <selection activeCell="I18" sqref="I18"/>
    </sheetView>
  </sheetViews>
  <sheetFormatPr defaultColWidth="9.109375" defaultRowHeight="15.6"/>
  <cols>
    <col min="1" max="1" width="6.109375" style="312" customWidth="1"/>
    <col min="2" max="2" width="15" style="312" customWidth="1"/>
    <col min="3" max="3" width="11.33203125" style="312" customWidth="1"/>
    <col min="4" max="4" width="23.88671875" style="312" customWidth="1"/>
    <col min="5" max="5" width="20.33203125" style="312" customWidth="1"/>
    <col min="6" max="6" width="62" style="313" customWidth="1"/>
    <col min="7" max="7" width="11.33203125" style="312" customWidth="1"/>
    <col min="8" max="8" width="11" style="312" customWidth="1"/>
    <col min="9" max="9" width="18.88671875" style="314" customWidth="1"/>
    <col min="10" max="10" width="25.88671875" style="312" customWidth="1"/>
    <col min="11" max="13" width="10.33203125" style="307" customWidth="1"/>
    <col min="14" max="14" width="9.109375" style="307" customWidth="1"/>
    <col min="15" max="28" width="9.109375" style="307"/>
    <col min="29" max="16384" width="9.109375" style="308"/>
  </cols>
  <sheetData>
    <row r="1" spans="1:32" ht="36" customHeight="1">
      <c r="A1" s="303" t="str">
        <f>Basic!B5</f>
        <v>Spec. No.:CC/NT/W-GIS/DOM/A04/24/01196</v>
      </c>
      <c r="B1" s="303"/>
      <c r="C1" s="303"/>
      <c r="D1" s="304"/>
      <c r="E1" s="304"/>
      <c r="F1" s="304"/>
      <c r="G1" s="238"/>
      <c r="H1" s="238"/>
      <c r="I1" s="305"/>
      <c r="J1" s="306" t="s">
        <v>533</v>
      </c>
    </row>
    <row r="2" spans="1:32" ht="21.75" customHeight="1">
      <c r="A2" s="309"/>
      <c r="B2" s="309"/>
      <c r="C2" s="309"/>
      <c r="D2" s="309"/>
      <c r="E2" s="309"/>
      <c r="F2" s="309"/>
      <c r="G2" s="243"/>
      <c r="H2" s="243"/>
      <c r="I2" s="308"/>
      <c r="J2" s="243"/>
    </row>
    <row r="3" spans="1:32" ht="61.2" customHeight="1">
      <c r="A3" s="814"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14"/>
      <c r="C3" s="814"/>
      <c r="D3" s="814"/>
      <c r="E3" s="814"/>
      <c r="F3" s="814"/>
      <c r="G3" s="814"/>
      <c r="H3" s="814"/>
      <c r="I3" s="814"/>
      <c r="J3" s="814"/>
      <c r="K3" s="310"/>
      <c r="N3" s="828"/>
      <c r="O3" s="828"/>
      <c r="AC3" s="307"/>
      <c r="AD3" s="307"/>
      <c r="AE3" s="307"/>
      <c r="AF3" s="307"/>
    </row>
    <row r="4" spans="1:32" ht="21.9" customHeight="1">
      <c r="A4" s="829" t="s">
        <v>0</v>
      </c>
      <c r="B4" s="829"/>
      <c r="C4" s="829"/>
      <c r="D4" s="829"/>
      <c r="E4" s="829"/>
      <c r="F4" s="829"/>
      <c r="G4" s="829"/>
      <c r="H4" s="829"/>
      <c r="I4" s="829"/>
      <c r="J4" s="829"/>
    </row>
    <row r="5" spans="1:32" ht="15" customHeight="1">
      <c r="J5" s="243"/>
    </row>
    <row r="6" spans="1:32" ht="22.5" customHeight="1">
      <c r="A6" s="816" t="s">
        <v>346</v>
      </c>
      <c r="B6" s="816"/>
      <c r="C6" s="242"/>
      <c r="D6" s="243"/>
      <c r="E6" s="242"/>
      <c r="F6" s="242"/>
      <c r="G6" s="242"/>
      <c r="H6" s="242"/>
      <c r="I6" s="242"/>
      <c r="J6" s="243"/>
    </row>
    <row r="7" spans="1:32" ht="25.5" customHeight="1">
      <c r="A7" s="820">
        <f>'Sch-1'!A7</f>
        <v>0</v>
      </c>
      <c r="B7" s="820"/>
      <c r="C7" s="820"/>
      <c r="D7" s="820"/>
      <c r="E7" s="820"/>
      <c r="F7" s="820"/>
      <c r="G7" s="315"/>
      <c r="H7" s="247" t="s">
        <v>1</v>
      </c>
      <c r="I7" s="315"/>
      <c r="J7" s="243"/>
    </row>
    <row r="8" spans="1:32" ht="29.25" customHeight="1">
      <c r="A8" s="817" t="str">
        <f>"Bidder’s Name and Address  (" &amp; MID('Names of Bidder'!B9,9, 20) &amp; ") :"</f>
        <v>Bidder’s Name and Address  (Sole Bidder) :</v>
      </c>
      <c r="B8" s="817"/>
      <c r="C8" s="817"/>
      <c r="D8" s="817"/>
      <c r="E8" s="817"/>
      <c r="F8" s="817"/>
      <c r="G8" s="817"/>
      <c r="H8" s="251" t="s">
        <v>2</v>
      </c>
      <c r="I8" s="250"/>
      <c r="J8" s="243"/>
    </row>
    <row r="9" spans="1:32" ht="26.25" customHeight="1">
      <c r="A9" s="245" t="s">
        <v>12</v>
      </c>
      <c r="B9" s="248"/>
      <c r="C9" s="820" t="str">
        <f>IF('Names of Bidder'!D9=0, "", 'Names of Bidder'!D9)</f>
        <v/>
      </c>
      <c r="D9" s="820"/>
      <c r="E9" s="820"/>
      <c r="F9" s="316"/>
      <c r="G9" s="316"/>
      <c r="H9" s="251" t="s">
        <v>3</v>
      </c>
      <c r="I9" s="254"/>
      <c r="J9" s="243"/>
    </row>
    <row r="10" spans="1:32" ht="17.25" customHeight="1">
      <c r="A10" s="245" t="s">
        <v>11</v>
      </c>
      <c r="B10" s="248"/>
      <c r="C10" s="819" t="str">
        <f>IF('Names of Bidder'!D10=0, "", 'Names of Bidder'!D10)</f>
        <v/>
      </c>
      <c r="D10" s="819"/>
      <c r="E10" s="819"/>
      <c r="F10" s="316"/>
      <c r="G10" s="316"/>
      <c r="H10" s="251" t="s">
        <v>4</v>
      </c>
      <c r="I10" s="254"/>
      <c r="J10" s="243"/>
    </row>
    <row r="11" spans="1:32" ht="18" customHeight="1">
      <c r="A11" s="254"/>
      <c r="B11" s="254"/>
      <c r="C11" s="819" t="str">
        <f>IF('Names of Bidder'!D11=0, "", 'Names of Bidder'!D11)</f>
        <v/>
      </c>
      <c r="D11" s="819"/>
      <c r="E11" s="819"/>
      <c r="F11" s="316"/>
      <c r="G11" s="316"/>
      <c r="H11" s="251" t="s">
        <v>5</v>
      </c>
      <c r="I11" s="254"/>
      <c r="J11" s="243"/>
    </row>
    <row r="12" spans="1:32" ht="18" customHeight="1">
      <c r="A12" s="254"/>
      <c r="B12" s="254"/>
      <c r="C12" s="819" t="str">
        <f>IF('Names of Bidder'!D12=0, "", 'Names of Bidder'!D12)</f>
        <v/>
      </c>
      <c r="D12" s="819"/>
      <c r="E12" s="819"/>
      <c r="F12" s="316"/>
      <c r="G12" s="316"/>
      <c r="H12" s="251" t="s">
        <v>6</v>
      </c>
      <c r="I12" s="254"/>
      <c r="J12" s="243"/>
    </row>
    <row r="13" spans="1:32" s="250" customFormat="1" ht="26.4" customHeight="1">
      <c r="A13" s="833" t="s">
        <v>359</v>
      </c>
      <c r="B13" s="833"/>
      <c r="C13" s="833"/>
      <c r="D13" s="833"/>
      <c r="E13" s="833"/>
      <c r="F13" s="833"/>
      <c r="G13" s="833"/>
      <c r="H13" s="833"/>
      <c r="I13" s="833"/>
      <c r="J13" s="833"/>
      <c r="K13" s="317"/>
      <c r="L13" s="317"/>
      <c r="M13" s="317"/>
      <c r="N13" s="317"/>
      <c r="O13" s="317"/>
      <c r="P13" s="317"/>
      <c r="Q13" s="317"/>
      <c r="R13" s="317"/>
      <c r="S13" s="317"/>
      <c r="T13" s="317"/>
      <c r="U13" s="317"/>
      <c r="V13" s="317"/>
      <c r="W13" s="317"/>
      <c r="X13" s="317"/>
      <c r="Y13" s="317"/>
      <c r="Z13" s="317"/>
      <c r="AA13" s="317"/>
      <c r="AB13" s="317"/>
    </row>
    <row r="14" spans="1:32" ht="20.25" customHeight="1" thickBot="1">
      <c r="A14" s="318"/>
      <c r="B14" s="318"/>
      <c r="C14" s="318"/>
      <c r="D14" s="318"/>
      <c r="E14" s="318"/>
      <c r="F14" s="319"/>
      <c r="G14" s="320"/>
      <c r="H14" s="320"/>
      <c r="I14" s="832" t="s">
        <v>350</v>
      </c>
      <c r="J14" s="832"/>
    </row>
    <row r="15" spans="1:32" ht="102" customHeight="1">
      <c r="A15" s="321" t="s">
        <v>7</v>
      </c>
      <c r="B15" s="322" t="s">
        <v>262</v>
      </c>
      <c r="C15" s="322" t="s">
        <v>274</v>
      </c>
      <c r="D15" s="322" t="s">
        <v>276</v>
      </c>
      <c r="E15" s="322" t="s">
        <v>13</v>
      </c>
      <c r="F15" s="323" t="s">
        <v>14</v>
      </c>
      <c r="G15" s="323" t="s">
        <v>9</v>
      </c>
      <c r="H15" s="323" t="s">
        <v>15</v>
      </c>
      <c r="I15" s="323" t="s">
        <v>358</v>
      </c>
      <c r="J15" s="324" t="s">
        <v>357</v>
      </c>
    </row>
    <row r="16" spans="1:32" s="326" customFormat="1">
      <c r="A16" s="262">
        <v>1</v>
      </c>
      <c r="B16" s="262">
        <v>2</v>
      </c>
      <c r="C16" s="262">
        <v>3</v>
      </c>
      <c r="D16" s="262">
        <v>4</v>
      </c>
      <c r="E16" s="262">
        <v>5</v>
      </c>
      <c r="F16" s="262">
        <v>6</v>
      </c>
      <c r="G16" s="262">
        <v>7</v>
      </c>
      <c r="H16" s="262">
        <v>8</v>
      </c>
      <c r="I16" s="262">
        <v>9</v>
      </c>
      <c r="J16" s="262" t="s">
        <v>351</v>
      </c>
      <c r="K16" s="325"/>
      <c r="L16" s="325"/>
      <c r="M16" s="325"/>
      <c r="N16" s="325"/>
      <c r="O16" s="325"/>
      <c r="P16" s="325"/>
      <c r="Q16" s="325"/>
      <c r="R16" s="325"/>
      <c r="S16" s="325"/>
      <c r="T16" s="325"/>
      <c r="U16" s="325"/>
      <c r="V16" s="325"/>
      <c r="W16" s="325"/>
      <c r="X16" s="325"/>
      <c r="Y16" s="325"/>
      <c r="Z16" s="325"/>
      <c r="AA16" s="325"/>
      <c r="AB16" s="325"/>
    </row>
    <row r="17" spans="1:28" s="330" customFormat="1" ht="18">
      <c r="A17" s="327" t="str">
        <f>+'Sch-1'!A17</f>
        <v>I</v>
      </c>
      <c r="B17" s="267" t="str">
        <f>+'Sch-1'!B17</f>
        <v xml:space="preserve">SS-123:Extn. of 400/220kV Rajarhat GIS  </v>
      </c>
      <c r="C17" s="327"/>
      <c r="D17" s="327"/>
      <c r="E17" s="327"/>
      <c r="F17" s="327"/>
      <c r="G17" s="327"/>
      <c r="H17" s="327"/>
      <c r="I17" s="328"/>
      <c r="J17" s="327"/>
      <c r="K17" s="329"/>
      <c r="L17" s="329"/>
      <c r="M17" s="329"/>
      <c r="N17" s="329"/>
      <c r="O17" s="329"/>
      <c r="P17" s="329"/>
      <c r="Q17" s="329"/>
      <c r="R17" s="329"/>
      <c r="S17" s="329"/>
      <c r="T17" s="329"/>
      <c r="U17" s="329"/>
      <c r="V17" s="329"/>
      <c r="W17" s="329"/>
      <c r="X17" s="329"/>
      <c r="Y17" s="329"/>
      <c r="Z17" s="329"/>
      <c r="AA17" s="329"/>
      <c r="AB17" s="329"/>
    </row>
    <row r="18" spans="1:28">
      <c r="A18" s="331">
        <f>'Sch-1'!A18</f>
        <v>1</v>
      </c>
      <c r="B18" s="275">
        <f>'Sch-1'!B18</f>
        <v>7000026407</v>
      </c>
      <c r="C18" s="275">
        <f>'Sch-1'!C18</f>
        <v>10</v>
      </c>
      <c r="D18" s="275" t="str">
        <f>'Sch-1'!D18</f>
        <v xml:space="preserve">AIS EQUIPMENT                           </v>
      </c>
      <c r="E18" s="275">
        <f>'Sch-1'!E18</f>
        <v>1000004401</v>
      </c>
      <c r="F18" s="278" t="str">
        <f>'Sch-1'!J18</f>
        <v>420 kV, 1 phase Bus Post Insulator (except for Line Traps)</v>
      </c>
      <c r="G18" s="275" t="str">
        <f>'Sch-1'!K18</f>
        <v xml:space="preserve">EA </v>
      </c>
      <c r="H18" s="275">
        <f>'Sch-1'!L18</f>
        <v>3</v>
      </c>
      <c r="I18" s="279"/>
      <c r="J18" s="280" t="str">
        <f t="shared" ref="J18:J103" si="0">IF(I18=0, "INCLUDED", IF(ISERROR(I18*H18), I18, I18*H18))</f>
        <v>INCLUDED</v>
      </c>
    </row>
    <row r="19" spans="1:28">
      <c r="A19" s="331">
        <f>'Sch-1'!A19</f>
        <v>2</v>
      </c>
      <c r="B19" s="275">
        <f>'Sch-1'!B19</f>
        <v>7000026407</v>
      </c>
      <c r="C19" s="275">
        <f>'Sch-1'!C19</f>
        <v>1800</v>
      </c>
      <c r="D19" s="275" t="str">
        <f>'Sch-1'!D19</f>
        <v xml:space="preserve">AIS EQUIPMENT                           </v>
      </c>
      <c r="E19" s="275">
        <f>'Sch-1'!E19</f>
        <v>1000020419</v>
      </c>
      <c r="F19" s="278" t="str">
        <f>'Sch-1'!J19</f>
        <v>336kV Surge Arrester (1-phase)</v>
      </c>
      <c r="G19" s="275" t="str">
        <f>'Sch-1'!K19</f>
        <v xml:space="preserve">EA </v>
      </c>
      <c r="H19" s="275">
        <f>'Sch-1'!L19</f>
        <v>3</v>
      </c>
      <c r="I19" s="279"/>
      <c r="J19" s="280" t="str">
        <f t="shared" si="0"/>
        <v>INCLUDED</v>
      </c>
    </row>
    <row r="20" spans="1:28">
      <c r="A20" s="331">
        <f>'Sch-1'!A20</f>
        <v>3</v>
      </c>
      <c r="B20" s="275">
        <f>'Sch-1'!B20</f>
        <v>7000026407</v>
      </c>
      <c r="C20" s="275">
        <f>'Sch-1'!C20</f>
        <v>20</v>
      </c>
      <c r="D20" s="275" t="str">
        <f>'Sch-1'!D20</f>
        <v xml:space="preserve">AIS EQUIPMENT                           </v>
      </c>
      <c r="E20" s="275">
        <f>'Sch-1'!E20</f>
        <v>1000020417</v>
      </c>
      <c r="F20" s="278" t="str">
        <f>'Sch-1'!J20</f>
        <v>216kV Surge Arrester (1-phase)</v>
      </c>
      <c r="G20" s="275" t="str">
        <f>'Sch-1'!K20</f>
        <v xml:space="preserve">EA </v>
      </c>
      <c r="H20" s="275">
        <f>'Sch-1'!L20</f>
        <v>3</v>
      </c>
      <c r="I20" s="279"/>
      <c r="J20" s="280" t="str">
        <f t="shared" si="0"/>
        <v>INCLUDED</v>
      </c>
    </row>
    <row r="21" spans="1:28">
      <c r="A21" s="331">
        <f>'Sch-1'!A21</f>
        <v>4</v>
      </c>
      <c r="B21" s="275">
        <f>'Sch-1'!B21</f>
        <v>7000026407</v>
      </c>
      <c r="C21" s="275">
        <f>'Sch-1'!C21</f>
        <v>30</v>
      </c>
      <c r="D21" s="275" t="str">
        <f>'Sch-1'!D21</f>
        <v xml:space="preserve">AIS EQUIPMENT                           </v>
      </c>
      <c r="E21" s="275">
        <f>'Sch-1'!E21</f>
        <v>1000001695</v>
      </c>
      <c r="F21" s="278" t="str">
        <f>'Sch-1'!J21</f>
        <v>245 kV, 1 phase Bus Post Insulator (except for Line Traps)</v>
      </c>
      <c r="G21" s="275" t="str">
        <f>'Sch-1'!K21</f>
        <v xml:space="preserve">EA </v>
      </c>
      <c r="H21" s="275">
        <f>'Sch-1'!L21</f>
        <v>3</v>
      </c>
      <c r="I21" s="279"/>
      <c r="J21" s="280" t="str">
        <f t="shared" si="0"/>
        <v>INCLUDED</v>
      </c>
    </row>
    <row r="22" spans="1:28" ht="31.2">
      <c r="A22" s="331">
        <f>'Sch-1'!A22</f>
        <v>5</v>
      </c>
      <c r="B22" s="275">
        <f>'Sch-1'!B22</f>
        <v>7000026407</v>
      </c>
      <c r="C22" s="275">
        <f>'Sch-1'!C22</f>
        <v>40</v>
      </c>
      <c r="D22" s="275" t="str">
        <f>'Sch-1'!D22</f>
        <v xml:space="preserve">220KV GIS EQUIPMENT                     </v>
      </c>
      <c r="E22" s="275">
        <f>'Sch-1'!E22</f>
        <v>1000001690</v>
      </c>
      <c r="F22" s="278" t="str">
        <f>'Sch-1'!J22</f>
        <v>245kV, 1600 A, 50 kA, SF6 GIS ICT feederbay module as per Section-Project,Technical specification</v>
      </c>
      <c r="G22" s="275" t="str">
        <f>'Sch-1'!K22</f>
        <v>SET</v>
      </c>
      <c r="H22" s="275">
        <f>'Sch-1'!L22</f>
        <v>1</v>
      </c>
      <c r="I22" s="279"/>
      <c r="J22" s="280" t="str">
        <f t="shared" si="0"/>
        <v>INCLUDED</v>
      </c>
    </row>
    <row r="23" spans="1:28" ht="31.2">
      <c r="A23" s="331">
        <f>'Sch-1'!A23</f>
        <v>6</v>
      </c>
      <c r="B23" s="275">
        <f>'Sch-1'!B23</f>
        <v>7000026407</v>
      </c>
      <c r="C23" s="275">
        <f>'Sch-1'!C23</f>
        <v>50</v>
      </c>
      <c r="D23" s="275" t="str">
        <f>'Sch-1'!D23</f>
        <v xml:space="preserve">220KV GIS EQUIPMENT                     </v>
      </c>
      <c r="E23" s="275">
        <f>'Sch-1'!E23</f>
        <v>1000029503</v>
      </c>
      <c r="F23" s="278" t="str">
        <f>'Sch-1'!J23</f>
        <v>245kV, 1600A, 50kA Single phase SF6 to Air Bushing</v>
      </c>
      <c r="G23" s="275" t="str">
        <f>'Sch-1'!K23</f>
        <v xml:space="preserve">EA </v>
      </c>
      <c r="H23" s="275">
        <f>'Sch-1'!L23</f>
        <v>3</v>
      </c>
      <c r="I23" s="279"/>
      <c r="J23" s="280" t="str">
        <f t="shared" si="0"/>
        <v>INCLUDED</v>
      </c>
    </row>
    <row r="24" spans="1:28" ht="31.2">
      <c r="A24" s="331">
        <f>'Sch-1'!A24</f>
        <v>7</v>
      </c>
      <c r="B24" s="275">
        <f>'Sch-1'!B24</f>
        <v>7000026407</v>
      </c>
      <c r="C24" s="275">
        <f>'Sch-1'!C24</f>
        <v>60</v>
      </c>
      <c r="D24" s="275" t="str">
        <f>'Sch-1'!D24</f>
        <v xml:space="preserve">220KV GIS EQUIPMENT                     </v>
      </c>
      <c r="E24" s="275">
        <f>'Sch-1'!E24</f>
        <v>1000032784</v>
      </c>
      <c r="F24" s="278" t="str">
        <f>'Sch-1'!J24</f>
        <v>245 KV,3000 A, 50 KA SF6 GIS BUS BAR MODULE EXTENSION AS PERSECTION-PROJECT, TECHNICAL SPECIFICATION</v>
      </c>
      <c r="G24" s="275" t="str">
        <f>'Sch-1'!K24</f>
        <v>SET</v>
      </c>
      <c r="H24" s="275">
        <f>'Sch-1'!L24</f>
        <v>2</v>
      </c>
      <c r="I24" s="279"/>
      <c r="J24" s="280" t="str">
        <f t="shared" si="0"/>
        <v>INCLUDED</v>
      </c>
    </row>
    <row r="25" spans="1:28" ht="62.4">
      <c r="A25" s="331">
        <f>'Sch-1'!A25</f>
        <v>8</v>
      </c>
      <c r="B25" s="275">
        <f>'Sch-1'!B25</f>
        <v>7000026407</v>
      </c>
      <c r="C25" s="275">
        <f>'Sch-1'!C25</f>
        <v>70</v>
      </c>
      <c r="D25" s="275" t="str">
        <f>'Sch-1'!D25</f>
        <v xml:space="preserve">220KV GIS EQUIPMENT                     </v>
      </c>
      <c r="E25" s="275">
        <f>'Sch-1'!E25</f>
        <v>1000061111</v>
      </c>
      <c r="F25" s="278" t="str">
        <f>'Sch-1'!J25</f>
        <v>245KV,1600A, 50KA, SINGLE PHASE, SF6 GAS INSULATED BUS DUCT (GIB)OUTSIDE GIS HALL ALONGWITH ASSOCIATED SUPPORT STRUCTURE ETC. AS PERTECHNICAL SPECIFICATION</v>
      </c>
      <c r="G25" s="275" t="str">
        <f>'Sch-1'!K25</f>
        <v xml:space="preserve">M  </v>
      </c>
      <c r="H25" s="275">
        <f>'Sch-1'!L25</f>
        <v>300</v>
      </c>
      <c r="I25" s="279"/>
      <c r="J25" s="280" t="str">
        <f t="shared" si="0"/>
        <v>INCLUDED</v>
      </c>
    </row>
    <row r="26" spans="1:28" ht="46.8">
      <c r="A26" s="331">
        <f>'Sch-1'!A26</f>
        <v>9</v>
      </c>
      <c r="B26" s="275">
        <f>'Sch-1'!B26</f>
        <v>7000026407</v>
      </c>
      <c r="C26" s="275">
        <f>'Sch-1'!C26</f>
        <v>90</v>
      </c>
      <c r="D26" s="275" t="str">
        <f>'Sch-1'!D26</f>
        <v xml:space="preserve">400KV GIS EQUIPMENT                     </v>
      </c>
      <c r="E26" s="275">
        <f>'Sch-1'!E26</f>
        <v>1000004287</v>
      </c>
      <c r="F26" s="278" t="str">
        <f>'Sch-1'!J26</f>
        <v>420kV, 3000A, 63kA, Single phase, SF6Gas Insulated Bus Duct (GIB) outsideGIS Hall alongwith associated supportstructure</v>
      </c>
      <c r="G26" s="275" t="str">
        <f>'Sch-1'!K26</f>
        <v xml:space="preserve">M  </v>
      </c>
      <c r="H26" s="275">
        <f>'Sch-1'!L26</f>
        <v>650</v>
      </c>
      <c r="I26" s="279"/>
      <c r="J26" s="280" t="str">
        <f t="shared" si="0"/>
        <v>INCLUDED</v>
      </c>
    </row>
    <row r="27" spans="1:28" ht="31.2">
      <c r="A27" s="331">
        <f>'Sch-1'!A27</f>
        <v>10</v>
      </c>
      <c r="B27" s="275">
        <f>'Sch-1'!B27</f>
        <v>7000026407</v>
      </c>
      <c r="C27" s="275">
        <f>'Sch-1'!C27</f>
        <v>100</v>
      </c>
      <c r="D27" s="275" t="str">
        <f>'Sch-1'!D27</f>
        <v xml:space="preserve">400KV GIS EQUIPMENT                     </v>
      </c>
      <c r="E27" s="275">
        <f>'Sch-1'!E27</f>
        <v>1000032699</v>
      </c>
      <c r="F27" s="278" t="str">
        <f>'Sch-1'!J27</f>
        <v>3150A, 63KA, 1SEC SINGLE PHASE 420KV SF6 TO AIR BUSHING</v>
      </c>
      <c r="G27" s="275" t="str">
        <f>'Sch-1'!K27</f>
        <v xml:space="preserve">EA </v>
      </c>
      <c r="H27" s="275">
        <f>'Sch-1'!L27</f>
        <v>3</v>
      </c>
      <c r="I27" s="279"/>
      <c r="J27" s="280" t="str">
        <f t="shared" si="0"/>
        <v>INCLUDED</v>
      </c>
    </row>
    <row r="28" spans="1:28" ht="31.2">
      <c r="A28" s="331">
        <f>'Sch-1'!A28</f>
        <v>11</v>
      </c>
      <c r="B28" s="275">
        <f>'Sch-1'!B28</f>
        <v>7000026407</v>
      </c>
      <c r="C28" s="275">
        <f>'Sch-1'!C28</f>
        <v>110</v>
      </c>
      <c r="D28" s="275" t="str">
        <f>'Sch-1'!D28</f>
        <v xml:space="preserve">400KV GIS EQUIPMENT                     </v>
      </c>
      <c r="E28" s="275">
        <f>'Sch-1'!E28</f>
        <v>1000004637</v>
      </c>
      <c r="F28" s="278" t="str">
        <f>'Sch-1'!J28</f>
        <v>420kV, 3150 A, 63 kA, SF6 GIS ICT feederbay module as per Section-Project,Technical specification</v>
      </c>
      <c r="G28" s="275" t="str">
        <f>'Sch-1'!K28</f>
        <v>SET</v>
      </c>
      <c r="H28" s="275">
        <f>'Sch-1'!L28</f>
        <v>1</v>
      </c>
      <c r="I28" s="279"/>
      <c r="J28" s="280" t="str">
        <f t="shared" si="0"/>
        <v>INCLUDED</v>
      </c>
    </row>
    <row r="29" spans="1:28" ht="31.2">
      <c r="A29" s="331">
        <f>'Sch-1'!A29</f>
        <v>12</v>
      </c>
      <c r="B29" s="275">
        <f>'Sch-1'!B29</f>
        <v>7000026407</v>
      </c>
      <c r="C29" s="275">
        <f>'Sch-1'!C29</f>
        <v>120</v>
      </c>
      <c r="D29" s="275" t="str">
        <f>'Sch-1'!D29</f>
        <v xml:space="preserve">400KV GIS EQUIPMENT                     </v>
      </c>
      <c r="E29" s="275">
        <f>'Sch-1'!E29</f>
        <v>1000004635</v>
      </c>
      <c r="F29" s="278" t="str">
        <f>'Sch-1'!J29</f>
        <v>420kV, 3150 A, 63 kA, SF6 GIS Tie baymodule(with PIR) as perSection-Project, Technicalspecification</v>
      </c>
      <c r="G29" s="275" t="str">
        <f>'Sch-1'!K29</f>
        <v>SET</v>
      </c>
      <c r="H29" s="275">
        <f>'Sch-1'!L29</f>
        <v>1</v>
      </c>
      <c r="I29" s="279"/>
      <c r="J29" s="280" t="str">
        <f t="shared" si="0"/>
        <v>INCLUDED</v>
      </c>
    </row>
    <row r="30" spans="1:28" ht="46.8">
      <c r="A30" s="331">
        <f>'Sch-1'!A30</f>
        <v>13</v>
      </c>
      <c r="B30" s="275">
        <f>'Sch-1'!B30</f>
        <v>7000026407</v>
      </c>
      <c r="C30" s="275">
        <f>'Sch-1'!C30</f>
        <v>130</v>
      </c>
      <c r="D30" s="275" t="str">
        <f>'Sch-1'!D30</f>
        <v xml:space="preserve">400KV GIS EQUIPMENT                     </v>
      </c>
      <c r="E30" s="275">
        <f>'Sch-1'!E30</f>
        <v>1000034097</v>
      </c>
      <c r="F30" s="278" t="str">
        <f>'Sch-1'!J30</f>
        <v>420KV, 3150A, 63KA GIS FUTURE LINE FEEDER BAY MODULE (WITH PIR) AS PERSECTION PROJECT, TECHNICAL SPECIFICATION</v>
      </c>
      <c r="G30" s="275" t="str">
        <f>'Sch-1'!K30</f>
        <v>SET</v>
      </c>
      <c r="H30" s="275">
        <f>'Sch-1'!L30</f>
        <v>1</v>
      </c>
      <c r="I30" s="279"/>
      <c r="J30" s="280" t="str">
        <f t="shared" si="0"/>
        <v>INCLUDED</v>
      </c>
    </row>
    <row r="31" spans="1:28" ht="31.2">
      <c r="A31" s="331">
        <f>'Sch-1'!A31</f>
        <v>14</v>
      </c>
      <c r="B31" s="275">
        <f>'Sch-1'!B31</f>
        <v>7000026407</v>
      </c>
      <c r="C31" s="275">
        <f>'Sch-1'!C31</f>
        <v>140</v>
      </c>
      <c r="D31" s="275" t="str">
        <f>'Sch-1'!D31</f>
        <v xml:space="preserve">400KV GIS EQUIPMENT                     </v>
      </c>
      <c r="E31" s="275">
        <f>'Sch-1'!E31</f>
        <v>1000032802</v>
      </c>
      <c r="F31" s="278" t="str">
        <f>'Sch-1'!J31</f>
        <v>420KV, 4000A,63KA GIS BUSBAR MODULE EXTENSION</v>
      </c>
      <c r="G31" s="275" t="str">
        <f>'Sch-1'!K31</f>
        <v>SET</v>
      </c>
      <c r="H31" s="275">
        <f>'Sch-1'!L31</f>
        <v>2</v>
      </c>
      <c r="I31" s="279"/>
      <c r="J31" s="280" t="str">
        <f t="shared" si="0"/>
        <v>INCLUDED</v>
      </c>
    </row>
    <row r="32" spans="1:28">
      <c r="A32" s="331">
        <f>'Sch-1'!A32</f>
        <v>15</v>
      </c>
      <c r="B32" s="275">
        <f>'Sch-1'!B32</f>
        <v>7000026407</v>
      </c>
      <c r="C32" s="275">
        <f>'Sch-1'!C32</f>
        <v>160</v>
      </c>
      <c r="D32" s="275" t="str">
        <f>'Sch-1'!D32</f>
        <v xml:space="preserve">CRP                                     </v>
      </c>
      <c r="E32" s="275">
        <f>'Sch-1'!E32</f>
        <v>1000055446</v>
      </c>
      <c r="F32" s="278" t="str">
        <f>'Sch-1'!J32</f>
        <v>400KV CIRCUIT BREAKER RELAY PANEL (WITH AUTOMATION)</v>
      </c>
      <c r="G32" s="275" t="str">
        <f>'Sch-1'!K32</f>
        <v xml:space="preserve">EA </v>
      </c>
      <c r="H32" s="275">
        <f>'Sch-1'!L32</f>
        <v>3</v>
      </c>
      <c r="I32" s="279"/>
      <c r="J32" s="280" t="str">
        <f t="shared" si="0"/>
        <v>INCLUDED</v>
      </c>
    </row>
    <row r="33" spans="1:10" ht="31.2">
      <c r="A33" s="331">
        <f>'Sch-1'!A33</f>
        <v>16</v>
      </c>
      <c r="B33" s="275">
        <f>'Sch-1'!B33</f>
        <v>7000026407</v>
      </c>
      <c r="C33" s="275">
        <f>'Sch-1'!C33</f>
        <v>170</v>
      </c>
      <c r="D33" s="275" t="str">
        <f>'Sch-1'!D33</f>
        <v xml:space="preserve">CRP                                     </v>
      </c>
      <c r="E33" s="275">
        <f>'Sch-1'!E33</f>
        <v>1000002146</v>
      </c>
      <c r="F33" s="278" t="str">
        <f>'Sch-1'!J33</f>
        <v>Augmentation of existing 400kV bus bar protection scheme.(No. of baysas per specification)-(with Automation)</v>
      </c>
      <c r="G33" s="275" t="str">
        <f>'Sch-1'!K33</f>
        <v>SET</v>
      </c>
      <c r="H33" s="275">
        <f>'Sch-1'!L33</f>
        <v>1</v>
      </c>
      <c r="I33" s="279"/>
      <c r="J33" s="280" t="str">
        <f t="shared" si="0"/>
        <v>INCLUDED</v>
      </c>
    </row>
    <row r="34" spans="1:10">
      <c r="A34" s="331">
        <f>'Sch-1'!A34</f>
        <v>17</v>
      </c>
      <c r="B34" s="275">
        <f>'Sch-1'!B34</f>
        <v>7000026407</v>
      </c>
      <c r="C34" s="275">
        <f>'Sch-1'!C34</f>
        <v>180</v>
      </c>
      <c r="D34" s="275" t="str">
        <f>'Sch-1'!D34</f>
        <v xml:space="preserve">CRP                                     </v>
      </c>
      <c r="E34" s="275">
        <f>'Sch-1'!E34</f>
        <v>1000025391</v>
      </c>
      <c r="F34" s="278" t="str">
        <f>'Sch-1'!J34</f>
        <v>Relay Test kit</v>
      </c>
      <c r="G34" s="275" t="str">
        <f>'Sch-1'!K34</f>
        <v xml:space="preserve">EA </v>
      </c>
      <c r="H34" s="275">
        <f>'Sch-1'!L34</f>
        <v>1</v>
      </c>
      <c r="I34" s="279"/>
      <c r="J34" s="280" t="str">
        <f t="shared" si="0"/>
        <v>INCLUDED</v>
      </c>
    </row>
    <row r="35" spans="1:10" ht="31.2">
      <c r="A35" s="331">
        <f>'Sch-1'!A35</f>
        <v>18</v>
      </c>
      <c r="B35" s="275">
        <f>'Sch-1'!B35</f>
        <v>7000026407</v>
      </c>
      <c r="C35" s="275">
        <f>'Sch-1'!C35</f>
        <v>190</v>
      </c>
      <c r="D35" s="275" t="str">
        <f>'Sch-1'!D35</f>
        <v xml:space="preserve">CRP                                     </v>
      </c>
      <c r="E35" s="275">
        <f>'Sch-1'!E35</f>
        <v>1000004274</v>
      </c>
      <c r="F35" s="278" t="str">
        <f>'Sch-1'!J35</f>
        <v>400kV Transformer Protection Panel (For both HV &amp; MV side)-(withAutomation)</v>
      </c>
      <c r="G35" s="275" t="str">
        <f>'Sch-1'!K35</f>
        <v xml:space="preserve">EA </v>
      </c>
      <c r="H35" s="275">
        <f>'Sch-1'!L35</f>
        <v>1</v>
      </c>
      <c r="I35" s="279"/>
      <c r="J35" s="280" t="str">
        <f t="shared" si="0"/>
        <v>INCLUDED</v>
      </c>
    </row>
    <row r="36" spans="1:10">
      <c r="A36" s="331">
        <f>'Sch-1'!A36</f>
        <v>19</v>
      </c>
      <c r="B36" s="275">
        <f>'Sch-1'!B36</f>
        <v>7000026407</v>
      </c>
      <c r="C36" s="275">
        <f>'Sch-1'!C36</f>
        <v>200</v>
      </c>
      <c r="D36" s="275" t="str">
        <f>'Sch-1'!D36</f>
        <v xml:space="preserve">CRP                                     </v>
      </c>
      <c r="E36" s="275">
        <f>'Sch-1'!E36</f>
        <v>1000055443</v>
      </c>
      <c r="F36" s="278" t="str">
        <f>'Sch-1'!J36</f>
        <v>220KV CIRCUIT BREAKER RELAY PANEL (WITH AUTOMATION)</v>
      </c>
      <c r="G36" s="275" t="str">
        <f>'Sch-1'!K36</f>
        <v xml:space="preserve">EA </v>
      </c>
      <c r="H36" s="275">
        <f>'Sch-1'!L36</f>
        <v>1</v>
      </c>
      <c r="I36" s="279"/>
      <c r="J36" s="280" t="str">
        <f t="shared" si="0"/>
        <v>INCLUDED</v>
      </c>
    </row>
    <row r="37" spans="1:10" ht="31.2">
      <c r="A37" s="331">
        <f>'Sch-1'!A37</f>
        <v>20</v>
      </c>
      <c r="B37" s="275">
        <f>'Sch-1'!B37</f>
        <v>7000026407</v>
      </c>
      <c r="C37" s="275">
        <f>'Sch-1'!C37</f>
        <v>210</v>
      </c>
      <c r="D37" s="275" t="str">
        <f>'Sch-1'!D37</f>
        <v xml:space="preserve">CRP                                     </v>
      </c>
      <c r="E37" s="275">
        <f>'Sch-1'!E37</f>
        <v>1000001167</v>
      </c>
      <c r="F37" s="278" t="str">
        <f>'Sch-1'!J37</f>
        <v>Augmentation of existing 220kV bus bar protection scheme.(No. of baysas per specification)-(with Automation)</v>
      </c>
      <c r="G37" s="275" t="str">
        <f>'Sch-1'!K37</f>
        <v>SET</v>
      </c>
      <c r="H37" s="275">
        <f>'Sch-1'!L37</f>
        <v>1</v>
      </c>
      <c r="I37" s="279"/>
      <c r="J37" s="280" t="str">
        <f t="shared" si="0"/>
        <v>INCLUDED</v>
      </c>
    </row>
    <row r="38" spans="1:10" ht="31.2">
      <c r="A38" s="331">
        <f>'Sch-1'!A38</f>
        <v>21</v>
      </c>
      <c r="B38" s="275">
        <f>'Sch-1'!B38</f>
        <v>7000026407</v>
      </c>
      <c r="C38" s="275">
        <f>'Sch-1'!C38</f>
        <v>1450</v>
      </c>
      <c r="D38" s="275" t="str">
        <f>'Sch-1'!D38</f>
        <v xml:space="preserve">AUG of SAS                              </v>
      </c>
      <c r="E38" s="275">
        <f>'Sch-1'!E38</f>
        <v>1000001333</v>
      </c>
      <c r="F38" s="278" t="str">
        <f>'Sch-1'!J38</f>
        <v>Augmentation of Substation automation System for 220kV bay as perTechnical Specification</v>
      </c>
      <c r="G38" s="275" t="str">
        <f>'Sch-1'!K38</f>
        <v xml:space="preserve">EA </v>
      </c>
      <c r="H38" s="275">
        <f>'Sch-1'!L38</f>
        <v>1</v>
      </c>
      <c r="I38" s="279"/>
      <c r="J38" s="280" t="str">
        <f t="shared" si="0"/>
        <v>INCLUDED</v>
      </c>
    </row>
    <row r="39" spans="1:10" ht="31.2">
      <c r="A39" s="331">
        <f>'Sch-1'!A39</f>
        <v>22</v>
      </c>
      <c r="B39" s="275">
        <f>'Sch-1'!B39</f>
        <v>7000026407</v>
      </c>
      <c r="C39" s="275">
        <f>'Sch-1'!C39</f>
        <v>1460</v>
      </c>
      <c r="D39" s="275" t="str">
        <f>'Sch-1'!D39</f>
        <v xml:space="preserve">AUG of SAS                              </v>
      </c>
      <c r="E39" s="275">
        <f>'Sch-1'!E39</f>
        <v>1000003409</v>
      </c>
      <c r="F39" s="278" t="str">
        <f>'Sch-1'!J39</f>
        <v>Augmentation of Substation automation System for 400kV Main bay as perTechnical Specification</v>
      </c>
      <c r="G39" s="275" t="str">
        <f>'Sch-1'!K39</f>
        <v xml:space="preserve">EA </v>
      </c>
      <c r="H39" s="275">
        <f>'Sch-1'!L39</f>
        <v>2</v>
      </c>
      <c r="I39" s="279"/>
      <c r="J39" s="280" t="str">
        <f t="shared" si="0"/>
        <v>INCLUDED</v>
      </c>
    </row>
    <row r="40" spans="1:10" ht="31.2">
      <c r="A40" s="331">
        <f>'Sch-1'!A40</f>
        <v>23</v>
      </c>
      <c r="B40" s="275">
        <f>'Sch-1'!B40</f>
        <v>7000026407</v>
      </c>
      <c r="C40" s="275">
        <f>'Sch-1'!C40</f>
        <v>1470</v>
      </c>
      <c r="D40" s="275" t="str">
        <f>'Sch-1'!D40</f>
        <v xml:space="preserve">AUG of SAS                              </v>
      </c>
      <c r="E40" s="275">
        <f>'Sch-1'!E40</f>
        <v>1000003411</v>
      </c>
      <c r="F40" s="278" t="str">
        <f>'Sch-1'!J40</f>
        <v>Augmentation of Substation automation System for 400kV Tie bay as perTechnical Specification</v>
      </c>
      <c r="G40" s="275" t="str">
        <f>'Sch-1'!K40</f>
        <v xml:space="preserve">EA </v>
      </c>
      <c r="H40" s="275">
        <f>'Sch-1'!L40</f>
        <v>1</v>
      </c>
      <c r="I40" s="279"/>
      <c r="J40" s="280" t="str">
        <f t="shared" si="0"/>
        <v>INCLUDED</v>
      </c>
    </row>
    <row r="41" spans="1:10" ht="46.8">
      <c r="A41" s="331">
        <f>'Sch-1'!A41</f>
        <v>24</v>
      </c>
      <c r="B41" s="275">
        <f>'Sch-1'!B41</f>
        <v>7000026407</v>
      </c>
      <c r="C41" s="275">
        <f>'Sch-1'!C41</f>
        <v>1480</v>
      </c>
      <c r="D41" s="275" t="str">
        <f>'Sch-1'!D41</f>
        <v xml:space="preserve">ERECTION HARDWARE                       </v>
      </c>
      <c r="E41" s="275">
        <f>'Sch-1'!E41</f>
        <v>1000011334</v>
      </c>
      <c r="F41" s="278" t="str">
        <f>'Sch-1'!J41</f>
        <v>Erection Hardware for 400kV I type layout for GIS terminationarrangement-Transformer bay as per technical specification</v>
      </c>
      <c r="G41" s="275" t="str">
        <f>'Sch-1'!K41</f>
        <v>SET</v>
      </c>
      <c r="H41" s="275">
        <f>'Sch-1'!L41</f>
        <v>1</v>
      </c>
      <c r="I41" s="279"/>
      <c r="J41" s="280" t="str">
        <f t="shared" si="0"/>
        <v>INCLUDED</v>
      </c>
    </row>
    <row r="42" spans="1:10" ht="46.8">
      <c r="A42" s="331">
        <f>'Sch-1'!A42</f>
        <v>25</v>
      </c>
      <c r="B42" s="275">
        <f>'Sch-1'!B42</f>
        <v>7000026407</v>
      </c>
      <c r="C42" s="275">
        <f>'Sch-1'!C42</f>
        <v>1490</v>
      </c>
      <c r="D42" s="275" t="str">
        <f>'Sch-1'!D42</f>
        <v xml:space="preserve">ERECTION HARDWARE                       </v>
      </c>
      <c r="E42" s="275">
        <f>'Sch-1'!E42</f>
        <v>1000011252</v>
      </c>
      <c r="F42" s="278" t="str">
        <f>'Sch-1'!J42</f>
        <v>Erection Hardware for 220kV DM-type layout for GIS terminationarrangement-Transformer bay as per technical specification</v>
      </c>
      <c r="G42" s="275" t="str">
        <f>'Sch-1'!K42</f>
        <v>SET</v>
      </c>
      <c r="H42" s="275">
        <f>'Sch-1'!L42</f>
        <v>1</v>
      </c>
      <c r="I42" s="279"/>
      <c r="J42" s="280" t="str">
        <f t="shared" si="0"/>
        <v>INCLUDED</v>
      </c>
    </row>
    <row r="43" spans="1:10" ht="31.2">
      <c r="A43" s="331">
        <f>'Sch-1'!A43</f>
        <v>26</v>
      </c>
      <c r="B43" s="275">
        <f>'Sch-1'!B43</f>
        <v>7000026407</v>
      </c>
      <c r="C43" s="275">
        <f>'Sch-1'!C43</f>
        <v>250</v>
      </c>
      <c r="D43" s="275" t="str">
        <f>'Sch-1'!D43</f>
        <v xml:space="preserve">ILLUMINTAION                            </v>
      </c>
      <c r="E43" s="275">
        <f>'Sch-1'!E43</f>
        <v>1000004952</v>
      </c>
      <c r="F43" s="278" t="str">
        <f>'Sch-1'!J43</f>
        <v>63A, 415V : Interlocked switch socket outdoor Receptacle (type RP) asper technical specifications</v>
      </c>
      <c r="G43" s="275" t="str">
        <f>'Sch-1'!K43</f>
        <v xml:space="preserve">EA </v>
      </c>
      <c r="H43" s="275">
        <f>'Sch-1'!L43</f>
        <v>1</v>
      </c>
      <c r="I43" s="279"/>
      <c r="J43" s="280" t="str">
        <f t="shared" si="0"/>
        <v>INCLUDED</v>
      </c>
    </row>
    <row r="44" spans="1:10" ht="31.2">
      <c r="A44" s="331">
        <f>'Sch-1'!A44</f>
        <v>27</v>
      </c>
      <c r="B44" s="275">
        <f>'Sch-1'!B44</f>
        <v>7000026407</v>
      </c>
      <c r="C44" s="275">
        <f>'Sch-1'!C44</f>
        <v>260</v>
      </c>
      <c r="D44" s="275" t="str">
        <f>'Sch-1'!D44</f>
        <v xml:space="preserve">ILLUMINTAION                            </v>
      </c>
      <c r="E44" s="275">
        <f>'Sch-1'!E44</f>
        <v>1000038039</v>
      </c>
      <c r="F44" s="278" t="str">
        <f>'Sch-1'!J44</f>
        <v>LIGHTING FIXTURE LED LUMINAIRES TYPE FL-1 AS PER TECH. SPECIFICATIONS</v>
      </c>
      <c r="G44" s="275" t="str">
        <f>'Sch-1'!K44</f>
        <v xml:space="preserve">EA </v>
      </c>
      <c r="H44" s="275">
        <f>'Sch-1'!L44</f>
        <v>10</v>
      </c>
      <c r="I44" s="279"/>
      <c r="J44" s="280" t="str">
        <f t="shared" si="0"/>
        <v>INCLUDED</v>
      </c>
    </row>
    <row r="45" spans="1:10" ht="31.2">
      <c r="A45" s="331">
        <f>'Sch-1'!A45</f>
        <v>28</v>
      </c>
      <c r="B45" s="275">
        <f>'Sch-1'!B45</f>
        <v>7000026407</v>
      </c>
      <c r="C45" s="275">
        <f>'Sch-1'!C45</f>
        <v>270</v>
      </c>
      <c r="D45" s="275" t="str">
        <f>'Sch-1'!D45</f>
        <v xml:space="preserve">ILLUMINTAION                            </v>
      </c>
      <c r="E45" s="275">
        <f>'Sch-1'!E45</f>
        <v>1000038325</v>
      </c>
      <c r="F45" s="278" t="str">
        <f>'Sch-1'!J45</f>
        <v>LIGHTING FIXTURE LED LUMINAIRES TYPE FL2 AS PER TECH. SPECIFICATIONS</v>
      </c>
      <c r="G45" s="275" t="str">
        <f>'Sch-1'!K45</f>
        <v xml:space="preserve">EA </v>
      </c>
      <c r="H45" s="275">
        <f>'Sch-1'!L45</f>
        <v>10</v>
      </c>
      <c r="I45" s="279"/>
      <c r="J45" s="280" t="str">
        <f t="shared" si="0"/>
        <v>INCLUDED</v>
      </c>
    </row>
    <row r="46" spans="1:10" ht="31.2">
      <c r="A46" s="331">
        <f>'Sch-1'!A46</f>
        <v>29</v>
      </c>
      <c r="B46" s="275">
        <f>'Sch-1'!B46</f>
        <v>7000026407</v>
      </c>
      <c r="C46" s="275">
        <f>'Sch-1'!C46</f>
        <v>280</v>
      </c>
      <c r="D46" s="275" t="str">
        <f>'Sch-1'!D46</f>
        <v xml:space="preserve">ILLUMINTAION                            </v>
      </c>
      <c r="E46" s="275">
        <f>'Sch-1'!E46</f>
        <v>1000001050</v>
      </c>
      <c r="F46" s="278" t="str">
        <f>'Sch-1'!J46</f>
        <v>15A, 240V: Outdoor Receptacle 2 pole, 3-pin modular (type RO)  as pertechnical specifications</v>
      </c>
      <c r="G46" s="275" t="str">
        <f>'Sch-1'!K46</f>
        <v xml:space="preserve">EA </v>
      </c>
      <c r="H46" s="275">
        <f>'Sch-1'!L46</f>
        <v>1</v>
      </c>
      <c r="I46" s="279"/>
      <c r="J46" s="280" t="str">
        <f t="shared" si="0"/>
        <v>INCLUDED</v>
      </c>
    </row>
    <row r="47" spans="1:10">
      <c r="A47" s="331">
        <f>'Sch-1'!A47</f>
        <v>30</v>
      </c>
      <c r="B47" s="275">
        <f>'Sch-1'!B47</f>
        <v>7000026407</v>
      </c>
      <c r="C47" s="275">
        <f>'Sch-1'!C47</f>
        <v>290</v>
      </c>
      <c r="D47" s="275" t="str">
        <f>'Sch-1'!D47</f>
        <v xml:space="preserve">ILLUMINTAION                            </v>
      </c>
      <c r="E47" s="275">
        <f>'Sch-1'!E47</f>
        <v>1000014547</v>
      </c>
      <c r="F47" s="278" t="str">
        <f>'Sch-1'!J47</f>
        <v>Lighting Panel type ACP-2 as per technical specification</v>
      </c>
      <c r="G47" s="275" t="str">
        <f>'Sch-1'!K47</f>
        <v xml:space="preserve">EA </v>
      </c>
      <c r="H47" s="275">
        <f>'Sch-1'!L47</f>
        <v>2</v>
      </c>
      <c r="I47" s="279"/>
      <c r="J47" s="280" t="str">
        <f t="shared" si="0"/>
        <v>INCLUDED</v>
      </c>
    </row>
    <row r="48" spans="1:10">
      <c r="A48" s="331">
        <f>'Sch-1'!A48</f>
        <v>31</v>
      </c>
      <c r="B48" s="275">
        <f>'Sch-1'!B48</f>
        <v>7000026407</v>
      </c>
      <c r="C48" s="275">
        <f>'Sch-1'!C48</f>
        <v>300</v>
      </c>
      <c r="D48" s="275" t="str">
        <f>'Sch-1'!D48</f>
        <v xml:space="preserve">ILLUMINTAION                            </v>
      </c>
      <c r="E48" s="275">
        <f>'Sch-1'!E48</f>
        <v>1000001894</v>
      </c>
      <c r="F48" s="278" t="str">
        <f>'Sch-1'!J48</f>
        <v>Outdoor Power Receptacle for oilfiltration unit (250A)</v>
      </c>
      <c r="G48" s="275" t="str">
        <f>'Sch-1'!K48</f>
        <v xml:space="preserve">EA </v>
      </c>
      <c r="H48" s="275">
        <f>'Sch-1'!L48</f>
        <v>1</v>
      </c>
      <c r="I48" s="279"/>
      <c r="J48" s="280" t="str">
        <f t="shared" si="0"/>
        <v>INCLUDED</v>
      </c>
    </row>
    <row r="49" spans="1:11" ht="46.8">
      <c r="A49" s="331">
        <f>'Sch-1'!A49</f>
        <v>32</v>
      </c>
      <c r="B49" s="275">
        <f>'Sch-1'!B49</f>
        <v>7000026407</v>
      </c>
      <c r="C49" s="275">
        <f>'Sch-1'!C49</f>
        <v>320</v>
      </c>
      <c r="D49" s="275" t="str">
        <f>'Sch-1'!D49</f>
        <v xml:space="preserve">FIRE PROTECTION                         </v>
      </c>
      <c r="E49" s="275">
        <f>'Sch-1'!E49</f>
        <v>1000012069</v>
      </c>
      <c r="F49" s="278" t="str">
        <f>'Sch-1'!J49</f>
        <v>HVW spray system, Hydrant system and complete U/G &amp; O/G piping andaccessories etc. out side the pump house  for 500MVA , 400KV/220/33kV, 3-phase  Autotransformer</v>
      </c>
      <c r="G49" s="275" t="str">
        <f>'Sch-1'!K49</f>
        <v>SET</v>
      </c>
      <c r="H49" s="275">
        <f>'Sch-1'!L49</f>
        <v>1</v>
      </c>
      <c r="I49" s="279"/>
      <c r="J49" s="280" t="str">
        <f t="shared" si="0"/>
        <v>INCLUDED</v>
      </c>
    </row>
    <row r="50" spans="1:11">
      <c r="A50" s="331">
        <f>'Sch-1'!A50</f>
        <v>33</v>
      </c>
      <c r="B50" s="275">
        <f>'Sch-1'!B50</f>
        <v>7000026407</v>
      </c>
      <c r="C50" s="275">
        <f>'Sch-1'!C50</f>
        <v>330</v>
      </c>
      <c r="D50" s="275" t="str">
        <f>'Sch-1'!D50</f>
        <v xml:space="preserve">FIRE PROTECTION                         </v>
      </c>
      <c r="E50" s="275">
        <f>'Sch-1'!E50</f>
        <v>1000012022</v>
      </c>
      <c r="F50" s="278" t="str">
        <f>'Sch-1'!J50</f>
        <v>4.5 kg CO2 type Portable Fire extinguisher</v>
      </c>
      <c r="G50" s="275" t="str">
        <f>'Sch-1'!K50</f>
        <v xml:space="preserve">EA </v>
      </c>
      <c r="H50" s="275">
        <f>'Sch-1'!L50</f>
        <v>1</v>
      </c>
      <c r="I50" s="279"/>
      <c r="J50" s="280" t="str">
        <f t="shared" si="0"/>
        <v>INCLUDED</v>
      </c>
    </row>
    <row r="51" spans="1:11">
      <c r="A51" s="331">
        <f>'Sch-1'!A51</f>
        <v>34</v>
      </c>
      <c r="B51" s="275">
        <f>'Sch-1'!B51</f>
        <v>7000026407</v>
      </c>
      <c r="C51" s="275">
        <f>'Sch-1'!C51</f>
        <v>350</v>
      </c>
      <c r="D51" s="275" t="str">
        <f>'Sch-1'!D51</f>
        <v xml:space="preserve">LT SWITCHGEAR                           </v>
      </c>
      <c r="E51" s="275">
        <f>'Sch-1'!E51</f>
        <v>1000004304</v>
      </c>
      <c r="F51" s="278" t="str">
        <f>'Sch-1'!J51</f>
        <v>415V ACDB (Extn.)</v>
      </c>
      <c r="G51" s="275" t="str">
        <f>'Sch-1'!K51</f>
        <v>SET</v>
      </c>
      <c r="H51" s="275">
        <f>'Sch-1'!L51</f>
        <v>1</v>
      </c>
      <c r="I51" s="279"/>
      <c r="J51" s="280" t="str">
        <f t="shared" si="0"/>
        <v>INCLUDED</v>
      </c>
    </row>
    <row r="52" spans="1:11">
      <c r="A52" s="331">
        <f>'Sch-1'!A52</f>
        <v>35</v>
      </c>
      <c r="B52" s="275">
        <f>'Sch-1'!B52</f>
        <v>7000026407</v>
      </c>
      <c r="C52" s="275">
        <f>'Sch-1'!C52</f>
        <v>1510</v>
      </c>
      <c r="D52" s="275" t="str">
        <f>'Sch-1'!D52</f>
        <v xml:space="preserve">Power &amp; Control Cable                   </v>
      </c>
      <c r="E52" s="275">
        <f>'Sch-1'!E52</f>
        <v>1000031964</v>
      </c>
      <c r="F52" s="278" t="str">
        <f>'Sch-1'!J52</f>
        <v>1.1KV GRADE 3CX2.5 SQMM CONTROL CABLE</v>
      </c>
      <c r="G52" s="275" t="str">
        <f>'Sch-1'!K52</f>
        <v xml:space="preserve">KM </v>
      </c>
      <c r="H52" s="275">
        <f>'Sch-1'!L52</f>
        <v>3</v>
      </c>
      <c r="I52" s="279"/>
      <c r="J52" s="280" t="str">
        <f t="shared" si="0"/>
        <v>INCLUDED</v>
      </c>
    </row>
    <row r="53" spans="1:11" ht="31.2">
      <c r="A53" s="331">
        <f>'Sch-1'!A53</f>
        <v>36</v>
      </c>
      <c r="B53" s="275">
        <f>'Sch-1'!B53</f>
        <v>7000026407</v>
      </c>
      <c r="C53" s="275">
        <f>'Sch-1'!C53</f>
        <v>1520</v>
      </c>
      <c r="D53" s="275" t="str">
        <f>'Sch-1'!D53</f>
        <v xml:space="preserve">Power &amp; Control Cable                   </v>
      </c>
      <c r="E53" s="275">
        <f>'Sch-1'!E53</f>
        <v>1000031987</v>
      </c>
      <c r="F53" s="278" t="str">
        <f>'Sch-1'!J53</f>
        <v>1.1KV GRADE 5CX2.5 SQMM CONTROL CABLE</v>
      </c>
      <c r="G53" s="275" t="str">
        <f>'Sch-1'!K53</f>
        <v xml:space="preserve">KM </v>
      </c>
      <c r="H53" s="275">
        <f>'Sch-1'!L53</f>
        <v>3</v>
      </c>
      <c r="I53" s="279"/>
      <c r="J53" s="332" t="str">
        <f t="shared" si="0"/>
        <v>INCLUDED</v>
      </c>
      <c r="K53" s="307" t="s">
        <v>524</v>
      </c>
    </row>
    <row r="54" spans="1:11">
      <c r="A54" s="331">
        <f>'Sch-1'!A54</f>
        <v>37</v>
      </c>
      <c r="B54" s="275">
        <f>'Sch-1'!B54</f>
        <v>7000026407</v>
      </c>
      <c r="C54" s="275">
        <f>'Sch-1'!C54</f>
        <v>1530</v>
      </c>
      <c r="D54" s="275" t="str">
        <f>'Sch-1'!D54</f>
        <v xml:space="preserve">Power &amp; Control Cable                   </v>
      </c>
      <c r="E54" s="275">
        <f>'Sch-1'!E54</f>
        <v>1000031887</v>
      </c>
      <c r="F54" s="278" t="str">
        <f>'Sch-1'!J54</f>
        <v>1.1KV GRADE 10CX2.5 SQMM CONTROL CABLE</v>
      </c>
      <c r="G54" s="275" t="str">
        <f>'Sch-1'!K54</f>
        <v xml:space="preserve">KM </v>
      </c>
      <c r="H54" s="275">
        <f>'Sch-1'!L54</f>
        <v>1</v>
      </c>
      <c r="I54" s="279"/>
      <c r="J54" s="280" t="str">
        <f t="shared" si="0"/>
        <v>INCLUDED</v>
      </c>
    </row>
    <row r="55" spans="1:11">
      <c r="A55" s="331">
        <f>'Sch-1'!A55</f>
        <v>38</v>
      </c>
      <c r="B55" s="275">
        <f>'Sch-1'!B55</f>
        <v>7000026407</v>
      </c>
      <c r="C55" s="275">
        <f>'Sch-1'!C55</f>
        <v>1540</v>
      </c>
      <c r="D55" s="275" t="str">
        <f>'Sch-1'!D55</f>
        <v xml:space="preserve">Power &amp; Control Cable                   </v>
      </c>
      <c r="E55" s="275">
        <f>'Sch-1'!E55</f>
        <v>1000056264</v>
      </c>
      <c r="F55" s="278" t="str">
        <f>'Sch-1'!J55</f>
        <v>1.1KV GRADE 19CX1.5 SQMM CONTROL CABLE</v>
      </c>
      <c r="G55" s="275" t="str">
        <f>'Sch-1'!K55</f>
        <v xml:space="preserve">KM </v>
      </c>
      <c r="H55" s="275">
        <f>'Sch-1'!L55</f>
        <v>2</v>
      </c>
      <c r="I55" s="279"/>
      <c r="J55" s="280" t="str">
        <f t="shared" si="0"/>
        <v>INCLUDED</v>
      </c>
    </row>
    <row r="56" spans="1:11">
      <c r="A56" s="331">
        <f>'Sch-1'!A56</f>
        <v>39</v>
      </c>
      <c r="B56" s="275">
        <f>'Sch-1'!B56</f>
        <v>7000026407</v>
      </c>
      <c r="C56" s="275">
        <f>'Sch-1'!C56</f>
        <v>1550</v>
      </c>
      <c r="D56" s="275" t="str">
        <f>'Sch-1'!D56</f>
        <v xml:space="preserve">Power &amp; Control Cable                   </v>
      </c>
      <c r="E56" s="275">
        <f>'Sch-1'!E56</f>
        <v>1000031951</v>
      </c>
      <c r="F56" s="278" t="str">
        <f>'Sch-1'!J56</f>
        <v>1.1KV GRADE 3.5CX300 SQMM (XLPE) POWER CABLE</v>
      </c>
      <c r="G56" s="275" t="str">
        <f>'Sch-1'!K56</f>
        <v xml:space="preserve">KM </v>
      </c>
      <c r="H56" s="275">
        <f>'Sch-1'!L56</f>
        <v>0.6</v>
      </c>
      <c r="I56" s="279"/>
      <c r="J56" s="280" t="str">
        <f t="shared" si="0"/>
        <v>INCLUDED</v>
      </c>
    </row>
    <row r="57" spans="1:11">
      <c r="A57" s="331">
        <f>'Sch-1'!A57</f>
        <v>40</v>
      </c>
      <c r="B57" s="275">
        <f>'Sch-1'!B57</f>
        <v>7000026407</v>
      </c>
      <c r="C57" s="275">
        <f>'Sch-1'!C57</f>
        <v>1560</v>
      </c>
      <c r="D57" s="275" t="str">
        <f>'Sch-1'!D57</f>
        <v xml:space="preserve">Power &amp; Control Cable                   </v>
      </c>
      <c r="E57" s="275">
        <f>'Sch-1'!E57</f>
        <v>1000031957</v>
      </c>
      <c r="F57" s="278" t="str">
        <f>'Sch-1'!J57</f>
        <v>1.1KV GRADE 3.5CX70 SQMM (PVC) POWER CABLE</v>
      </c>
      <c r="G57" s="275" t="str">
        <f>'Sch-1'!K57</f>
        <v xml:space="preserve">KM </v>
      </c>
      <c r="H57" s="275">
        <f>'Sch-1'!L57</f>
        <v>2</v>
      </c>
      <c r="I57" s="279"/>
      <c r="J57" s="280" t="str">
        <f t="shared" si="0"/>
        <v>INCLUDED</v>
      </c>
    </row>
    <row r="58" spans="1:11">
      <c r="A58" s="331">
        <f>'Sch-1'!A58</f>
        <v>41</v>
      </c>
      <c r="B58" s="275">
        <f>'Sch-1'!B58</f>
        <v>7000026407</v>
      </c>
      <c r="C58" s="275">
        <f>'Sch-1'!C58</f>
        <v>1570</v>
      </c>
      <c r="D58" s="275" t="str">
        <f>'Sch-1'!D58</f>
        <v xml:space="preserve">Power &amp; Control Cable                   </v>
      </c>
      <c r="E58" s="275">
        <f>'Sch-1'!E58</f>
        <v>1000031953</v>
      </c>
      <c r="F58" s="278" t="str">
        <f>'Sch-1'!J58</f>
        <v>1.1KV GRADE 3.5CX35 SQMM (PVC) POWER CABLE</v>
      </c>
      <c r="G58" s="275" t="str">
        <f>'Sch-1'!K58</f>
        <v xml:space="preserve">KM </v>
      </c>
      <c r="H58" s="275">
        <f>'Sch-1'!L58</f>
        <v>1</v>
      </c>
      <c r="I58" s="279"/>
      <c r="J58" s="280" t="str">
        <f t="shared" si="0"/>
        <v>INCLUDED</v>
      </c>
    </row>
    <row r="59" spans="1:11">
      <c r="A59" s="331">
        <f>'Sch-1'!A59</f>
        <v>42</v>
      </c>
      <c r="B59" s="275">
        <f>'Sch-1'!B59</f>
        <v>7000026407</v>
      </c>
      <c r="C59" s="275">
        <f>'Sch-1'!C59</f>
        <v>1580</v>
      </c>
      <c r="D59" s="275" t="str">
        <f>'Sch-1'!D59</f>
        <v xml:space="preserve">Power &amp; Control Cable                   </v>
      </c>
      <c r="E59" s="275">
        <f>'Sch-1'!E59</f>
        <v>1000031976</v>
      </c>
      <c r="F59" s="278" t="str">
        <f>'Sch-1'!J59</f>
        <v>1.1KV GRADE 4CX16 SQMM (PVC) POWER CABLE</v>
      </c>
      <c r="G59" s="275" t="str">
        <f>'Sch-1'!K59</f>
        <v xml:space="preserve">KM </v>
      </c>
      <c r="H59" s="275">
        <f>'Sch-1'!L59</f>
        <v>2</v>
      </c>
      <c r="I59" s="279"/>
      <c r="J59" s="280" t="str">
        <f t="shared" si="0"/>
        <v>INCLUDED</v>
      </c>
    </row>
    <row r="60" spans="1:11">
      <c r="A60" s="331">
        <f>'Sch-1'!A60</f>
        <v>43</v>
      </c>
      <c r="B60" s="275">
        <f>'Sch-1'!B60</f>
        <v>7000026407</v>
      </c>
      <c r="C60" s="275">
        <f>'Sch-1'!C60</f>
        <v>1590</v>
      </c>
      <c r="D60" s="275" t="str">
        <f>'Sch-1'!D60</f>
        <v xml:space="preserve">Power &amp; Control Cable                   </v>
      </c>
      <c r="E60" s="275">
        <f>'Sch-1'!E60</f>
        <v>1000031943</v>
      </c>
      <c r="F60" s="278" t="str">
        <f>'Sch-1'!J60</f>
        <v>1.1KV GRADE 2CX6 SQMM (PVC) POWER CABLE</v>
      </c>
      <c r="G60" s="275" t="str">
        <f>'Sch-1'!K60</f>
        <v xml:space="preserve">KM </v>
      </c>
      <c r="H60" s="275">
        <f>'Sch-1'!L60</f>
        <v>2</v>
      </c>
      <c r="I60" s="279"/>
      <c r="J60" s="280" t="str">
        <f t="shared" si="0"/>
        <v>INCLUDED</v>
      </c>
    </row>
    <row r="61" spans="1:11">
      <c r="A61" s="331">
        <f>'Sch-1'!A61</f>
        <v>44</v>
      </c>
      <c r="B61" s="275">
        <f>'Sch-1'!B61</f>
        <v>7000026407</v>
      </c>
      <c r="C61" s="275">
        <f>'Sch-1'!C61</f>
        <v>1600</v>
      </c>
      <c r="D61" s="275" t="str">
        <f>'Sch-1'!D61</f>
        <v xml:space="preserve">Power &amp; Control Cable                   </v>
      </c>
      <c r="E61" s="275">
        <f>'Sch-1'!E61</f>
        <v>1000031985</v>
      </c>
      <c r="F61" s="278" t="str">
        <f>'Sch-1'!J61</f>
        <v>1.1KV GRADE 4CX6 SQMM (PVC) POWER CABLE</v>
      </c>
      <c r="G61" s="275" t="str">
        <f>'Sch-1'!K61</f>
        <v xml:space="preserve">KM </v>
      </c>
      <c r="H61" s="275">
        <f>'Sch-1'!L61</f>
        <v>2</v>
      </c>
      <c r="I61" s="279"/>
      <c r="J61" s="280" t="str">
        <f t="shared" si="0"/>
        <v>INCLUDED</v>
      </c>
    </row>
    <row r="62" spans="1:11" ht="46.8">
      <c r="A62" s="331">
        <f>'Sch-1'!A62</f>
        <v>45</v>
      </c>
      <c r="B62" s="275">
        <f>'Sch-1'!B62</f>
        <v>7000026407</v>
      </c>
      <c r="C62" s="275">
        <f>'Sch-1'!C62</f>
        <v>1620</v>
      </c>
      <c r="D62" s="275" t="str">
        <f>'Sch-1'!D62</f>
        <v xml:space="preserve">INSULATOR STRING &amp; HARDWARE             </v>
      </c>
      <c r="E62" s="275">
        <f>'Sch-1'!E62</f>
        <v>1000055980</v>
      </c>
      <c r="F62" s="278" t="str">
        <f>'Sch-1'!J62</f>
        <v>220KV  TENSION INSULATOR STRING  AND ASSOCIATED HARDWARE FITTINGSWITHOUT TURN BUCKLE SUITABLE FOR TWIN CONDUCTOR</v>
      </c>
      <c r="G62" s="275" t="str">
        <f>'Sch-1'!K62</f>
        <v xml:space="preserve">EA </v>
      </c>
      <c r="H62" s="275">
        <f>'Sch-1'!L62</f>
        <v>3</v>
      </c>
      <c r="I62" s="279"/>
      <c r="J62" s="280" t="str">
        <f t="shared" si="0"/>
        <v>INCLUDED</v>
      </c>
    </row>
    <row r="63" spans="1:11" ht="46.8">
      <c r="A63" s="331">
        <f>'Sch-1'!A63</f>
        <v>46</v>
      </c>
      <c r="B63" s="275">
        <f>'Sch-1'!B63</f>
        <v>7000026407</v>
      </c>
      <c r="C63" s="275">
        <f>'Sch-1'!C63</f>
        <v>1610</v>
      </c>
      <c r="D63" s="275" t="str">
        <f>'Sch-1'!D63</f>
        <v xml:space="preserve">INSULATOR STRING &amp; HARDWARE             </v>
      </c>
      <c r="E63" s="275">
        <f>'Sch-1'!E63</f>
        <v>1000055975</v>
      </c>
      <c r="F63" s="278" t="str">
        <f>'Sch-1'!J63</f>
        <v>220KV SUSPENSION INSULATOR STRING  AND ASSOCIATED HARDWARE FITTINGSWITH DROP CLAMP SUITABLE FOR TWIN CONDUCTOR</v>
      </c>
      <c r="G63" s="275" t="str">
        <f>'Sch-1'!K63</f>
        <v xml:space="preserve">EA </v>
      </c>
      <c r="H63" s="275">
        <f>'Sch-1'!L63</f>
        <v>3</v>
      </c>
      <c r="I63" s="279"/>
      <c r="J63" s="280" t="str">
        <f t="shared" si="0"/>
        <v>INCLUDED</v>
      </c>
    </row>
    <row r="64" spans="1:11" ht="46.8">
      <c r="A64" s="331">
        <f>'Sch-1'!A64</f>
        <v>47</v>
      </c>
      <c r="B64" s="275">
        <f>'Sch-1'!B64</f>
        <v>7000026407</v>
      </c>
      <c r="C64" s="275">
        <f>'Sch-1'!C64</f>
        <v>1630</v>
      </c>
      <c r="D64" s="275" t="str">
        <f>'Sch-1'!D64</f>
        <v xml:space="preserve">INSULATOR STRING &amp; HARDWARE             </v>
      </c>
      <c r="E64" s="275">
        <f>'Sch-1'!E64</f>
        <v>1000055985</v>
      </c>
      <c r="F64" s="278" t="str">
        <f>'Sch-1'!J64</f>
        <v>400KV  TENSION INSULATOR STRING  AND ASSOCIATED HARDWARE FITTINGS WITHTURN BUCKLE SUITABLE FOR TWIN CONDUCTOR</v>
      </c>
      <c r="G64" s="275" t="str">
        <f>'Sch-1'!K64</f>
        <v xml:space="preserve">EA </v>
      </c>
      <c r="H64" s="275">
        <f>'Sch-1'!L64</f>
        <v>3</v>
      </c>
      <c r="I64" s="279"/>
      <c r="J64" s="280" t="str">
        <f t="shared" si="0"/>
        <v>INCLUDED</v>
      </c>
    </row>
    <row r="65" spans="1:10" ht="46.8">
      <c r="A65" s="331">
        <f>'Sch-1'!A65</f>
        <v>48</v>
      </c>
      <c r="B65" s="275">
        <f>'Sch-1'!B65</f>
        <v>7000026407</v>
      </c>
      <c r="C65" s="275">
        <f>'Sch-1'!C65</f>
        <v>1640</v>
      </c>
      <c r="D65" s="275" t="str">
        <f>'Sch-1'!D65</f>
        <v xml:space="preserve">INSULATOR STRING &amp; HARDWARE             </v>
      </c>
      <c r="E65" s="275">
        <f>'Sch-1'!E65</f>
        <v>1000055987</v>
      </c>
      <c r="F65" s="278" t="str">
        <f>'Sch-1'!J65</f>
        <v>400KV SUSPENSION INSULATOR STRING  AND ASSOCIATED HARDWARE FITTINGSWITH DROP CLAMP SUITABLE FOR TWIN CONDUCTOR</v>
      </c>
      <c r="G65" s="275" t="str">
        <f>'Sch-1'!K65</f>
        <v xml:space="preserve">EA </v>
      </c>
      <c r="H65" s="275">
        <f>'Sch-1'!L65</f>
        <v>3</v>
      </c>
      <c r="I65" s="279"/>
      <c r="J65" s="280" t="str">
        <f t="shared" si="0"/>
        <v>INCLUDED</v>
      </c>
    </row>
    <row r="66" spans="1:10" ht="124.8">
      <c r="A66" s="331">
        <f>'Sch-1'!A66</f>
        <v>49</v>
      </c>
      <c r="B66" s="275">
        <f>'Sch-1'!B66</f>
        <v>7000026407</v>
      </c>
      <c r="C66" s="275">
        <f>'Sch-1'!C66</f>
        <v>370</v>
      </c>
      <c r="D66" s="275" t="str">
        <f>'Sch-1'!D66</f>
        <v xml:space="preserve">VMS                                     </v>
      </c>
      <c r="E66" s="275">
        <f>'Sch-1'!E66</f>
        <v>1000030433</v>
      </c>
      <c r="F66" s="278" t="str">
        <f>'Sch-1'!J66</f>
        <v>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v>
      </c>
      <c r="G66" s="275" t="str">
        <f>'Sch-1'!K66</f>
        <v>SET</v>
      </c>
      <c r="H66" s="275">
        <f>'Sch-1'!L66</f>
        <v>1</v>
      </c>
      <c r="I66" s="279"/>
      <c r="J66" s="280" t="str">
        <f t="shared" si="0"/>
        <v>INCLUDED</v>
      </c>
    </row>
    <row r="67" spans="1:10" ht="31.2">
      <c r="A67" s="331">
        <f>'Sch-1'!A67</f>
        <v>50</v>
      </c>
      <c r="B67" s="275">
        <f>'Sch-1'!B67</f>
        <v>7000026407</v>
      </c>
      <c r="C67" s="275">
        <f>'Sch-1'!C67</f>
        <v>1660</v>
      </c>
      <c r="D67" s="275" t="str">
        <f>'Sch-1'!D67</f>
        <v xml:space="preserve">400kV, 500MVA, 3Ph, ICT SPARES          </v>
      </c>
      <c r="E67" s="275">
        <f>'Sch-1'!E67</f>
        <v>1000030932</v>
      </c>
      <c r="F67" s="278" t="str">
        <f>'Sch-1'!J67</f>
        <v>420KV, 1250A RIP BUSHING WITH METAL PARTS AND GASKETS</v>
      </c>
      <c r="G67" s="275" t="str">
        <f>'Sch-1'!K67</f>
        <v xml:space="preserve">EA </v>
      </c>
      <c r="H67" s="275">
        <f>'Sch-1'!L67</f>
        <v>1</v>
      </c>
      <c r="I67" s="279"/>
      <c r="J67" s="280" t="str">
        <f t="shared" si="0"/>
        <v>INCLUDED</v>
      </c>
    </row>
    <row r="68" spans="1:10" ht="31.2">
      <c r="A68" s="331">
        <f>'Sch-1'!A68</f>
        <v>51</v>
      </c>
      <c r="B68" s="275">
        <f>'Sch-1'!B68</f>
        <v>7000026407</v>
      </c>
      <c r="C68" s="275">
        <f>'Sch-1'!C68</f>
        <v>1670</v>
      </c>
      <c r="D68" s="275" t="str">
        <f>'Sch-1'!D68</f>
        <v xml:space="preserve">400kV, 500MVA, 3Ph, ICT SPARES          </v>
      </c>
      <c r="E68" s="275">
        <f>'Sch-1'!E68</f>
        <v>1000030923</v>
      </c>
      <c r="F68" s="278" t="str">
        <f>'Sch-1'!J68</f>
        <v>245KV, 2000A RIP BUSHING WITH METAL PARTS AND GASKETS</v>
      </c>
      <c r="G68" s="275" t="str">
        <f>'Sch-1'!K68</f>
        <v xml:space="preserve">EA </v>
      </c>
      <c r="H68" s="275">
        <f>'Sch-1'!L68</f>
        <v>1</v>
      </c>
      <c r="I68" s="279"/>
      <c r="J68" s="280" t="str">
        <f t="shared" si="0"/>
        <v>INCLUDED</v>
      </c>
    </row>
    <row r="69" spans="1:10" ht="31.2">
      <c r="A69" s="331">
        <f>'Sch-1'!A69</f>
        <v>52</v>
      </c>
      <c r="B69" s="275">
        <f>'Sch-1'!B69</f>
        <v>7000026407</v>
      </c>
      <c r="C69" s="275">
        <f>'Sch-1'!C69</f>
        <v>1680</v>
      </c>
      <c r="D69" s="275" t="str">
        <f>'Sch-1'!D69</f>
        <v xml:space="preserve">400kV, 500MVA, 3Ph, ICT SPARES          </v>
      </c>
      <c r="E69" s="275">
        <f>'Sch-1'!E69</f>
        <v>1000030935</v>
      </c>
      <c r="F69" s="278" t="str">
        <f>'Sch-1'!J69</f>
        <v>52KV, 800A RIP BUSHING WITH METAL PARTS AND GASKETS</v>
      </c>
      <c r="G69" s="275" t="str">
        <f>'Sch-1'!K69</f>
        <v xml:space="preserve">EA </v>
      </c>
      <c r="H69" s="275">
        <f>'Sch-1'!L69</f>
        <v>1</v>
      </c>
      <c r="I69" s="279"/>
      <c r="J69" s="280" t="str">
        <f t="shared" si="0"/>
        <v>INCLUDED</v>
      </c>
    </row>
    <row r="70" spans="1:10" ht="31.2">
      <c r="A70" s="331">
        <f>'Sch-1'!A70</f>
        <v>53</v>
      </c>
      <c r="B70" s="275">
        <f>'Sch-1'!B70</f>
        <v>7000026407</v>
      </c>
      <c r="C70" s="275">
        <f>'Sch-1'!C70</f>
        <v>1690</v>
      </c>
      <c r="D70" s="275" t="str">
        <f>'Sch-1'!D70</f>
        <v xml:space="preserve">400kV, 500MVA, 3Ph, ICT SPARES          </v>
      </c>
      <c r="E70" s="275">
        <f>'Sch-1'!E70</f>
        <v>1000002071</v>
      </c>
      <c r="F70" s="278" t="str">
        <f>'Sch-1'!J70</f>
        <v>36kV, 2000A Bushing with metal parts andgaskets for Transformer</v>
      </c>
      <c r="G70" s="275" t="str">
        <f>'Sch-1'!K70</f>
        <v xml:space="preserve">EA </v>
      </c>
      <c r="H70" s="275">
        <f>'Sch-1'!L70</f>
        <v>1</v>
      </c>
      <c r="I70" s="279"/>
      <c r="J70" s="280" t="str">
        <f t="shared" si="0"/>
        <v>INCLUDED</v>
      </c>
    </row>
    <row r="71" spans="1:10" ht="31.2">
      <c r="A71" s="331">
        <f>'Sch-1'!A71</f>
        <v>54</v>
      </c>
      <c r="B71" s="275">
        <f>'Sch-1'!B71</f>
        <v>7000026407</v>
      </c>
      <c r="C71" s="275">
        <f>'Sch-1'!C71</f>
        <v>1700</v>
      </c>
      <c r="D71" s="275" t="str">
        <f>'Sch-1'!D71</f>
        <v xml:space="preserve">400kV, 500MVA, 3Ph, ICT SPARES          </v>
      </c>
      <c r="E71" s="275">
        <f>'Sch-1'!E71</f>
        <v>1000032089</v>
      </c>
      <c r="F71" s="278" t="str">
        <f>'Sch-1'!J71</f>
        <v>SPARES INSULATING OIL TO BE HANDED OVER TO OWNER AFTER COMMISSIONING</v>
      </c>
      <c r="G71" s="275" t="str">
        <f>'Sch-1'!K71</f>
        <v xml:space="preserve">KL </v>
      </c>
      <c r="H71" s="275">
        <f>'Sch-1'!L71</f>
        <v>10</v>
      </c>
      <c r="I71" s="279"/>
      <c r="J71" s="280" t="str">
        <f t="shared" ref="J71" si="1">IF(I71=0, "INCLUDED", IF(ISERROR(I71*H71), I71, I71*H71))</f>
        <v>INCLUDED</v>
      </c>
    </row>
    <row r="72" spans="1:10" ht="31.2">
      <c r="A72" s="331">
        <f>'Sch-1'!A72</f>
        <v>55</v>
      </c>
      <c r="B72" s="275">
        <f>'Sch-1'!B72</f>
        <v>7000026407</v>
      </c>
      <c r="C72" s="275">
        <f>'Sch-1'!C72</f>
        <v>1710</v>
      </c>
      <c r="D72" s="275" t="str">
        <f>'Sch-1'!D72</f>
        <v xml:space="preserve">400kV, 500MVA, 3Ph, ICT SPARES          </v>
      </c>
      <c r="E72" s="275">
        <f>'Sch-1'!E72</f>
        <v>1000049425</v>
      </c>
      <c r="F72" s="278" t="str">
        <f>'Sch-1'!J72</f>
        <v>LOCAL OTI &amp; WTI WITH SENSING DEVICE FOR 400KV ICT</v>
      </c>
      <c r="G72" s="275" t="str">
        <f>'Sch-1'!K72</f>
        <v>SET</v>
      </c>
      <c r="H72" s="275">
        <f>'Sch-1'!L72</f>
        <v>1</v>
      </c>
      <c r="I72" s="279"/>
      <c r="J72" s="280" t="str">
        <f t="shared" si="0"/>
        <v>INCLUDED</v>
      </c>
    </row>
    <row r="73" spans="1:10" ht="31.2">
      <c r="A73" s="331">
        <f>'Sch-1'!A73</f>
        <v>56</v>
      </c>
      <c r="B73" s="275">
        <f>'Sch-1'!B73</f>
        <v>7000026407</v>
      </c>
      <c r="C73" s="275">
        <f>'Sch-1'!C73</f>
        <v>1720</v>
      </c>
      <c r="D73" s="275" t="str">
        <f>'Sch-1'!D73</f>
        <v xml:space="preserve">400kV, 500MVA, 3Ph, ICT SPARES          </v>
      </c>
      <c r="E73" s="275">
        <f>'Sch-1'!E73</f>
        <v>1000007922</v>
      </c>
      <c r="F73" s="278" t="str">
        <f>'Sch-1'!J73</f>
        <v>Buchholz Relay (Main Tank) complete with float and  contacts forTransformer</v>
      </c>
      <c r="G73" s="275" t="str">
        <f>'Sch-1'!K73</f>
        <v>SET</v>
      </c>
      <c r="H73" s="275">
        <f>'Sch-1'!L73</f>
        <v>1</v>
      </c>
      <c r="I73" s="279"/>
      <c r="J73" s="280" t="str">
        <f t="shared" si="0"/>
        <v>INCLUDED</v>
      </c>
    </row>
    <row r="74" spans="1:10" ht="31.2">
      <c r="A74" s="331">
        <f>'Sch-1'!A74</f>
        <v>57</v>
      </c>
      <c r="B74" s="275">
        <f>'Sch-1'!B74</f>
        <v>7000026407</v>
      </c>
      <c r="C74" s="275">
        <f>'Sch-1'!C74</f>
        <v>1730</v>
      </c>
      <c r="D74" s="275" t="str">
        <f>'Sch-1'!D74</f>
        <v xml:space="preserve">400kV, 500MVA, 3Ph, ICT SPARES          </v>
      </c>
      <c r="E74" s="275">
        <f>'Sch-1'!E74</f>
        <v>1000017322</v>
      </c>
      <c r="F74" s="278" t="str">
        <f>'Sch-1'!J74</f>
        <v>Pressure Relief Device for Transformer</v>
      </c>
      <c r="G74" s="275" t="str">
        <f>'Sch-1'!K74</f>
        <v xml:space="preserve">EA </v>
      </c>
      <c r="H74" s="275">
        <f>'Sch-1'!L74</f>
        <v>1</v>
      </c>
      <c r="I74" s="279"/>
      <c r="J74" s="280" t="str">
        <f t="shared" si="0"/>
        <v>INCLUDED</v>
      </c>
    </row>
    <row r="75" spans="1:10" ht="31.2">
      <c r="A75" s="331">
        <f>'Sch-1'!A75</f>
        <v>58</v>
      </c>
      <c r="B75" s="275">
        <f>'Sch-1'!B75</f>
        <v>7000026407</v>
      </c>
      <c r="C75" s="275">
        <f>'Sch-1'!C75</f>
        <v>390</v>
      </c>
      <c r="D75" s="275" t="str">
        <f>'Sch-1'!D75</f>
        <v xml:space="preserve">400KV GIS MANDATORY SPARES              </v>
      </c>
      <c r="E75" s="275">
        <f>'Sch-1'!E75</f>
        <v>1000058332</v>
      </c>
      <c r="F75" s="278" t="str">
        <f>'Sch-1'!J75</f>
        <v>400KV GIS-SF6 GAS PRESSURE RELIEF DEVICE ASSEMBLY OF EACH TYPE</v>
      </c>
      <c r="G75" s="275" t="str">
        <f>'Sch-1'!K75</f>
        <v xml:space="preserve">EA </v>
      </c>
      <c r="H75" s="275">
        <f>'Sch-1'!L75</f>
        <v>2</v>
      </c>
      <c r="I75" s="279"/>
      <c r="J75" s="280" t="str">
        <f t="shared" si="0"/>
        <v>INCLUDED</v>
      </c>
    </row>
    <row r="76" spans="1:10" ht="46.8">
      <c r="A76" s="331">
        <f>'Sch-1'!A76</f>
        <v>59</v>
      </c>
      <c r="B76" s="275">
        <f>'Sch-1'!B76</f>
        <v>7000026407</v>
      </c>
      <c r="C76" s="275">
        <f>'Sch-1'!C76</f>
        <v>400</v>
      </c>
      <c r="D76" s="275" t="str">
        <f>'Sch-1'!D76</f>
        <v xml:space="preserve">400KV GIS MANDATORY SPARES              </v>
      </c>
      <c r="E76" s="275">
        <f>'Sch-1'!E76</f>
        <v>1000049817</v>
      </c>
      <c r="F76" s="278" t="str">
        <f>'Sch-1'!J76</f>
        <v>SF6  PRESSURE  GAUGE  CUM  SWITCH  /DENSITY MONITORS  AND  PRESSURESWITCH AS APPLICABLE, OF EACH TYPE-400KV GIS</v>
      </c>
      <c r="G76" s="275" t="str">
        <f>'Sch-1'!K76</f>
        <v>SET</v>
      </c>
      <c r="H76" s="275">
        <f>'Sch-1'!L76</f>
        <v>3</v>
      </c>
      <c r="I76" s="279"/>
      <c r="J76" s="280" t="str">
        <f t="shared" si="0"/>
        <v>INCLUDED</v>
      </c>
    </row>
    <row r="77" spans="1:10" ht="46.8">
      <c r="A77" s="331">
        <f>'Sch-1'!A77</f>
        <v>60</v>
      </c>
      <c r="B77" s="275">
        <f>'Sch-1'!B77</f>
        <v>7000026407</v>
      </c>
      <c r="C77" s="275">
        <f>'Sch-1'!C77</f>
        <v>410</v>
      </c>
      <c r="D77" s="275" t="str">
        <f>'Sch-1'!D77</f>
        <v xml:space="preserve">400KV GIS MANDATORY SPARES              </v>
      </c>
      <c r="E77" s="275">
        <f>'Sch-1'!E77</f>
        <v>1000049753</v>
      </c>
      <c r="F77" s="278" t="str">
        <f>'Sch-1'!J77</f>
        <v>COUPLING  DEVICE  FOR  PRESSURE  GAUGE  CUM  SWITCH  FOR  CONNECTINGGAS HANDLING PLANT OF EACH TYPE-400KV GIS</v>
      </c>
      <c r="G77" s="275" t="str">
        <f>'Sch-1'!K77</f>
        <v>SET</v>
      </c>
      <c r="H77" s="275">
        <f>'Sch-1'!L77</f>
        <v>2</v>
      </c>
      <c r="I77" s="279"/>
      <c r="J77" s="280" t="str">
        <f t="shared" si="0"/>
        <v>INCLUDED</v>
      </c>
    </row>
    <row r="78" spans="1:10" ht="31.2">
      <c r="A78" s="331">
        <f>'Sch-1'!A78</f>
        <v>61</v>
      </c>
      <c r="B78" s="275">
        <f>'Sch-1'!B78</f>
        <v>7000026407</v>
      </c>
      <c r="C78" s="275">
        <f>'Sch-1'!C78</f>
        <v>420</v>
      </c>
      <c r="D78" s="275" t="str">
        <f>'Sch-1'!D78</f>
        <v xml:space="preserve">400KV GIS MANDATORY SPARES              </v>
      </c>
      <c r="E78" s="275">
        <f>'Sch-1'!E78</f>
        <v>1000049762</v>
      </c>
      <c r="F78" s="278" t="str">
        <f>'Sch-1'!J78</f>
        <v>RUBBER  GASKETS,  Ã‚â‚¬Å’OÃ‚â‚¬Â  RINGS  AND  SEALS  FOR  SF6  GAS  FOR  GISENCLOSURE OF EACH TYPE-400KV GIS</v>
      </c>
      <c r="G78" s="275" t="str">
        <f>'Sch-1'!K78</f>
        <v>SET</v>
      </c>
      <c r="H78" s="275">
        <f>'Sch-1'!L78</f>
        <v>3</v>
      </c>
      <c r="I78" s="279"/>
      <c r="J78" s="280" t="str">
        <f t="shared" si="0"/>
        <v>INCLUDED</v>
      </c>
    </row>
    <row r="79" spans="1:10" ht="31.2">
      <c r="A79" s="331">
        <f>'Sch-1'!A79</f>
        <v>62</v>
      </c>
      <c r="B79" s="275">
        <f>'Sch-1'!B79</f>
        <v>7000026407</v>
      </c>
      <c r="C79" s="275">
        <f>'Sch-1'!C79</f>
        <v>430</v>
      </c>
      <c r="D79" s="275" t="str">
        <f>'Sch-1'!D79</f>
        <v xml:space="preserve">400KV GIS MANDATORY SPARES              </v>
      </c>
      <c r="E79" s="275">
        <f>'Sch-1'!E79</f>
        <v>1000058330</v>
      </c>
      <c r="F79" s="278" t="str">
        <f>'Sch-1'!J79</f>
        <v>400KV GIS-MOLECULAR FILTER FOR SF6 GAS WITH FILTER BAGS (5 % OF TOTALWEIGHT)</v>
      </c>
      <c r="G79" s="275" t="str">
        <f>'Sch-1'!K79</f>
        <v>SET</v>
      </c>
      <c r="H79" s="275">
        <f>'Sch-1'!L79</f>
        <v>1</v>
      </c>
      <c r="I79" s="279"/>
      <c r="J79" s="280" t="str">
        <f t="shared" si="0"/>
        <v>INCLUDED</v>
      </c>
    </row>
    <row r="80" spans="1:10" ht="31.2">
      <c r="A80" s="331">
        <f>'Sch-1'!A80</f>
        <v>63</v>
      </c>
      <c r="B80" s="275">
        <f>'Sch-1'!B80</f>
        <v>7000026407</v>
      </c>
      <c r="C80" s="275">
        <f>'Sch-1'!C80</f>
        <v>440</v>
      </c>
      <c r="D80" s="275" t="str">
        <f>'Sch-1'!D80</f>
        <v xml:space="preserve">400KV GIS MANDATORY SPARES              </v>
      </c>
      <c r="E80" s="275">
        <f>'Sch-1'!E80</f>
        <v>1000049750</v>
      </c>
      <c r="F80" s="278" t="str">
        <f>'Sch-1'!J80</f>
        <v>CONTROL VALVES FOR SF6 GAS OF EACH TYPE-400KV GIS</v>
      </c>
      <c r="G80" s="275" t="str">
        <f>'Sch-1'!K80</f>
        <v>SET</v>
      </c>
      <c r="H80" s="275">
        <f>'Sch-1'!L80</f>
        <v>1</v>
      </c>
      <c r="I80" s="279"/>
      <c r="J80" s="280" t="str">
        <f t="shared" si="0"/>
        <v>INCLUDED</v>
      </c>
    </row>
    <row r="81" spans="1:10" ht="31.2">
      <c r="A81" s="331">
        <f>'Sch-1'!A81</f>
        <v>64</v>
      </c>
      <c r="B81" s="275">
        <f>'Sch-1'!B81</f>
        <v>7000026407</v>
      </c>
      <c r="C81" s="275">
        <f>'Sch-1'!C81</f>
        <v>450</v>
      </c>
      <c r="D81" s="275" t="str">
        <f>'Sch-1'!D81</f>
        <v xml:space="preserve">400KV GIS MANDATORY SPARES              </v>
      </c>
      <c r="E81" s="275">
        <f>'Sch-1'!E81</f>
        <v>1000058331</v>
      </c>
      <c r="F81" s="278" t="str">
        <f>'Sch-1'!J81</f>
        <v>400KV GIS-SF6 GAS (5 % OF TOTAL GAS QUANTITY)</v>
      </c>
      <c r="G81" s="275" t="str">
        <f>'Sch-1'!K81</f>
        <v>LOT</v>
      </c>
      <c r="H81" s="275">
        <f>'Sch-1'!L81</f>
        <v>1</v>
      </c>
      <c r="I81" s="279"/>
      <c r="J81" s="280" t="str">
        <f t="shared" si="0"/>
        <v>INCLUDED</v>
      </c>
    </row>
    <row r="82" spans="1:10" ht="62.4">
      <c r="A82" s="331">
        <f>'Sch-1'!A82</f>
        <v>65</v>
      </c>
      <c r="B82" s="275">
        <f>'Sch-1'!B82</f>
        <v>7000026407</v>
      </c>
      <c r="C82" s="275">
        <f>'Sch-1'!C82</f>
        <v>460</v>
      </c>
      <c r="D82" s="275" t="str">
        <f>'Sch-1'!D82</f>
        <v xml:space="preserve">400KV GIS MANDATORY SPARES              </v>
      </c>
      <c r="E82" s="275">
        <f>'Sch-1'!E82</f>
        <v>1000049783</v>
      </c>
      <c r="F82" s="278" t="str">
        <f>'Sch-1'!J82</f>
        <v>LOCKING   DEVICE   TO   KEEP   THE   DIS-CONNECTORS   (ISOLATORS)AND EARTHING/FAST EARTHING SWITCHES IN CLOSE OR OPEN POSITION IN CASEOF REMOVAL OF THE DRIVING MECHANISM-400KV GIS</v>
      </c>
      <c r="G82" s="275" t="str">
        <f>'Sch-1'!K82</f>
        <v>SET</v>
      </c>
      <c r="H82" s="275">
        <f>'Sch-1'!L82</f>
        <v>1</v>
      </c>
      <c r="I82" s="279"/>
      <c r="J82" s="280" t="str">
        <f t="shared" si="0"/>
        <v>INCLUDED</v>
      </c>
    </row>
    <row r="83" spans="1:10" ht="31.2">
      <c r="A83" s="331">
        <f>'Sch-1'!A83</f>
        <v>66</v>
      </c>
      <c r="B83" s="275">
        <f>'Sch-1'!B83</f>
        <v>7000026407</v>
      </c>
      <c r="C83" s="275">
        <f>'Sch-1'!C83</f>
        <v>470</v>
      </c>
      <c r="D83" s="275" t="str">
        <f>'Sch-1'!D83</f>
        <v xml:space="preserve">400KV GIS MANDATORY SPARES              </v>
      </c>
      <c r="E83" s="275">
        <f>'Sch-1'!E83</f>
        <v>1000049505</v>
      </c>
      <c r="F83" s="278" t="str">
        <f>'Sch-1'!J83</f>
        <v>UHF PD SENSORS OF EACH TYPE ALONG WITH BNC CONNECTOR FOR 420KV GIS</v>
      </c>
      <c r="G83" s="275" t="str">
        <f>'Sch-1'!K83</f>
        <v xml:space="preserve">EA </v>
      </c>
      <c r="H83" s="275">
        <f>'Sch-1'!L83</f>
        <v>1</v>
      </c>
      <c r="I83" s="279"/>
      <c r="J83" s="280" t="str">
        <f t="shared" si="0"/>
        <v>INCLUDED</v>
      </c>
    </row>
    <row r="84" spans="1:10" ht="46.8">
      <c r="A84" s="331">
        <f>'Sch-1'!A84</f>
        <v>67</v>
      </c>
      <c r="B84" s="275">
        <f>'Sch-1'!B84</f>
        <v>7000026407</v>
      </c>
      <c r="C84" s="275">
        <f>'Sch-1'!C84</f>
        <v>480</v>
      </c>
      <c r="D84" s="275" t="str">
        <f>'Sch-1'!D84</f>
        <v xml:space="preserve">400KV GIS MANDATORY SPARES              </v>
      </c>
      <c r="E84" s="275">
        <f>'Sch-1'!E84</f>
        <v>1000058334</v>
      </c>
      <c r="F84" s="278" t="str">
        <f>'Sch-1'!J84</f>
        <v>400KV GIS-SUPPORT INSULATORS (GAS THROUGH) OF EACH TYPE (COMPLETE WITHMETAL RING ETC.) ALONG WITH ASSOCIATED CONTACTS AND SHIELDS</v>
      </c>
      <c r="G84" s="275" t="str">
        <f>'Sch-1'!K84</f>
        <v xml:space="preserve">EA </v>
      </c>
      <c r="H84" s="275">
        <f>'Sch-1'!L84</f>
        <v>1</v>
      </c>
      <c r="I84" s="279"/>
      <c r="J84" s="280" t="str">
        <f t="shared" si="0"/>
        <v>INCLUDED</v>
      </c>
    </row>
    <row r="85" spans="1:10" ht="46.8">
      <c r="A85" s="331">
        <f>'Sch-1'!A85</f>
        <v>68</v>
      </c>
      <c r="B85" s="275">
        <f>'Sch-1'!B85</f>
        <v>7000026407</v>
      </c>
      <c r="C85" s="275">
        <f>'Sch-1'!C85</f>
        <v>490</v>
      </c>
      <c r="D85" s="275" t="str">
        <f>'Sch-1'!D85</f>
        <v xml:space="preserve">400KV GIS MANDATORY SPARES              </v>
      </c>
      <c r="E85" s="275">
        <f>'Sch-1'!E85</f>
        <v>1000058329</v>
      </c>
      <c r="F85" s="278" t="str">
        <f>'Sch-1'!J85</f>
        <v>400KV GIS-GAS BARRIERS OF EACH TYPE (COMPLETE WITH METAL RING ETC.)ALONG WITH ASSOCIATED CONTACTS AND SHIELDS</v>
      </c>
      <c r="G85" s="275" t="str">
        <f>'Sch-1'!K85</f>
        <v xml:space="preserve">EA </v>
      </c>
      <c r="H85" s="275">
        <f>'Sch-1'!L85</f>
        <v>1</v>
      </c>
      <c r="I85" s="279"/>
      <c r="J85" s="280" t="str">
        <f t="shared" si="0"/>
        <v>INCLUDED</v>
      </c>
    </row>
    <row r="86" spans="1:10" ht="31.2">
      <c r="A86" s="331">
        <f>'Sch-1'!A86</f>
        <v>69</v>
      </c>
      <c r="B86" s="275">
        <f>'Sch-1'!B86</f>
        <v>7000026407</v>
      </c>
      <c r="C86" s="275">
        <f>'Sch-1'!C86</f>
        <v>500</v>
      </c>
      <c r="D86" s="275" t="str">
        <f>'Sch-1'!D86</f>
        <v xml:space="preserve">400KV GIS MANDATORY SPARES              </v>
      </c>
      <c r="E86" s="275">
        <f>'Sch-1'!E86</f>
        <v>1000058333</v>
      </c>
      <c r="F86" s="278" t="str">
        <f>'Sch-1'!J86</f>
        <v>400KV GIS- 3150A SF6 TO AIR BUSHING COMPLETE IN ALL RESPECT</v>
      </c>
      <c r="G86" s="275" t="str">
        <f>'Sch-1'!K86</f>
        <v xml:space="preserve">EA </v>
      </c>
      <c r="H86" s="275">
        <f>'Sch-1'!L86</f>
        <v>1</v>
      </c>
      <c r="I86" s="279"/>
      <c r="J86" s="280" t="str">
        <f t="shared" si="0"/>
        <v>INCLUDED</v>
      </c>
    </row>
    <row r="87" spans="1:10" ht="62.4">
      <c r="A87" s="331">
        <f>'Sch-1'!A87</f>
        <v>70</v>
      </c>
      <c r="B87" s="275">
        <f>'Sch-1'!B87</f>
        <v>7000026407</v>
      </c>
      <c r="C87" s="275">
        <f>'Sch-1'!C87</f>
        <v>510</v>
      </c>
      <c r="D87" s="275" t="str">
        <f>'Sch-1'!D87</f>
        <v xml:space="preserve">400KV GIS MANDATORY SPARES              </v>
      </c>
      <c r="E87" s="275">
        <f>'Sch-1'!E87</f>
        <v>1000049498</v>
      </c>
      <c r="F87" s="278" t="str">
        <f>'Sch-1'!J87</f>
        <v>LCC SPARES  - AUX. RELAYS, CONTACTORS,PUSH BUTTONS, SWITCHES,LAMPS,ANNUNCIATION WINDOWS, MCB, FUSES,TIMERS, TERMINAL BLOCKS ETC. OF EACHTYPE &amp; RATING-400kV GIS</v>
      </c>
      <c r="G87" s="275" t="str">
        <f>'Sch-1'!K87</f>
        <v>SET</v>
      </c>
      <c r="H87" s="275">
        <f>'Sch-1'!L87</f>
        <v>1</v>
      </c>
      <c r="I87" s="279"/>
      <c r="J87" s="280" t="str">
        <f t="shared" si="0"/>
        <v>INCLUDED</v>
      </c>
    </row>
    <row r="88" spans="1:10" ht="46.8">
      <c r="A88" s="331">
        <f>'Sch-1'!A88</f>
        <v>71</v>
      </c>
      <c r="B88" s="275">
        <f>'Sch-1'!B88</f>
        <v>7000026407</v>
      </c>
      <c r="C88" s="275">
        <f>'Sch-1'!C88</f>
        <v>520</v>
      </c>
      <c r="D88" s="275" t="str">
        <f>'Sch-1'!D88</f>
        <v xml:space="preserve">400KV GIS MANDATORY SPARES              </v>
      </c>
      <c r="E88" s="275">
        <f>'Sch-1'!E88</f>
        <v>1000058317</v>
      </c>
      <c r="F88" s="278" t="str">
        <f>'Sch-1'!J88</f>
        <v>400KV GIS-ONE POLE OF 3150A CIRCUIT BREAKER WITHOUT PIR WITHINTERRUPTER, MAIN CIRCUIT, ENCLOSURE AND OPERATING MECHANISM COMPLETEIN ALL RESPECT</v>
      </c>
      <c r="G88" s="275" t="str">
        <f>'Sch-1'!K88</f>
        <v>SET</v>
      </c>
      <c r="H88" s="275">
        <f>'Sch-1'!L88</f>
        <v>1</v>
      </c>
      <c r="I88" s="279"/>
      <c r="J88" s="280" t="str">
        <f t="shared" si="0"/>
        <v>INCLUDED</v>
      </c>
    </row>
    <row r="89" spans="1:10" ht="31.2">
      <c r="A89" s="331">
        <f>'Sch-1'!A89</f>
        <v>72</v>
      </c>
      <c r="B89" s="275">
        <f>'Sch-1'!B89</f>
        <v>7000026407</v>
      </c>
      <c r="C89" s="275">
        <f>'Sch-1'!C89</f>
        <v>530</v>
      </c>
      <c r="D89" s="275" t="str">
        <f>'Sch-1'!D89</f>
        <v xml:space="preserve">400KV GIS MANDATORY SPARES              </v>
      </c>
      <c r="E89" s="275">
        <f>'Sch-1'!E89</f>
        <v>1000021873</v>
      </c>
      <c r="F89" s="278" t="str">
        <f>'Sch-1'!J89</f>
        <v>Trip coil assembly with resistor for420kV GIS Circuit Breaker (asapplicable)</v>
      </c>
      <c r="G89" s="275" t="str">
        <f>'Sch-1'!K89</f>
        <v>SET</v>
      </c>
      <c r="H89" s="275">
        <f>'Sch-1'!L89</f>
        <v>3</v>
      </c>
      <c r="I89" s="279"/>
      <c r="J89" s="280" t="str">
        <f t="shared" si="0"/>
        <v>INCLUDED</v>
      </c>
    </row>
    <row r="90" spans="1:10" ht="31.2">
      <c r="A90" s="331">
        <f>'Sch-1'!A90</f>
        <v>73</v>
      </c>
      <c r="B90" s="275">
        <f>'Sch-1'!B90</f>
        <v>7000026407</v>
      </c>
      <c r="C90" s="275">
        <f>'Sch-1'!C90</f>
        <v>540</v>
      </c>
      <c r="D90" s="275" t="str">
        <f>'Sch-1'!D90</f>
        <v xml:space="preserve">400KV GIS MANDATORY SPARES              </v>
      </c>
      <c r="E90" s="275">
        <f>'Sch-1'!E90</f>
        <v>1000009208</v>
      </c>
      <c r="F90" s="278" t="str">
        <f>'Sch-1'!J90</f>
        <v>Closing coil assembly with resistor for420kV GIS Circuit Breaker (asapplicable)</v>
      </c>
      <c r="G90" s="275" t="str">
        <f>'Sch-1'!K90</f>
        <v>SET</v>
      </c>
      <c r="H90" s="275">
        <f>'Sch-1'!L90</f>
        <v>3</v>
      </c>
      <c r="I90" s="279"/>
      <c r="J90" s="280" t="str">
        <f t="shared" si="0"/>
        <v>INCLUDED</v>
      </c>
    </row>
    <row r="91" spans="1:10" ht="46.8">
      <c r="A91" s="331">
        <f>'Sch-1'!A91</f>
        <v>74</v>
      </c>
      <c r="B91" s="275">
        <f>'Sch-1'!B91</f>
        <v>7000026407</v>
      </c>
      <c r="C91" s="275">
        <f>'Sch-1'!C91</f>
        <v>550</v>
      </c>
      <c r="D91" s="275" t="str">
        <f>'Sch-1'!D91</f>
        <v xml:space="preserve">400KV GIS MANDATORY SPARES              </v>
      </c>
      <c r="E91" s="275">
        <f>'Sch-1'!E91</f>
        <v>1000058324</v>
      </c>
      <c r="F91" s="278" t="str">
        <f>'Sch-1'!J91</f>
        <v>RELAYS, POWER CONTACTORS, PUSH BUTTONS, TIMERS &amp; MCBS ETC. (ASAPPLICABLE) OF EACH TYPE FOR 400KV GIS CIRCUIT BREAKER</v>
      </c>
      <c r="G91" s="275" t="str">
        <f>'Sch-1'!K91</f>
        <v>SET</v>
      </c>
      <c r="H91" s="275">
        <f>'Sch-1'!L91</f>
        <v>1</v>
      </c>
      <c r="I91" s="279"/>
      <c r="J91" s="280" t="str">
        <f t="shared" si="0"/>
        <v>INCLUDED</v>
      </c>
    </row>
    <row r="92" spans="1:10" ht="31.2">
      <c r="A92" s="331">
        <f>'Sch-1'!A92</f>
        <v>75</v>
      </c>
      <c r="B92" s="275">
        <f>'Sch-1'!B92</f>
        <v>7000026407</v>
      </c>
      <c r="C92" s="275">
        <f>'Sch-1'!C92</f>
        <v>560</v>
      </c>
      <c r="D92" s="275" t="str">
        <f>'Sch-1'!D92</f>
        <v xml:space="preserve">400KV GIS MANDATORY SPARES              </v>
      </c>
      <c r="E92" s="275">
        <f>'Sch-1'!E92</f>
        <v>1000007067</v>
      </c>
      <c r="F92" s="278" t="str">
        <f>'Sch-1'!J92</f>
        <v>Auxiliary switch assembly of each type for 420kV GIS Circuit Breaker</v>
      </c>
      <c r="G92" s="275" t="str">
        <f>'Sch-1'!K92</f>
        <v>SET</v>
      </c>
      <c r="H92" s="275">
        <f>'Sch-1'!L92</f>
        <v>2</v>
      </c>
      <c r="I92" s="279"/>
      <c r="J92" s="280" t="str">
        <f t="shared" si="0"/>
        <v>INCLUDED</v>
      </c>
    </row>
    <row r="93" spans="1:10" ht="31.2">
      <c r="A93" s="331">
        <f>'Sch-1'!A93</f>
        <v>76</v>
      </c>
      <c r="B93" s="275">
        <f>'Sch-1'!B93</f>
        <v>7000026407</v>
      </c>
      <c r="C93" s="275">
        <f>'Sch-1'!C93</f>
        <v>570</v>
      </c>
      <c r="D93" s="275" t="str">
        <f>'Sch-1'!D93</f>
        <v xml:space="preserve">400KV GIS MANDATORY SPARES              </v>
      </c>
      <c r="E93" s="275">
        <f>'Sch-1'!E93</f>
        <v>1000058323</v>
      </c>
      <c r="F93" s="278" t="str">
        <f>'Sch-1'!J93</f>
        <v>400KV GIS CIRCUIT BREAKER-OPERATION COUNTER</v>
      </c>
      <c r="G93" s="275" t="str">
        <f>'Sch-1'!K93</f>
        <v xml:space="preserve">EA </v>
      </c>
      <c r="H93" s="275">
        <f>'Sch-1'!L93</f>
        <v>2</v>
      </c>
      <c r="I93" s="279"/>
      <c r="J93" s="280" t="str">
        <f t="shared" si="0"/>
        <v>INCLUDED</v>
      </c>
    </row>
    <row r="94" spans="1:10" ht="46.8">
      <c r="A94" s="331">
        <f>'Sch-1'!A94</f>
        <v>77</v>
      </c>
      <c r="B94" s="275">
        <f>'Sch-1'!B94</f>
        <v>7000026407</v>
      </c>
      <c r="C94" s="275">
        <f>'Sch-1'!C94</f>
        <v>580</v>
      </c>
      <c r="D94" s="275" t="str">
        <f>'Sch-1'!D94</f>
        <v xml:space="preserve">400KV GIS MANDATORY SPARES              </v>
      </c>
      <c r="E94" s="275">
        <f>'Sch-1'!E94</f>
        <v>1000058320</v>
      </c>
      <c r="F94" s="278" t="str">
        <f>'Sch-1'!J94</f>
        <v>400KV GIS CIRCUIT BREAKER-HYDRAULIC OPERATING MECHANISM WITH DRIVEMOTOR (FOR HYDRAULIC OPERATED MECHANISM, IF APPLICABLE)</v>
      </c>
      <c r="G94" s="275" t="str">
        <f>'Sch-1'!K94</f>
        <v>SET</v>
      </c>
      <c r="H94" s="275">
        <f>'Sch-1'!L94</f>
        <v>1</v>
      </c>
      <c r="I94" s="279"/>
      <c r="J94" s="280" t="str">
        <f t="shared" si="0"/>
        <v>INCLUDED</v>
      </c>
    </row>
    <row r="95" spans="1:10" ht="46.8">
      <c r="A95" s="331">
        <f>'Sch-1'!A95</f>
        <v>78</v>
      </c>
      <c r="B95" s="275">
        <f>'Sch-1'!B95</f>
        <v>7000026407</v>
      </c>
      <c r="C95" s="275">
        <f>'Sch-1'!C95</f>
        <v>590</v>
      </c>
      <c r="D95" s="275" t="str">
        <f>'Sch-1'!D95</f>
        <v xml:space="preserve">400KV GIS MANDATORY SPARES              </v>
      </c>
      <c r="E95" s="275">
        <f>'Sch-1'!E95</f>
        <v>1000049759</v>
      </c>
      <c r="F95" s="278" t="str">
        <f>'Sch-1'!J95</f>
        <v>HYDRAULIC FILTER OF EACH TYPE (FOR HYDRAULIC OPERATED MECHANISM, IFPPLICABLE)-400KV GIS CIRCUIT BREKAER</v>
      </c>
      <c r="G95" s="275" t="str">
        <f>'Sch-1'!K95</f>
        <v>SET</v>
      </c>
      <c r="H95" s="275">
        <f>'Sch-1'!L95</f>
        <v>1</v>
      </c>
      <c r="I95" s="279"/>
      <c r="J95" s="280" t="str">
        <f t="shared" si="0"/>
        <v>INCLUDED</v>
      </c>
    </row>
    <row r="96" spans="1:10" ht="46.8">
      <c r="A96" s="331">
        <f>'Sch-1'!A96</f>
        <v>79</v>
      </c>
      <c r="B96" s="275">
        <f>'Sch-1'!B96</f>
        <v>7000026407</v>
      </c>
      <c r="C96" s="275">
        <f>'Sch-1'!C96</f>
        <v>600</v>
      </c>
      <c r="D96" s="275" t="str">
        <f>'Sch-1'!D96</f>
        <v xml:space="preserve">400KV GIS MANDATORY SPARES              </v>
      </c>
      <c r="E96" s="275">
        <f>'Sch-1'!E96</f>
        <v>1000058319</v>
      </c>
      <c r="F96" s="278" t="str">
        <f>'Sch-1'!J96</f>
        <v>400KV GIS CIRCUIT BREAKER- HOSE PIPE OF EACH TYPE (AS APPLICABLE) (FORHYDRAULIC OPERATED MECHANISM, IF APPLICABLE)</v>
      </c>
      <c r="G96" s="275" t="str">
        <f>'Sch-1'!K96</f>
        <v>SET</v>
      </c>
      <c r="H96" s="275">
        <f>'Sch-1'!L96</f>
        <v>1</v>
      </c>
      <c r="I96" s="279"/>
      <c r="J96" s="280" t="str">
        <f t="shared" si="0"/>
        <v>INCLUDED</v>
      </c>
    </row>
    <row r="97" spans="1:10" ht="31.2">
      <c r="A97" s="331">
        <f>'Sch-1'!A97</f>
        <v>80</v>
      </c>
      <c r="B97" s="275">
        <f>'Sch-1'!B97</f>
        <v>7000026407</v>
      </c>
      <c r="C97" s="275">
        <f>'Sch-1'!C97</f>
        <v>610</v>
      </c>
      <c r="D97" s="275" t="str">
        <f>'Sch-1'!D97</f>
        <v xml:space="preserve">400KV GIS MANDATORY SPARES              </v>
      </c>
      <c r="E97" s="275">
        <f>'Sch-1'!E97</f>
        <v>1000058322</v>
      </c>
      <c r="F97" s="278" t="str">
        <f>'Sch-1'!J97</f>
        <v>400KV GIS CIRCUIT BREAKER - N2 ACCUMULATOR (FOR HYDRAULIC OPERATEDMECHANISM, IF APPLICABLE)</v>
      </c>
      <c r="G97" s="275" t="str">
        <f>'Sch-1'!K97</f>
        <v>SET</v>
      </c>
      <c r="H97" s="275">
        <f>'Sch-1'!L97</f>
        <v>1</v>
      </c>
      <c r="I97" s="279"/>
      <c r="J97" s="280" t="str">
        <f t="shared" si="0"/>
        <v>INCLUDED</v>
      </c>
    </row>
    <row r="98" spans="1:10" ht="31.2">
      <c r="A98" s="331">
        <f>'Sch-1'!A98</f>
        <v>81</v>
      </c>
      <c r="B98" s="275">
        <f>'Sch-1'!B98</f>
        <v>7000026407</v>
      </c>
      <c r="C98" s="275">
        <f>'Sch-1'!C98</f>
        <v>620</v>
      </c>
      <c r="D98" s="275" t="str">
        <f>'Sch-1'!D98</f>
        <v xml:space="preserve">400KV GIS MANDATORY SPARES              </v>
      </c>
      <c r="E98" s="275">
        <f>'Sch-1'!E98</f>
        <v>1000049835</v>
      </c>
      <c r="F98" s="278" t="str">
        <f>'Sch-1'!J98</f>
        <v>VALVES OF EACH TYPE (FOR HYDRAULIC OPERATED MECHANISM, IFAPPLICABLE)-400KV GIS CIRCUIT BREKAER</v>
      </c>
      <c r="G98" s="275" t="str">
        <f>'Sch-1'!K98</f>
        <v>SET</v>
      </c>
      <c r="H98" s="275">
        <f>'Sch-1'!L98</f>
        <v>1</v>
      </c>
      <c r="I98" s="279"/>
      <c r="J98" s="280" t="str">
        <f t="shared" si="0"/>
        <v>INCLUDED</v>
      </c>
    </row>
    <row r="99" spans="1:10" ht="46.8">
      <c r="A99" s="331">
        <f>'Sch-1'!A99</f>
        <v>82</v>
      </c>
      <c r="B99" s="275">
        <f>'Sch-1'!B99</f>
        <v>7000026407</v>
      </c>
      <c r="C99" s="275">
        <f>'Sch-1'!C99</f>
        <v>630</v>
      </c>
      <c r="D99" s="275" t="str">
        <f>'Sch-1'!D99</f>
        <v xml:space="preserve">400KV GIS MANDATORY SPARES              </v>
      </c>
      <c r="E99" s="275">
        <f>'Sch-1'!E99</f>
        <v>1000049795</v>
      </c>
      <c r="F99" s="278" t="str">
        <f>'Sch-1'!J99</f>
        <v>PIPE LENGTH (COPPER &amp; STEEL) OF EACH SIZE &amp; TYPE (FOR HYDRAULICOPERATED MECHANISM, IF APPLICABLE)-400KV GIS CIRCUIT BREKAER</v>
      </c>
      <c r="G99" s="275" t="str">
        <f>'Sch-1'!K99</f>
        <v>SET</v>
      </c>
      <c r="H99" s="275">
        <f>'Sch-1'!L99</f>
        <v>1</v>
      </c>
      <c r="I99" s="279"/>
      <c r="J99" s="280" t="str">
        <f t="shared" si="0"/>
        <v>INCLUDED</v>
      </c>
    </row>
    <row r="100" spans="1:10" ht="46.8">
      <c r="A100" s="331">
        <f>'Sch-1'!A100</f>
        <v>83</v>
      </c>
      <c r="B100" s="275">
        <f>'Sch-1'!B100</f>
        <v>7000026407</v>
      </c>
      <c r="C100" s="275">
        <f>'Sch-1'!C100</f>
        <v>640</v>
      </c>
      <c r="D100" s="275" t="str">
        <f>'Sch-1'!D100</f>
        <v xml:space="preserve">400KV GIS MANDATORY SPARES              </v>
      </c>
      <c r="E100" s="275">
        <f>'Sch-1'!E100</f>
        <v>1000049808</v>
      </c>
      <c r="F100" s="278" t="str">
        <f>'Sch-1'!J100</f>
        <v>PRESSURE SWITCHES OF EACH TYPE (FOR HYDRAULIC OPERATED MECHANISM, IFAPPLICABLE)-400KV GIS CIRCUIT BREKAER</v>
      </c>
      <c r="G100" s="275" t="str">
        <f>'Sch-1'!K100</f>
        <v>SET</v>
      </c>
      <c r="H100" s="275">
        <f>'Sch-1'!L100</f>
        <v>1</v>
      </c>
      <c r="I100" s="279"/>
      <c r="J100" s="280" t="str">
        <f t="shared" si="0"/>
        <v>INCLUDED</v>
      </c>
    </row>
    <row r="101" spans="1:10" ht="46.8">
      <c r="A101" s="331">
        <f>'Sch-1'!A101</f>
        <v>84</v>
      </c>
      <c r="B101" s="275">
        <f>'Sch-1'!B101</f>
        <v>7000026407</v>
      </c>
      <c r="C101" s="275">
        <f>'Sch-1'!C101</f>
        <v>650</v>
      </c>
      <c r="D101" s="275" t="str">
        <f>'Sch-1'!D101</f>
        <v xml:space="preserve">400KV GIS MANDATORY SPARES              </v>
      </c>
      <c r="E101" s="275">
        <f>'Sch-1'!E101</f>
        <v>1000049805</v>
      </c>
      <c r="F101" s="278" t="str">
        <f>'Sch-1'!J101</f>
        <v>PRESSURE GAUGE WITH COUPLING DEVICE OF EACH TYPE (FOR HYDRAULICOPERATED MECHANISM, IF APPLICABLE)-400KV GIS CIRCUIT BREKAER</v>
      </c>
      <c r="G101" s="275" t="str">
        <f>'Sch-1'!K101</f>
        <v>SET</v>
      </c>
      <c r="H101" s="275">
        <f>'Sch-1'!L101</f>
        <v>1</v>
      </c>
      <c r="I101" s="279"/>
      <c r="J101" s="280" t="str">
        <f t="shared" si="0"/>
        <v>INCLUDED</v>
      </c>
    </row>
    <row r="102" spans="1:10" ht="46.8">
      <c r="A102" s="331">
        <f>'Sch-1'!A102</f>
        <v>85</v>
      </c>
      <c r="B102" s="275">
        <f>'Sch-1'!B102</f>
        <v>7000026407</v>
      </c>
      <c r="C102" s="275">
        <f>'Sch-1'!C102</f>
        <v>660</v>
      </c>
      <c r="D102" s="275" t="str">
        <f>'Sch-1'!D102</f>
        <v xml:space="preserve">400KV GIS MANDATORY SPARES              </v>
      </c>
      <c r="E102" s="275">
        <f>'Sch-1'!E102</f>
        <v>1000058321</v>
      </c>
      <c r="F102" s="278" t="str">
        <f>'Sch-1'!J102</f>
        <v>400KV GIS CIRCUIT BREAKER-HYDRAULIC OIL (5% OF TOTAL OIL QUANTITY)(FOR HYDRAULIC OPERATED MECHANISM, IF APPLICABLE)</v>
      </c>
      <c r="G102" s="275" t="str">
        <f>'Sch-1'!K102</f>
        <v>SET</v>
      </c>
      <c r="H102" s="275">
        <f>'Sch-1'!L102</f>
        <v>1</v>
      </c>
      <c r="I102" s="279"/>
      <c r="J102" s="280" t="str">
        <f t="shared" si="0"/>
        <v>INCLUDED</v>
      </c>
    </row>
    <row r="103" spans="1:10" ht="46.8">
      <c r="A103" s="331">
        <f>'Sch-1'!A103</f>
        <v>86</v>
      </c>
      <c r="B103" s="275">
        <f>'Sch-1'!B103</f>
        <v>7000026407</v>
      </c>
      <c r="C103" s="275">
        <f>'Sch-1'!C103</f>
        <v>670</v>
      </c>
      <c r="D103" s="275" t="str">
        <f>'Sch-1'!D103</f>
        <v xml:space="preserve">400KV GIS MANDATORY SPARES              </v>
      </c>
      <c r="E103" s="275">
        <f>'Sch-1'!E103</f>
        <v>1000049799</v>
      </c>
      <c r="F103" s="278" t="str">
        <f>'Sch-1'!J103</f>
        <v>PRESSURE RELIEF DEVICE OF EACH TYPE (FOR HYDRAULIC OPERATED MECHANISM,IF APPLICABLE)-400KV GIS CIRCUIT BREKAER</v>
      </c>
      <c r="G103" s="275" t="str">
        <f>'Sch-1'!K103</f>
        <v>SET</v>
      </c>
      <c r="H103" s="275">
        <f>'Sch-1'!L103</f>
        <v>1</v>
      </c>
      <c r="I103" s="279"/>
      <c r="J103" s="280" t="str">
        <f t="shared" si="0"/>
        <v>INCLUDED</v>
      </c>
    </row>
    <row r="104" spans="1:10" ht="62.4">
      <c r="A104" s="331">
        <f>'Sch-1'!A104</f>
        <v>87</v>
      </c>
      <c r="B104" s="275">
        <f>'Sch-1'!B104</f>
        <v>7000026407</v>
      </c>
      <c r="C104" s="275">
        <f>'Sch-1'!C104</f>
        <v>680</v>
      </c>
      <c r="D104" s="275" t="str">
        <f>'Sch-1'!D104</f>
        <v xml:space="preserve">400KV GIS MANDATORY SPARES              </v>
      </c>
      <c r="E104" s="275">
        <f>'Sch-1'!E104</f>
        <v>1000058325</v>
      </c>
      <c r="F104" s="278" t="str">
        <f>'Sch-1'!J104</f>
        <v>400KV GIS CIRCUIT BREAKER-COMPLETE SPRING OPERATING MECHANISMINCLUDING CHARGING MECHANISM ETC. (FOR SPRING OPERATED MECHANISM, IFAPPLICABLE)</v>
      </c>
      <c r="G104" s="275" t="str">
        <f>'Sch-1'!K104</f>
        <v>SET</v>
      </c>
      <c r="H104" s="275">
        <f>'Sch-1'!L104</f>
        <v>1</v>
      </c>
      <c r="I104" s="279"/>
      <c r="J104" s="280" t="str">
        <f t="shared" ref="J104:J201" si="2">IF(I104=0, "INCLUDED", IF(ISERROR(I104*H104), I104, I104*H104))</f>
        <v>INCLUDED</v>
      </c>
    </row>
    <row r="105" spans="1:10" ht="62.4">
      <c r="A105" s="331">
        <f>'Sch-1'!A105</f>
        <v>88</v>
      </c>
      <c r="B105" s="275">
        <f>'Sch-1'!B105</f>
        <v>7000026407</v>
      </c>
      <c r="C105" s="275">
        <f>'Sch-1'!C105</f>
        <v>690</v>
      </c>
      <c r="D105" s="275" t="str">
        <f>'Sch-1'!D105</f>
        <v xml:space="preserve">400KV GIS MANDATORY SPARES              </v>
      </c>
      <c r="E105" s="275">
        <f>'Sch-1'!E105</f>
        <v>1000058318</v>
      </c>
      <c r="F105" s="278" t="str">
        <f>'Sch-1'!J105</f>
        <v>400KV GIS CIRCUIT BREAKER- COMPLETE HYDRAULIC-SPRING OPERATINGMECHANISM INCLUDING CHARGING MECHANISM ETC. (FOR HYDRAULIC-SPRINGOPERATED MECHANISM, IF APPLICABLE)</v>
      </c>
      <c r="G105" s="275" t="str">
        <f>'Sch-1'!K105</f>
        <v>SET</v>
      </c>
      <c r="H105" s="275">
        <f>'Sch-1'!L105</f>
        <v>1</v>
      </c>
      <c r="I105" s="279"/>
      <c r="J105" s="280" t="str">
        <f t="shared" si="2"/>
        <v>INCLUDED</v>
      </c>
    </row>
    <row r="106" spans="1:10" ht="46.8">
      <c r="A106" s="331">
        <f>'Sch-1'!A106</f>
        <v>89</v>
      </c>
      <c r="B106" s="275">
        <f>'Sch-1'!B106</f>
        <v>7000026407</v>
      </c>
      <c r="C106" s="275">
        <f>'Sch-1'!C106</f>
        <v>700</v>
      </c>
      <c r="D106" s="275" t="str">
        <f>'Sch-1'!D106</f>
        <v xml:space="preserve">400KV GIS MANDATORY SPARES              </v>
      </c>
      <c r="E106" s="275">
        <f>'Sch-1'!E106</f>
        <v>1000049495</v>
      </c>
      <c r="F106" s="278" t="str">
        <f>'Sch-1'!J106</f>
        <v>PRESSURE SWITCHES OF EACH TYPE FOR420KV GIS  CIRCUIT BREAKER (ForHydraulic-Spring Operated Mechanism, ifapplicable)</v>
      </c>
      <c r="G106" s="275" t="str">
        <f>'Sch-1'!K106</f>
        <v>SET</v>
      </c>
      <c r="H106" s="275">
        <f>'Sch-1'!L106</f>
        <v>1</v>
      </c>
      <c r="I106" s="279"/>
      <c r="J106" s="280" t="str">
        <f t="shared" ref="J106:J152" si="3">IF(I106=0, "INCLUDED", IF(ISERROR(I106*H106), I106, I106*H106))</f>
        <v>INCLUDED</v>
      </c>
    </row>
    <row r="107" spans="1:10" ht="46.8">
      <c r="A107" s="331">
        <f>'Sch-1'!A107</f>
        <v>90</v>
      </c>
      <c r="B107" s="275">
        <f>'Sch-1'!B107</f>
        <v>7000026407</v>
      </c>
      <c r="C107" s="275">
        <f>'Sch-1'!C107</f>
        <v>710</v>
      </c>
      <c r="D107" s="275" t="str">
        <f>'Sch-1'!D107</f>
        <v xml:space="preserve">400KV GIS MANDATORY SPARES              </v>
      </c>
      <c r="E107" s="275">
        <f>'Sch-1'!E107</f>
        <v>1000049802</v>
      </c>
      <c r="F107" s="278" t="str">
        <f>'Sch-1'!J107</f>
        <v>PRESSURE GAUGE WITH COUPLING DEVICE OF EACH TYPE (FOR HYDRAULIC-SPRINGOPERATED MECHANISM, IF APPLICABLE)-400KV GIS CIRCUIT BREKAER</v>
      </c>
      <c r="G107" s="275" t="str">
        <f>'Sch-1'!K107</f>
        <v>SET</v>
      </c>
      <c r="H107" s="275">
        <f>'Sch-1'!L107</f>
        <v>1</v>
      </c>
      <c r="I107" s="279"/>
      <c r="J107" s="280" t="str">
        <f t="shared" si="3"/>
        <v>INCLUDED</v>
      </c>
    </row>
    <row r="108" spans="1:10" ht="405.6">
      <c r="A108" s="331">
        <f>'Sch-1'!A108</f>
        <v>91</v>
      </c>
      <c r="B108" s="275">
        <f>'Sch-1'!B108</f>
        <v>7000026407</v>
      </c>
      <c r="C108" s="275">
        <f>'Sch-1'!C108</f>
        <v>720</v>
      </c>
      <c r="D108" s="275" t="str">
        <f>'Sch-1'!D108</f>
        <v xml:space="preserve">400KV GIS MANDATORY SPARES              </v>
      </c>
      <c r="E108" s="275">
        <f>'Sch-1'!E108</f>
        <v>1000058374</v>
      </c>
      <c r="F108" s="278" t="str">
        <f>'Sch-1'!J108</f>
        <v>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108" s="275" t="str">
        <f>'Sch-1'!K108</f>
        <v xml:space="preserve">EA </v>
      </c>
      <c r="H108" s="275">
        <f>'Sch-1'!L108</f>
        <v>1</v>
      </c>
      <c r="I108" s="279"/>
      <c r="J108" s="280" t="str">
        <f t="shared" si="3"/>
        <v>INCLUDED</v>
      </c>
    </row>
    <row r="109" spans="1:10" ht="265.2">
      <c r="A109" s="331">
        <f>'Sch-1'!A109</f>
        <v>92</v>
      </c>
      <c r="B109" s="275">
        <f>'Sch-1'!B109</f>
        <v>7000026407</v>
      </c>
      <c r="C109" s="275">
        <f>'Sch-1'!C109</f>
        <v>730</v>
      </c>
      <c r="D109" s="275" t="str">
        <f>'Sch-1'!D109</f>
        <v xml:space="preserve">400KV GIS MANDATORY SPARES              </v>
      </c>
      <c r="E109" s="275">
        <f>'Sch-1'!E109</f>
        <v>1000058314</v>
      </c>
      <c r="F109" s="278" t="str">
        <f>'Sch-1'!J109</f>
        <v>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109" s="275" t="str">
        <f>'Sch-1'!K109</f>
        <v xml:space="preserve">EA </v>
      </c>
      <c r="H109" s="275">
        <f>'Sch-1'!L109</f>
        <v>1</v>
      </c>
      <c r="I109" s="279"/>
      <c r="J109" s="280" t="str">
        <f t="shared" si="3"/>
        <v>INCLUDED</v>
      </c>
    </row>
    <row r="110" spans="1:10" ht="265.2">
      <c r="A110" s="331">
        <f>'Sch-1'!A110</f>
        <v>93</v>
      </c>
      <c r="B110" s="275">
        <f>'Sch-1'!B110</f>
        <v>7000026407</v>
      </c>
      <c r="C110" s="275">
        <f>'Sch-1'!C110</f>
        <v>740</v>
      </c>
      <c r="D110" s="275" t="str">
        <f>'Sch-1'!D110</f>
        <v xml:space="preserve">400KV GIS MANDATORY SPARES              </v>
      </c>
      <c r="E110" s="275">
        <f>'Sch-1'!E110</f>
        <v>1000058310</v>
      </c>
      <c r="F110" s="278" t="str">
        <f>'Sch-1'!J110</f>
        <v>400KV GIS - SINGLE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v>
      </c>
      <c r="G110" s="275" t="str">
        <f>'Sch-1'!K110</f>
        <v xml:space="preserve">EA </v>
      </c>
      <c r="H110" s="275">
        <f>'Sch-1'!L110</f>
        <v>1</v>
      </c>
      <c r="I110" s="279"/>
      <c r="J110" s="280" t="str">
        <f t="shared" si="3"/>
        <v>INCLUDED</v>
      </c>
    </row>
    <row r="111" spans="1:10" ht="109.2">
      <c r="A111" s="331">
        <f>'Sch-1'!A111</f>
        <v>94</v>
      </c>
      <c r="B111" s="275">
        <f>'Sch-1'!B111</f>
        <v>7000026407</v>
      </c>
      <c r="C111" s="275">
        <f>'Sch-1'!C111</f>
        <v>750</v>
      </c>
      <c r="D111" s="275" t="str">
        <f>'Sch-1'!D111</f>
        <v xml:space="preserve">400KV GIS MANDATORY SPARES              </v>
      </c>
      <c r="E111" s="275">
        <f>'Sch-1'!E111</f>
        <v>1000058305</v>
      </c>
      <c r="F111" s="278" t="str">
        <f>'Sch-1'!J111</f>
        <v>OPEN/CLOSE CONTACTOR ASSEMBLY, TIMERS, KEY INTERLOCK, INTERLOCKINGCOILS, RELAYS, PUSH BUTTONS, INDICATING LAMPS, POWER CONTACTORS,RESISTORS, FUSES, MCBS &amp; DRIVE CONTROL CARDS ETC. (AS APPLICABLE) ONEOF EACH TYPE FOR ONE COMPLETE MOM BOX FOR 400KV GIS DISCONNECTORSWITCH</v>
      </c>
      <c r="G111" s="275" t="str">
        <f>'Sch-1'!K111</f>
        <v>SET</v>
      </c>
      <c r="H111" s="275">
        <f>'Sch-1'!L111</f>
        <v>1</v>
      </c>
      <c r="I111" s="279"/>
      <c r="J111" s="280" t="str">
        <f t="shared" si="3"/>
        <v>INCLUDED</v>
      </c>
    </row>
    <row r="112" spans="1:10" ht="109.2">
      <c r="A112" s="331">
        <f>'Sch-1'!A112</f>
        <v>95</v>
      </c>
      <c r="B112" s="275">
        <f>'Sch-1'!B112</f>
        <v>7000026407</v>
      </c>
      <c r="C112" s="275">
        <f>'Sch-1'!C112</f>
        <v>760</v>
      </c>
      <c r="D112" s="275" t="str">
        <f>'Sch-1'!D112</f>
        <v xml:space="preserve">400KV GIS MANDATORY SPARES              </v>
      </c>
      <c r="E112" s="275">
        <f>'Sch-1'!E112</f>
        <v>1000058312</v>
      </c>
      <c r="F112" s="278" t="str">
        <f>'Sch-1'!J112</f>
        <v>OPEN/CLOSE CONTACTOR ASSEMBLY, TIMERS, KEY INTERLOCK, INTERLOCKINGCOILS, RELAYS, PUSH BUTTONS, INDICATING LAMPS, POWER CONTACTORS,RESISTORS, FUSES, MCBS &amp; DRIVE CONTROL CARDS ETC. (AS APPLICABLE) ONEOF EACH TYPE FOR ONE COMPLETE MOM BOX FOR 400KV GIS MAINTENANCE EARTHSWITCH</v>
      </c>
      <c r="G112" s="275" t="str">
        <f>'Sch-1'!K112</f>
        <v>SET</v>
      </c>
      <c r="H112" s="275">
        <f>'Sch-1'!L112</f>
        <v>1</v>
      </c>
      <c r="I112" s="279"/>
      <c r="J112" s="280" t="str">
        <f t="shared" si="3"/>
        <v>INCLUDED</v>
      </c>
    </row>
    <row r="113" spans="1:10" ht="109.2">
      <c r="A113" s="331">
        <f>'Sch-1'!A113</f>
        <v>96</v>
      </c>
      <c r="B113" s="275">
        <f>'Sch-1'!B113</f>
        <v>7000026407</v>
      </c>
      <c r="C113" s="275">
        <f>'Sch-1'!C113</f>
        <v>770</v>
      </c>
      <c r="D113" s="275" t="str">
        <f>'Sch-1'!D113</f>
        <v xml:space="preserve">400KV GIS MANDATORY SPARES              </v>
      </c>
      <c r="E113" s="275">
        <f>'Sch-1'!E113</f>
        <v>1000058308</v>
      </c>
      <c r="F113" s="278" t="str">
        <f>'Sch-1'!J113</f>
        <v>OPEN/CLOSE CONTACTOR ASSEMBLY, TIMERS, KEY INTERLOCK, INTERLOCKINGCOILS, RELAYS, PUSH BUTTONS, INDICATING LAMPS, POWER CONTACTORS,RESISTORS, FUSES, MCBS &amp; DRIVE CONTROL CARDS ETC. (AS APPLICABLE) ONEOF EACH TYPE FOR ONE COMPLETE MOM BOX FOR 400KV GIS FAST EARTHINGSWITCH</v>
      </c>
      <c r="G113" s="275" t="str">
        <f>'Sch-1'!K113</f>
        <v>SET</v>
      </c>
      <c r="H113" s="275">
        <f>'Sch-1'!L113</f>
        <v>1</v>
      </c>
      <c r="I113" s="279"/>
      <c r="J113" s="280" t="str">
        <f t="shared" si="3"/>
        <v>INCLUDED</v>
      </c>
    </row>
    <row r="114" spans="1:10" ht="31.2">
      <c r="A114" s="331">
        <f>'Sch-1'!A114</f>
        <v>97</v>
      </c>
      <c r="B114" s="275">
        <f>'Sch-1'!B114</f>
        <v>7000026407</v>
      </c>
      <c r="C114" s="275">
        <f>'Sch-1'!C114</f>
        <v>780</v>
      </c>
      <c r="D114" s="275" t="str">
        <f>'Sch-1'!D114</f>
        <v xml:space="preserve">400KV GIS MANDATORY SPARES              </v>
      </c>
      <c r="E114" s="275">
        <f>'Sch-1'!E114</f>
        <v>1000049776</v>
      </c>
      <c r="F114" s="278" t="str">
        <f>'Sch-1'!J114</f>
        <v>LIMIT SWITCHES AND AUX. SWITCHES FOR ONE COMPLETE MOM BOX FORDISCONNECTOR-400KV GIS</v>
      </c>
      <c r="G114" s="275" t="str">
        <f>'Sch-1'!K114</f>
        <v>SET</v>
      </c>
      <c r="H114" s="275">
        <f>'Sch-1'!L114</f>
        <v>2</v>
      </c>
      <c r="I114" s="279"/>
      <c r="J114" s="280" t="str">
        <f t="shared" si="3"/>
        <v>INCLUDED</v>
      </c>
    </row>
    <row r="115" spans="1:10" ht="31.2">
      <c r="A115" s="331">
        <f>'Sch-1'!A115</f>
        <v>98</v>
      </c>
      <c r="B115" s="275">
        <f>'Sch-1'!B115</f>
        <v>7000026407</v>
      </c>
      <c r="C115" s="275">
        <f>'Sch-1'!C115</f>
        <v>790</v>
      </c>
      <c r="D115" s="275" t="str">
        <f>'Sch-1'!D115</f>
        <v xml:space="preserve">400KV GIS MANDATORY SPARES              </v>
      </c>
      <c r="E115" s="275">
        <f>'Sch-1'!E115</f>
        <v>1000049778</v>
      </c>
      <c r="F115" s="278" t="str">
        <f>'Sch-1'!J115</f>
        <v>LIMIT SWITCHES AND AUX. SWITCHES FOR ONE COMPLETE MOM BOX FORMAINTENANCE EARTHING SWITCH-400KV GIS</v>
      </c>
      <c r="G115" s="275" t="str">
        <f>'Sch-1'!K115</f>
        <v>SET</v>
      </c>
      <c r="H115" s="275">
        <f>'Sch-1'!L115</f>
        <v>2</v>
      </c>
      <c r="I115" s="279"/>
      <c r="J115" s="280" t="str">
        <f t="shared" si="3"/>
        <v>INCLUDED</v>
      </c>
    </row>
    <row r="116" spans="1:10" ht="46.8">
      <c r="A116" s="331">
        <f>'Sch-1'!A116</f>
        <v>99</v>
      </c>
      <c r="B116" s="275">
        <f>'Sch-1'!B116</f>
        <v>7000026407</v>
      </c>
      <c r="C116" s="275">
        <f>'Sch-1'!C116</f>
        <v>800</v>
      </c>
      <c r="D116" s="275" t="str">
        <f>'Sch-1'!D116</f>
        <v xml:space="preserve">400KV GIS MANDATORY SPARES              </v>
      </c>
      <c r="E116" s="275">
        <f>'Sch-1'!E116</f>
        <v>1000049777</v>
      </c>
      <c r="F116" s="278" t="str">
        <f>'Sch-1'!J116</f>
        <v>LIMIT SWITCHES AND AUX. SWITCHES FOR ONE COMPLETE MOM BOX FOR FASTEARTHING SWITCH (IF APPLICABLE)-400KV GIS</v>
      </c>
      <c r="G116" s="275" t="str">
        <f>'Sch-1'!K116</f>
        <v>SET</v>
      </c>
      <c r="H116" s="275">
        <f>'Sch-1'!L116</f>
        <v>2</v>
      </c>
      <c r="I116" s="279"/>
      <c r="J116" s="280" t="str">
        <f t="shared" si="3"/>
        <v>INCLUDED</v>
      </c>
    </row>
    <row r="117" spans="1:10" ht="31.2">
      <c r="A117" s="331">
        <f>'Sch-1'!A117</f>
        <v>100</v>
      </c>
      <c r="B117" s="275">
        <f>'Sch-1'!B117</f>
        <v>7000026407</v>
      </c>
      <c r="C117" s="275">
        <f>'Sch-1'!C117</f>
        <v>810</v>
      </c>
      <c r="D117" s="275" t="str">
        <f>'Sch-1'!D117</f>
        <v xml:space="preserve">400KV GIS MANDATORY SPARES              </v>
      </c>
      <c r="E117" s="275">
        <f>'Sch-1'!E117</f>
        <v>1000058306</v>
      </c>
      <c r="F117" s="278" t="str">
        <f>'Sch-1'!J117</f>
        <v>DRIVE MECHANISM FOR 400KV GIS DISCONNECTOR SWITCH</v>
      </c>
      <c r="G117" s="275" t="str">
        <f>'Sch-1'!K117</f>
        <v>SET</v>
      </c>
      <c r="H117" s="275">
        <f>'Sch-1'!L117</f>
        <v>1</v>
      </c>
      <c r="I117" s="279"/>
      <c r="J117" s="280" t="str">
        <f t="shared" si="3"/>
        <v>INCLUDED</v>
      </c>
    </row>
    <row r="118" spans="1:10" ht="31.2">
      <c r="A118" s="331">
        <f>'Sch-1'!A118</f>
        <v>101</v>
      </c>
      <c r="B118" s="275">
        <f>'Sch-1'!B118</f>
        <v>7000026407</v>
      </c>
      <c r="C118" s="275">
        <f>'Sch-1'!C118</f>
        <v>820</v>
      </c>
      <c r="D118" s="275" t="str">
        <f>'Sch-1'!D118</f>
        <v xml:space="preserve">400KV GIS MANDATORY SPARES              </v>
      </c>
      <c r="E118" s="275">
        <f>'Sch-1'!E118</f>
        <v>1000058313</v>
      </c>
      <c r="F118" s="278" t="str">
        <f>'Sch-1'!J118</f>
        <v>DRIVE MECHANISM FOR 400KV GIS MAINTENANCE EARTH SWITCH</v>
      </c>
      <c r="G118" s="275" t="str">
        <f>'Sch-1'!K118</f>
        <v>SET</v>
      </c>
      <c r="H118" s="275">
        <f>'Sch-1'!L118</f>
        <v>1</v>
      </c>
      <c r="I118" s="279"/>
      <c r="J118" s="280" t="str">
        <f t="shared" si="3"/>
        <v>INCLUDED</v>
      </c>
    </row>
    <row r="119" spans="1:10" ht="31.2">
      <c r="A119" s="331">
        <f>'Sch-1'!A119</f>
        <v>102</v>
      </c>
      <c r="B119" s="275">
        <f>'Sch-1'!B119</f>
        <v>7000026407</v>
      </c>
      <c r="C119" s="275">
        <f>'Sch-1'!C119</f>
        <v>830</v>
      </c>
      <c r="D119" s="275" t="str">
        <f>'Sch-1'!D119</f>
        <v xml:space="preserve">400KV GIS MANDATORY SPARES              </v>
      </c>
      <c r="E119" s="275">
        <f>'Sch-1'!E119</f>
        <v>1000058309</v>
      </c>
      <c r="F119" s="278" t="str">
        <f>'Sch-1'!J119</f>
        <v>DRIVE MECHANISM FOR 400KV GIS FAST EARTHING SWITCH</v>
      </c>
      <c r="G119" s="275" t="str">
        <f>'Sch-1'!K119</f>
        <v>SET</v>
      </c>
      <c r="H119" s="275">
        <f>'Sch-1'!L119</f>
        <v>1</v>
      </c>
      <c r="I119" s="279"/>
      <c r="J119" s="280" t="str">
        <f t="shared" si="3"/>
        <v>INCLUDED</v>
      </c>
    </row>
    <row r="120" spans="1:10" ht="31.2">
      <c r="A120" s="331">
        <f>'Sch-1'!A120</f>
        <v>103</v>
      </c>
      <c r="B120" s="275">
        <f>'Sch-1'!B120</f>
        <v>7000026407</v>
      </c>
      <c r="C120" s="275">
        <f>'Sch-1'!C120</f>
        <v>840</v>
      </c>
      <c r="D120" s="275" t="str">
        <f>'Sch-1'!D120</f>
        <v xml:space="preserve">400KV GIS MANDATORY SPARES              </v>
      </c>
      <c r="E120" s="275">
        <f>'Sch-1'!E120</f>
        <v>1000058307</v>
      </c>
      <c r="F120" s="278" t="str">
        <f>'Sch-1'!J120</f>
        <v>MOTOR FOR DRIVE MECHANISM FOR 400KV GIS DISCONNECTOR SWITCH</v>
      </c>
      <c r="G120" s="275" t="str">
        <f>'Sch-1'!K120</f>
        <v xml:space="preserve">EA </v>
      </c>
      <c r="H120" s="275">
        <f>'Sch-1'!L120</f>
        <v>1</v>
      </c>
      <c r="I120" s="279"/>
      <c r="J120" s="280" t="str">
        <f t="shared" si="3"/>
        <v>INCLUDED</v>
      </c>
    </row>
    <row r="121" spans="1:10" ht="31.2">
      <c r="A121" s="331">
        <f>'Sch-1'!A121</f>
        <v>104</v>
      </c>
      <c r="B121" s="275">
        <f>'Sch-1'!B121</f>
        <v>7000026407</v>
      </c>
      <c r="C121" s="275">
        <f>'Sch-1'!C121</f>
        <v>850</v>
      </c>
      <c r="D121" s="275" t="str">
        <f>'Sch-1'!D121</f>
        <v xml:space="preserve">400KV GIS MANDATORY SPARES              </v>
      </c>
      <c r="E121" s="275">
        <f>'Sch-1'!E121</f>
        <v>1000058315</v>
      </c>
      <c r="F121" s="278" t="str">
        <f>'Sch-1'!J121</f>
        <v>MOTOR FOR DRIVE MECHANISM FOR 400KVGIS MAINTENANCE EARTH SWITCH</v>
      </c>
      <c r="G121" s="275" t="str">
        <f>'Sch-1'!K121</f>
        <v xml:space="preserve">EA </v>
      </c>
      <c r="H121" s="275">
        <f>'Sch-1'!L121</f>
        <v>1</v>
      </c>
      <c r="I121" s="279"/>
      <c r="J121" s="280" t="str">
        <f t="shared" si="3"/>
        <v>INCLUDED</v>
      </c>
    </row>
    <row r="122" spans="1:10" ht="46.8">
      <c r="A122" s="331">
        <f>'Sch-1'!A122</f>
        <v>105</v>
      </c>
      <c r="B122" s="275">
        <f>'Sch-1'!B122</f>
        <v>7000026407</v>
      </c>
      <c r="C122" s="275">
        <f>'Sch-1'!C122</f>
        <v>860</v>
      </c>
      <c r="D122" s="275" t="str">
        <f>'Sch-1'!D122</f>
        <v xml:space="preserve">400KV GIS MANDATORY SPARES              </v>
      </c>
      <c r="E122" s="275">
        <f>'Sch-1'!E122</f>
        <v>1000058327</v>
      </c>
      <c r="F122" s="278" t="str">
        <f>'Sch-1'!J122</f>
        <v>400KV GIS- SINGLE PHASE OF CURRENT TRANSFORMER (3 CORES, TYPE-CTA)WITH ASSOCIATED ENCLOSURE AND PRIMARY CONDUCTOR COMPLETE IN ALLRESPECT</v>
      </c>
      <c r="G122" s="275" t="str">
        <f>'Sch-1'!K122</f>
        <v xml:space="preserve">EA </v>
      </c>
      <c r="H122" s="275">
        <f>'Sch-1'!L122</f>
        <v>1</v>
      </c>
      <c r="I122" s="279"/>
      <c r="J122" s="280" t="str">
        <f t="shared" si="3"/>
        <v>INCLUDED</v>
      </c>
    </row>
    <row r="123" spans="1:10" ht="46.8">
      <c r="A123" s="331">
        <f>'Sch-1'!A123</f>
        <v>106</v>
      </c>
      <c r="B123" s="275">
        <f>'Sch-1'!B123</f>
        <v>7000026407</v>
      </c>
      <c r="C123" s="275">
        <f>'Sch-1'!C123</f>
        <v>870</v>
      </c>
      <c r="D123" s="275" t="str">
        <f>'Sch-1'!D123</f>
        <v xml:space="preserve">400KV GIS MANDATORY SPARES              </v>
      </c>
      <c r="E123" s="275">
        <f>'Sch-1'!E123</f>
        <v>1000058326</v>
      </c>
      <c r="F123" s="278" t="str">
        <f>'Sch-1'!J123</f>
        <v>400KV GIS- SINGLE PHASE OF CURRENT TRANSFORMER (2 CORES, TYPE-CTB)WITH ASSOCIATED ENCLOSURE AND PRIMARY CONDUCTOR COMPLETE IN ALLRESPECT</v>
      </c>
      <c r="G123" s="275" t="str">
        <f>'Sch-1'!K123</f>
        <v xml:space="preserve">EA </v>
      </c>
      <c r="H123" s="275">
        <f>'Sch-1'!L123</f>
        <v>1</v>
      </c>
      <c r="I123" s="279"/>
      <c r="J123" s="280" t="str">
        <f t="shared" si="3"/>
        <v>INCLUDED</v>
      </c>
    </row>
    <row r="124" spans="1:10" ht="46.8">
      <c r="A124" s="331">
        <f>'Sch-1'!A124</f>
        <v>107</v>
      </c>
      <c r="B124" s="275">
        <f>'Sch-1'!B124</f>
        <v>7000026407</v>
      </c>
      <c r="C124" s="275">
        <f>'Sch-1'!C124</f>
        <v>880</v>
      </c>
      <c r="D124" s="275" t="str">
        <f>'Sch-1'!D124</f>
        <v xml:space="preserve">400KV GIS MANDATORY SPARES              </v>
      </c>
      <c r="E124" s="275">
        <f>'Sch-1'!E124</f>
        <v>1000058316</v>
      </c>
      <c r="F124" s="278" t="str">
        <f>'Sch-1'!J124</f>
        <v>400KV GIS-ONE POLE OF 3150A CIRCUIT BREAKER WITH PIR WITH INTERRUPTER,MAIN CIRCUIT, ENCLOSURE AND OPERATING MECHANISM COMPLETE IN ALLRESPECT</v>
      </c>
      <c r="G124" s="275" t="str">
        <f>'Sch-1'!K124</f>
        <v>SET</v>
      </c>
      <c r="H124" s="275">
        <f>'Sch-1'!L124</f>
        <v>1</v>
      </c>
      <c r="I124" s="279"/>
      <c r="J124" s="280" t="str">
        <f t="shared" si="3"/>
        <v>INCLUDED</v>
      </c>
    </row>
    <row r="125" spans="1:10" ht="31.2">
      <c r="A125" s="331">
        <f>'Sch-1'!A125</f>
        <v>108</v>
      </c>
      <c r="B125" s="275">
        <f>'Sch-1'!B125</f>
        <v>7000026407</v>
      </c>
      <c r="C125" s="275">
        <f>'Sch-1'!C125</f>
        <v>890</v>
      </c>
      <c r="D125" s="275" t="str">
        <f>'Sch-1'!D125</f>
        <v xml:space="preserve">220KV GIS MANDATORY SPARES              </v>
      </c>
      <c r="E125" s="275">
        <f>'Sch-1'!E125</f>
        <v>1000058295</v>
      </c>
      <c r="F125" s="278" t="str">
        <f>'Sch-1'!J125</f>
        <v>220KV GIS- CABLE CONNECTION ENCLOSURE WITH MAIN CIRCUIT</v>
      </c>
      <c r="G125" s="275" t="str">
        <f>'Sch-1'!K125</f>
        <v>SET</v>
      </c>
      <c r="H125" s="275">
        <f>'Sch-1'!L125</f>
        <v>1</v>
      </c>
      <c r="I125" s="279"/>
      <c r="J125" s="280" t="str">
        <f t="shared" si="3"/>
        <v>INCLUDED</v>
      </c>
    </row>
    <row r="126" spans="1:10" ht="31.2">
      <c r="A126" s="331">
        <f>'Sch-1'!A126</f>
        <v>109</v>
      </c>
      <c r="B126" s="275">
        <f>'Sch-1'!B126</f>
        <v>7000026407</v>
      </c>
      <c r="C126" s="275">
        <f>'Sch-1'!C126</f>
        <v>900</v>
      </c>
      <c r="D126" s="275" t="str">
        <f>'Sch-1'!D126</f>
        <v xml:space="preserve">220KV GIS MANDATORY SPARES              </v>
      </c>
      <c r="E126" s="275">
        <f>'Sch-1'!E126</f>
        <v>1000058300</v>
      </c>
      <c r="F126" s="278" t="str">
        <f>'Sch-1'!J126</f>
        <v>220KV GIS-SF6 GAS PRESSURE RELIEF DEVICE ASSEMBLY OF EACH TYPE</v>
      </c>
      <c r="G126" s="275" t="str">
        <f>'Sch-1'!K126</f>
        <v xml:space="preserve">EA </v>
      </c>
      <c r="H126" s="275">
        <f>'Sch-1'!L126</f>
        <v>2</v>
      </c>
      <c r="I126" s="279"/>
      <c r="J126" s="280" t="str">
        <f t="shared" si="3"/>
        <v>INCLUDED</v>
      </c>
    </row>
    <row r="127" spans="1:10" ht="46.8">
      <c r="A127" s="331">
        <f>'Sch-1'!A127</f>
        <v>110</v>
      </c>
      <c r="B127" s="275">
        <f>'Sch-1'!B127</f>
        <v>7000026407</v>
      </c>
      <c r="C127" s="275">
        <f>'Sch-1'!C127</f>
        <v>910</v>
      </c>
      <c r="D127" s="275" t="str">
        <f>'Sch-1'!D127</f>
        <v xml:space="preserve">220KV GIS MANDATORY SPARES              </v>
      </c>
      <c r="E127" s="275">
        <f>'Sch-1'!E127</f>
        <v>1000049816</v>
      </c>
      <c r="F127" s="278" t="str">
        <f>'Sch-1'!J127</f>
        <v>SF6  PRESSURE  GAUGE  CUM  SWITCH  /DENSITY MONITORS  AND  PRESSURESWITCH AS APPLICABLE, OF EACH TYPE-220KV GIS</v>
      </c>
      <c r="G127" s="275" t="str">
        <f>'Sch-1'!K127</f>
        <v>SET</v>
      </c>
      <c r="H127" s="275">
        <f>'Sch-1'!L127</f>
        <v>3</v>
      </c>
      <c r="I127" s="279"/>
      <c r="J127" s="280" t="str">
        <f t="shared" si="3"/>
        <v>INCLUDED</v>
      </c>
    </row>
    <row r="128" spans="1:10" ht="46.8">
      <c r="A128" s="331">
        <f>'Sch-1'!A128</f>
        <v>111</v>
      </c>
      <c r="B128" s="275">
        <f>'Sch-1'!B128</f>
        <v>7000026407</v>
      </c>
      <c r="C128" s="275">
        <f>'Sch-1'!C128</f>
        <v>920</v>
      </c>
      <c r="D128" s="275" t="str">
        <f>'Sch-1'!D128</f>
        <v xml:space="preserve">220KV GIS MANDATORY SPARES              </v>
      </c>
      <c r="E128" s="275">
        <f>'Sch-1'!E128</f>
        <v>1000049752</v>
      </c>
      <c r="F128" s="278" t="str">
        <f>'Sch-1'!J128</f>
        <v>COUPLING  DEVICE  FOR  PRESSURE  GAUGE  CUM  SWITCH  FOR  CONNECTINGGAS HANDLING PLANT OF EACH TYPE-220KV GIS</v>
      </c>
      <c r="G128" s="275" t="str">
        <f>'Sch-1'!K128</f>
        <v>SET</v>
      </c>
      <c r="H128" s="275">
        <f>'Sch-1'!L128</f>
        <v>2</v>
      </c>
      <c r="I128" s="279"/>
      <c r="J128" s="280" t="str">
        <f t="shared" si="3"/>
        <v>INCLUDED</v>
      </c>
    </row>
    <row r="129" spans="1:10" ht="31.2">
      <c r="A129" s="331">
        <f>'Sch-1'!A129</f>
        <v>112</v>
      </c>
      <c r="B129" s="275">
        <f>'Sch-1'!B129</f>
        <v>7000026407</v>
      </c>
      <c r="C129" s="275">
        <f>'Sch-1'!C129</f>
        <v>930</v>
      </c>
      <c r="D129" s="275" t="str">
        <f>'Sch-1'!D129</f>
        <v xml:space="preserve">220KV GIS MANDATORY SPARES              </v>
      </c>
      <c r="E129" s="275">
        <f>'Sch-1'!E129</f>
        <v>1000049761</v>
      </c>
      <c r="F129" s="278" t="str">
        <f>'Sch-1'!J129</f>
        <v>RUBBER  GASKETS,  Ã‚â‚¬Å’OÃ‚â‚¬Â  RINGS  AND  SEALS  FOR  SF6  GAS  FOR  GISENCLOSURE OF EACH TYPE-220KV GIS</v>
      </c>
      <c r="G129" s="275" t="str">
        <f>'Sch-1'!K129</f>
        <v>SET</v>
      </c>
      <c r="H129" s="275">
        <f>'Sch-1'!L129</f>
        <v>3</v>
      </c>
      <c r="I129" s="279"/>
      <c r="J129" s="280" t="str">
        <f t="shared" si="3"/>
        <v>INCLUDED</v>
      </c>
    </row>
    <row r="130" spans="1:10" ht="31.2">
      <c r="A130" s="331">
        <f>'Sch-1'!A130</f>
        <v>113</v>
      </c>
      <c r="B130" s="275">
        <f>'Sch-1'!B130</f>
        <v>7000026407</v>
      </c>
      <c r="C130" s="275">
        <f>'Sch-1'!C130</f>
        <v>940</v>
      </c>
      <c r="D130" s="275" t="str">
        <f>'Sch-1'!D130</f>
        <v xml:space="preserve">220KV GIS MANDATORY SPARES              </v>
      </c>
      <c r="E130" s="275">
        <f>'Sch-1'!E130</f>
        <v>1000058298</v>
      </c>
      <c r="F130" s="278" t="str">
        <f>'Sch-1'!J130</f>
        <v>220KV GIS-MOLECULAR FILTER FOR SF6 GAS WITH FILTER BAGS (5 % OF TOTALWEIGHT)</v>
      </c>
      <c r="G130" s="275" t="str">
        <f>'Sch-1'!K130</f>
        <v>SET</v>
      </c>
      <c r="H130" s="275">
        <f>'Sch-1'!L130</f>
        <v>1</v>
      </c>
      <c r="I130" s="279"/>
      <c r="J130" s="280" t="str">
        <f t="shared" si="3"/>
        <v>INCLUDED</v>
      </c>
    </row>
    <row r="131" spans="1:10" ht="31.2">
      <c r="A131" s="331">
        <f>'Sch-1'!A131</f>
        <v>114</v>
      </c>
      <c r="B131" s="275">
        <f>'Sch-1'!B131</f>
        <v>7000026407</v>
      </c>
      <c r="C131" s="275">
        <f>'Sch-1'!C131</f>
        <v>950</v>
      </c>
      <c r="D131" s="275" t="str">
        <f>'Sch-1'!D131</f>
        <v xml:space="preserve">220KV GIS MANDATORY SPARES              </v>
      </c>
      <c r="E131" s="275">
        <f>'Sch-1'!E131</f>
        <v>1000049749</v>
      </c>
      <c r="F131" s="278" t="str">
        <f>'Sch-1'!J131</f>
        <v>CONTROL VALVES FOR SF6 GAS OF EACH TYPE-220KV GIS</v>
      </c>
      <c r="G131" s="275" t="str">
        <f>'Sch-1'!K131</f>
        <v>SET</v>
      </c>
      <c r="H131" s="275">
        <f>'Sch-1'!L131</f>
        <v>3</v>
      </c>
      <c r="I131" s="279"/>
      <c r="J131" s="280" t="str">
        <f t="shared" si="3"/>
        <v>INCLUDED</v>
      </c>
    </row>
    <row r="132" spans="1:10" ht="31.2">
      <c r="A132" s="331">
        <f>'Sch-1'!A132</f>
        <v>115</v>
      </c>
      <c r="B132" s="275">
        <f>'Sch-1'!B132</f>
        <v>7000026407</v>
      </c>
      <c r="C132" s="275">
        <f>'Sch-1'!C132</f>
        <v>960</v>
      </c>
      <c r="D132" s="275" t="str">
        <f>'Sch-1'!D132</f>
        <v xml:space="preserve">220KV GIS MANDATORY SPARES              </v>
      </c>
      <c r="E132" s="275">
        <f>'Sch-1'!E132</f>
        <v>1000058299</v>
      </c>
      <c r="F132" s="278" t="str">
        <f>'Sch-1'!J132</f>
        <v>220KV GIS-SF6 GAS (5 % OF TOTAL GAS QUANTITY)</v>
      </c>
      <c r="G132" s="275" t="str">
        <f>'Sch-1'!K132</f>
        <v>LOT</v>
      </c>
      <c r="H132" s="275">
        <f>'Sch-1'!L132</f>
        <v>1</v>
      </c>
      <c r="I132" s="279"/>
      <c r="J132" s="280" t="str">
        <f t="shared" si="3"/>
        <v>INCLUDED</v>
      </c>
    </row>
    <row r="133" spans="1:10" ht="62.4">
      <c r="A133" s="331">
        <f>'Sch-1'!A133</f>
        <v>116</v>
      </c>
      <c r="B133" s="275">
        <f>'Sch-1'!B133</f>
        <v>7000026407</v>
      </c>
      <c r="C133" s="275">
        <f>'Sch-1'!C133</f>
        <v>970</v>
      </c>
      <c r="D133" s="275" t="str">
        <f>'Sch-1'!D133</f>
        <v xml:space="preserve">220KV GIS MANDATORY SPARES              </v>
      </c>
      <c r="E133" s="275">
        <f>'Sch-1'!E133</f>
        <v>1000049782</v>
      </c>
      <c r="F133" s="278" t="str">
        <f>'Sch-1'!J133</f>
        <v>LOCKING   DEVICE   TO   KEEP   THE   DIS-CONNECTORS   (ISOLATORS)AND EARTHING/FAST EARTHING SWITCHES (AS APPLICABLE) IN CLOSE OR OPENPOSITION IN CASE OF REMOVAL OF THE DRIVING MECHANISM-220KV GIS</v>
      </c>
      <c r="G133" s="275" t="str">
        <f>'Sch-1'!K133</f>
        <v>SET</v>
      </c>
      <c r="H133" s="275">
        <f>'Sch-1'!L133</f>
        <v>3</v>
      </c>
      <c r="I133" s="279"/>
      <c r="J133" s="280" t="str">
        <f t="shared" si="3"/>
        <v>INCLUDED</v>
      </c>
    </row>
    <row r="134" spans="1:10" ht="31.2">
      <c r="A134" s="331">
        <f>'Sch-1'!A134</f>
        <v>117</v>
      </c>
      <c r="B134" s="275">
        <f>'Sch-1'!B134</f>
        <v>7000026407</v>
      </c>
      <c r="C134" s="275">
        <f>'Sch-1'!C134</f>
        <v>980</v>
      </c>
      <c r="D134" s="275" t="str">
        <f>'Sch-1'!D134</f>
        <v xml:space="preserve">220KV GIS MANDATORY SPARES              </v>
      </c>
      <c r="E134" s="275">
        <f>'Sch-1'!E134</f>
        <v>1000049504</v>
      </c>
      <c r="F134" s="278" t="str">
        <f>'Sch-1'!J134</f>
        <v>UHF PD SENSORS OF EACH TYPE ALONG WITH BNC CONNECTOR FOR 245KV GIS</v>
      </c>
      <c r="G134" s="275" t="str">
        <f>'Sch-1'!K134</f>
        <v xml:space="preserve">EA </v>
      </c>
      <c r="H134" s="275">
        <f>'Sch-1'!L134</f>
        <v>5</v>
      </c>
      <c r="I134" s="279"/>
      <c r="J134" s="280" t="str">
        <f t="shared" si="3"/>
        <v>INCLUDED</v>
      </c>
    </row>
    <row r="135" spans="1:10" ht="46.8">
      <c r="A135" s="331">
        <f>'Sch-1'!A135</f>
        <v>118</v>
      </c>
      <c r="B135" s="275">
        <f>'Sch-1'!B135</f>
        <v>7000026407</v>
      </c>
      <c r="C135" s="275">
        <f>'Sch-1'!C135</f>
        <v>990</v>
      </c>
      <c r="D135" s="275" t="str">
        <f>'Sch-1'!D135</f>
        <v xml:space="preserve">220KV GIS MANDATORY SPARES              </v>
      </c>
      <c r="E135" s="275">
        <f>'Sch-1'!E135</f>
        <v>1000058302</v>
      </c>
      <c r="F135" s="278" t="str">
        <f>'Sch-1'!J135</f>
        <v>220KV GIS-SUPPORT INSULATORS (GAS THROUGH) OF EACH TYPE (COMPLETE WITHMETAL RING ETC.) ALONG WITH ASSOCIATED CONTACTS AND SHIELDS</v>
      </c>
      <c r="G135" s="275" t="str">
        <f>'Sch-1'!K135</f>
        <v xml:space="preserve">EA </v>
      </c>
      <c r="H135" s="275">
        <f>'Sch-1'!L135</f>
        <v>5</v>
      </c>
      <c r="I135" s="279"/>
      <c r="J135" s="280" t="str">
        <f t="shared" si="3"/>
        <v>INCLUDED</v>
      </c>
    </row>
    <row r="136" spans="1:10" ht="46.8">
      <c r="A136" s="331">
        <f>'Sch-1'!A136</f>
        <v>119</v>
      </c>
      <c r="B136" s="275">
        <f>'Sch-1'!B136</f>
        <v>7000026407</v>
      </c>
      <c r="C136" s="275">
        <f>'Sch-1'!C136</f>
        <v>1000</v>
      </c>
      <c r="D136" s="275" t="str">
        <f>'Sch-1'!D136</f>
        <v xml:space="preserve">220KV GIS MANDATORY SPARES              </v>
      </c>
      <c r="E136" s="275">
        <f>'Sch-1'!E136</f>
        <v>1000058297</v>
      </c>
      <c r="F136" s="278" t="str">
        <f>'Sch-1'!J136</f>
        <v>220KV GIS-GAS BARRIERS OF EACH TYPE (COMPLETE WITH METAL RING ETC.)ALONG WITH ASSOCIATED CONTACTS AND SHIELDS</v>
      </c>
      <c r="G136" s="275" t="str">
        <f>'Sch-1'!K136</f>
        <v xml:space="preserve">EA </v>
      </c>
      <c r="H136" s="275">
        <f>'Sch-1'!L136</f>
        <v>5</v>
      </c>
      <c r="I136" s="279"/>
      <c r="J136" s="280" t="str">
        <f t="shared" si="3"/>
        <v>INCLUDED</v>
      </c>
    </row>
    <row r="137" spans="1:10" ht="31.2">
      <c r="A137" s="331">
        <f>'Sch-1'!A137</f>
        <v>120</v>
      </c>
      <c r="B137" s="275">
        <f>'Sch-1'!B137</f>
        <v>7000026407</v>
      </c>
      <c r="C137" s="275">
        <f>'Sch-1'!C137</f>
        <v>1010</v>
      </c>
      <c r="D137" s="275" t="str">
        <f>'Sch-1'!D137</f>
        <v xml:space="preserve">220KV GIS MANDATORY SPARES              </v>
      </c>
      <c r="E137" s="275">
        <f>'Sch-1'!E137</f>
        <v>1000058301</v>
      </c>
      <c r="F137" s="278" t="str">
        <f>'Sch-1'!J137</f>
        <v>220KV GIS- 1600A SF6 TO AIR BUSHING COMPLETE IN ALL RESPECT</v>
      </c>
      <c r="G137" s="275" t="str">
        <f>'Sch-1'!K137</f>
        <v xml:space="preserve">EA </v>
      </c>
      <c r="H137" s="275">
        <f>'Sch-1'!L137</f>
        <v>1</v>
      </c>
      <c r="I137" s="279"/>
      <c r="J137" s="280" t="str">
        <f t="shared" si="3"/>
        <v>INCLUDED</v>
      </c>
    </row>
    <row r="138" spans="1:10" ht="62.4">
      <c r="A138" s="331">
        <f>'Sch-1'!A138</f>
        <v>121</v>
      </c>
      <c r="B138" s="275">
        <f>'Sch-1'!B138</f>
        <v>7000026407</v>
      </c>
      <c r="C138" s="275">
        <f>'Sch-1'!C138</f>
        <v>1020</v>
      </c>
      <c r="D138" s="275" t="str">
        <f>'Sch-1'!D138</f>
        <v xml:space="preserve">220KV GIS MANDATORY SPARES              </v>
      </c>
      <c r="E138" s="275">
        <f>'Sch-1'!E138</f>
        <v>1000049497</v>
      </c>
      <c r="F138" s="278" t="str">
        <f>'Sch-1'!J138</f>
        <v>LCC SPARES  - AUX. RELAYS, CONTACTORS,PUSH BUTTONS, SWITCHES, LAMPS,ANNUNCIATION WINDOWS, MCB, FUSES,TIMERS, TERMINAL BLOCKS ETC. OF EACHTYPE &amp; RATING-220kV GIS</v>
      </c>
      <c r="G138" s="275" t="str">
        <f>'Sch-1'!K138</f>
        <v>SET</v>
      </c>
      <c r="H138" s="275">
        <f>'Sch-1'!L138</f>
        <v>2</v>
      </c>
      <c r="I138" s="279"/>
      <c r="J138" s="280" t="str">
        <f t="shared" si="3"/>
        <v>INCLUDED</v>
      </c>
    </row>
    <row r="139" spans="1:10" ht="46.8">
      <c r="A139" s="331">
        <f>'Sch-1'!A139</f>
        <v>122</v>
      </c>
      <c r="B139" s="275">
        <f>'Sch-1'!B139</f>
        <v>7000026407</v>
      </c>
      <c r="C139" s="275">
        <f>'Sch-1'!C139</f>
        <v>1030</v>
      </c>
      <c r="D139" s="275" t="str">
        <f>'Sch-1'!D139</f>
        <v xml:space="preserve">220KV GIS MANDATORY SPARES              </v>
      </c>
      <c r="E139" s="275">
        <f>'Sch-1'!E139</f>
        <v>1000058284</v>
      </c>
      <c r="F139" s="278" t="str">
        <f>'Sch-1'!J139</f>
        <v>220KV GIS-ONE POLE OF 1600A CIRCUIT BREAKER WITH INTERRUPTER, MAINCIRCUIT, ENCLOSURE AND OPERATING MECHANISM COMPLETE IN ALL RESPECT</v>
      </c>
      <c r="G139" s="275" t="str">
        <f>'Sch-1'!K139</f>
        <v>SET</v>
      </c>
      <c r="H139" s="275">
        <f>'Sch-1'!L139</f>
        <v>1</v>
      </c>
      <c r="I139" s="279"/>
      <c r="J139" s="280" t="str">
        <f t="shared" si="3"/>
        <v>INCLUDED</v>
      </c>
    </row>
    <row r="140" spans="1:10" ht="31.2">
      <c r="A140" s="331">
        <f>'Sch-1'!A140</f>
        <v>123</v>
      </c>
      <c r="B140" s="275">
        <f>'Sch-1'!B140</f>
        <v>7000026407</v>
      </c>
      <c r="C140" s="275">
        <f>'Sch-1'!C140</f>
        <v>1040</v>
      </c>
      <c r="D140" s="275" t="str">
        <f>'Sch-1'!D140</f>
        <v xml:space="preserve">220KV GIS MANDATORY SPARES              </v>
      </c>
      <c r="E140" s="275">
        <f>'Sch-1'!E140</f>
        <v>1000021871</v>
      </c>
      <c r="F140" s="278" t="str">
        <f>'Sch-1'!J140</f>
        <v>Trip coil assembly with resistor for245kV GIS Circuit Breaker (asapplicable)</v>
      </c>
      <c r="G140" s="275" t="str">
        <f>'Sch-1'!K140</f>
        <v>SET</v>
      </c>
      <c r="H140" s="275">
        <f>'Sch-1'!L140</f>
        <v>3</v>
      </c>
      <c r="I140" s="279"/>
      <c r="J140" s="280" t="str">
        <f t="shared" si="3"/>
        <v>INCLUDED</v>
      </c>
    </row>
    <row r="141" spans="1:10" ht="31.2">
      <c r="A141" s="331">
        <f>'Sch-1'!A141</f>
        <v>124</v>
      </c>
      <c r="B141" s="275">
        <f>'Sch-1'!B141</f>
        <v>7000026407</v>
      </c>
      <c r="C141" s="275">
        <f>'Sch-1'!C141</f>
        <v>1050</v>
      </c>
      <c r="D141" s="275" t="str">
        <f>'Sch-1'!D141</f>
        <v xml:space="preserve">220KV GIS MANDATORY SPARES              </v>
      </c>
      <c r="E141" s="275">
        <f>'Sch-1'!E141</f>
        <v>1000009185</v>
      </c>
      <c r="F141" s="278" t="str">
        <f>'Sch-1'!J141</f>
        <v>Closing coil assembly with resistor for245kV GIS Circuit Breaker (asapplicable)</v>
      </c>
      <c r="G141" s="275" t="str">
        <f>'Sch-1'!K141</f>
        <v>SET</v>
      </c>
      <c r="H141" s="275">
        <f>'Sch-1'!L141</f>
        <v>1</v>
      </c>
      <c r="I141" s="279"/>
      <c r="J141" s="280" t="str">
        <f t="shared" si="3"/>
        <v>INCLUDED</v>
      </c>
    </row>
    <row r="142" spans="1:10" ht="46.8">
      <c r="A142" s="331">
        <f>'Sch-1'!A142</f>
        <v>125</v>
      </c>
      <c r="B142" s="275">
        <f>'Sch-1'!B142</f>
        <v>7000026407</v>
      </c>
      <c r="C142" s="275">
        <f>'Sch-1'!C142</f>
        <v>1060</v>
      </c>
      <c r="D142" s="275" t="str">
        <f>'Sch-1'!D142</f>
        <v xml:space="preserve">220KV GIS MANDATORY SPARES              </v>
      </c>
      <c r="E142" s="275">
        <f>'Sch-1'!E142</f>
        <v>1000058292</v>
      </c>
      <c r="F142" s="278" t="str">
        <f>'Sch-1'!J142</f>
        <v>RELAYS, POWER CONTACTORS, PUSH BUTTONS, TIMERS &amp; MCBS ETC. (ASAPPLICABLE) OF EACH TYPE FOR 220KV GIS CIRCUIT BREAKER</v>
      </c>
      <c r="G142" s="275" t="str">
        <f>'Sch-1'!K142</f>
        <v>SET</v>
      </c>
      <c r="H142" s="275">
        <f>'Sch-1'!L142</f>
        <v>1</v>
      </c>
      <c r="I142" s="279"/>
      <c r="J142" s="280" t="str">
        <f t="shared" si="3"/>
        <v>INCLUDED</v>
      </c>
    </row>
    <row r="143" spans="1:10" ht="31.2">
      <c r="A143" s="331">
        <f>'Sch-1'!A143</f>
        <v>126</v>
      </c>
      <c r="B143" s="275">
        <f>'Sch-1'!B143</f>
        <v>7000026407</v>
      </c>
      <c r="C143" s="275">
        <f>'Sch-1'!C143</f>
        <v>1070</v>
      </c>
      <c r="D143" s="275" t="str">
        <f>'Sch-1'!D143</f>
        <v xml:space="preserve">220KV GIS MANDATORY SPARES              </v>
      </c>
      <c r="E143" s="275">
        <f>'Sch-1'!E143</f>
        <v>1000007066</v>
      </c>
      <c r="F143" s="278" t="str">
        <f>'Sch-1'!J143</f>
        <v>Auxiliary switch assembly of each type for 245kV GIS Circuit Breaker</v>
      </c>
      <c r="G143" s="275" t="str">
        <f>'Sch-1'!K143</f>
        <v>SET</v>
      </c>
      <c r="H143" s="275">
        <f>'Sch-1'!L143</f>
        <v>3</v>
      </c>
      <c r="I143" s="279"/>
      <c r="J143" s="280" t="str">
        <f t="shared" si="3"/>
        <v>INCLUDED</v>
      </c>
    </row>
    <row r="144" spans="1:10" ht="31.2">
      <c r="A144" s="331">
        <f>'Sch-1'!A144</f>
        <v>127</v>
      </c>
      <c r="B144" s="275">
        <f>'Sch-1'!B144</f>
        <v>7000026407</v>
      </c>
      <c r="C144" s="275">
        <f>'Sch-1'!C144</f>
        <v>1080</v>
      </c>
      <c r="D144" s="275" t="str">
        <f>'Sch-1'!D144</f>
        <v xml:space="preserve">220KV GIS MANDATORY SPARES              </v>
      </c>
      <c r="E144" s="275">
        <f>'Sch-1'!E144</f>
        <v>1000058291</v>
      </c>
      <c r="F144" s="278" t="str">
        <f>'Sch-1'!J144</f>
        <v>220KV GIS CIRCUIT BREAKER-OPERATION COUNTER</v>
      </c>
      <c r="G144" s="275" t="str">
        <f>'Sch-1'!K144</f>
        <v xml:space="preserve">EA </v>
      </c>
      <c r="H144" s="275">
        <f>'Sch-1'!L144</f>
        <v>3</v>
      </c>
      <c r="I144" s="279"/>
      <c r="J144" s="280" t="str">
        <f t="shared" si="3"/>
        <v>INCLUDED</v>
      </c>
    </row>
    <row r="145" spans="1:10" ht="46.8">
      <c r="A145" s="331">
        <f>'Sch-1'!A145</f>
        <v>128</v>
      </c>
      <c r="B145" s="275">
        <f>'Sch-1'!B145</f>
        <v>7000026407</v>
      </c>
      <c r="C145" s="275">
        <f>'Sch-1'!C145</f>
        <v>1090</v>
      </c>
      <c r="D145" s="275" t="str">
        <f>'Sch-1'!D145</f>
        <v xml:space="preserve">220KV GIS MANDATORY SPARES              </v>
      </c>
      <c r="E145" s="275">
        <f>'Sch-1'!E145</f>
        <v>1000058288</v>
      </c>
      <c r="F145" s="278" t="str">
        <f>'Sch-1'!J145</f>
        <v>220KV GIS CIRCUIT BREAKER-HYDRAULIC OPERATING MECHANISM WITH DRIVEMOTOR (FOR HYDRAULIC OPERATED MECHANISM, IF APPLICABLE)</v>
      </c>
      <c r="G145" s="275" t="str">
        <f>'Sch-1'!K145</f>
        <v>SET</v>
      </c>
      <c r="H145" s="275">
        <f>'Sch-1'!L145</f>
        <v>1</v>
      </c>
      <c r="I145" s="279"/>
      <c r="J145" s="280" t="str">
        <f t="shared" si="3"/>
        <v>INCLUDED</v>
      </c>
    </row>
    <row r="146" spans="1:10" ht="46.8">
      <c r="A146" s="331">
        <f>'Sch-1'!A146</f>
        <v>129</v>
      </c>
      <c r="B146" s="275">
        <f>'Sch-1'!B146</f>
        <v>7000026407</v>
      </c>
      <c r="C146" s="275">
        <f>'Sch-1'!C146</f>
        <v>1100</v>
      </c>
      <c r="D146" s="275" t="str">
        <f>'Sch-1'!D146</f>
        <v xml:space="preserve">220KV GIS MANDATORY SPARES              </v>
      </c>
      <c r="E146" s="275">
        <f>'Sch-1'!E146</f>
        <v>1000049758</v>
      </c>
      <c r="F146" s="278" t="str">
        <f>'Sch-1'!J146</f>
        <v>HYDRAULIC FILTER OF EACH TYPE (FOR HYDRAULIC OPERATED MECHANISM, IFPPLICABLE)-220KV GIS CIRCUIT BREKAER</v>
      </c>
      <c r="G146" s="275" t="str">
        <f>'Sch-1'!K146</f>
        <v>SET</v>
      </c>
      <c r="H146" s="275">
        <f>'Sch-1'!L146</f>
        <v>1</v>
      </c>
      <c r="I146" s="279"/>
      <c r="J146" s="280" t="str">
        <f t="shared" si="3"/>
        <v>INCLUDED</v>
      </c>
    </row>
    <row r="147" spans="1:10" ht="46.8">
      <c r="A147" s="331">
        <f>'Sch-1'!A147</f>
        <v>130</v>
      </c>
      <c r="B147" s="275">
        <f>'Sch-1'!B147</f>
        <v>7000026407</v>
      </c>
      <c r="C147" s="275">
        <f>'Sch-1'!C147</f>
        <v>1110</v>
      </c>
      <c r="D147" s="275" t="str">
        <f>'Sch-1'!D147</f>
        <v xml:space="preserve">220KV GIS MANDATORY SPARES              </v>
      </c>
      <c r="E147" s="275">
        <f>'Sch-1'!E147</f>
        <v>1000058272</v>
      </c>
      <c r="F147" s="278" t="str">
        <f>'Sch-1'!J147</f>
        <v>220KV GIS CIRCUIT BREAKER- HOSE PIPE OF EACH TYPE (AS APPLICABLE) (FORHYDRAULIC OPERATED MECHANISM, IF APPLICABLE)</v>
      </c>
      <c r="G147" s="275" t="str">
        <f>'Sch-1'!K147</f>
        <v>SET</v>
      </c>
      <c r="H147" s="275">
        <f>'Sch-1'!L147</f>
        <v>1</v>
      </c>
      <c r="I147" s="279"/>
      <c r="J147" s="280" t="str">
        <f t="shared" si="3"/>
        <v>INCLUDED</v>
      </c>
    </row>
    <row r="148" spans="1:10" ht="31.2">
      <c r="A148" s="331">
        <f>'Sch-1'!A148</f>
        <v>131</v>
      </c>
      <c r="B148" s="275">
        <f>'Sch-1'!B148</f>
        <v>7000026407</v>
      </c>
      <c r="C148" s="275">
        <f>'Sch-1'!C148</f>
        <v>1120</v>
      </c>
      <c r="D148" s="275" t="str">
        <f>'Sch-1'!D148</f>
        <v xml:space="preserve">220KV GIS MANDATORY SPARES              </v>
      </c>
      <c r="E148" s="275">
        <f>'Sch-1'!E148</f>
        <v>1000058290</v>
      </c>
      <c r="F148" s="278" t="str">
        <f>'Sch-1'!J148</f>
        <v>220KV GIS CIRCUIT BREAKER - N2 ACCUMULATOR (FOR HYDRAULIC OPERATEDMECHANISM, IF APPLICABLE)</v>
      </c>
      <c r="G148" s="275" t="str">
        <f>'Sch-1'!K148</f>
        <v>SET</v>
      </c>
      <c r="H148" s="275">
        <f>'Sch-1'!L148</f>
        <v>1</v>
      </c>
      <c r="I148" s="279"/>
      <c r="J148" s="280" t="str">
        <f t="shared" si="3"/>
        <v>INCLUDED</v>
      </c>
    </row>
    <row r="149" spans="1:10" ht="31.2">
      <c r="A149" s="331">
        <f>'Sch-1'!A149</f>
        <v>132</v>
      </c>
      <c r="B149" s="275">
        <f>'Sch-1'!B149</f>
        <v>7000026407</v>
      </c>
      <c r="C149" s="275">
        <f>'Sch-1'!C149</f>
        <v>1130</v>
      </c>
      <c r="D149" s="275" t="str">
        <f>'Sch-1'!D149</f>
        <v xml:space="preserve">220KV GIS MANDATORY SPARES              </v>
      </c>
      <c r="E149" s="275">
        <f>'Sch-1'!E149</f>
        <v>1000049834</v>
      </c>
      <c r="F149" s="278" t="str">
        <f>'Sch-1'!J149</f>
        <v>VALVES OF EACH TYPE (FOR HYDRAULIC OPERATED MECHANISM, IFAPPLICABLE)-220KV GIS CIRCUIT BREKAER</v>
      </c>
      <c r="G149" s="275" t="str">
        <f>'Sch-1'!K149</f>
        <v>SET</v>
      </c>
      <c r="H149" s="275">
        <f>'Sch-1'!L149</f>
        <v>1</v>
      </c>
      <c r="I149" s="279"/>
      <c r="J149" s="280" t="str">
        <f t="shared" si="3"/>
        <v>INCLUDED</v>
      </c>
    </row>
    <row r="150" spans="1:10" ht="46.8">
      <c r="A150" s="331">
        <f>'Sch-1'!A150</f>
        <v>133</v>
      </c>
      <c r="B150" s="275">
        <f>'Sch-1'!B150</f>
        <v>7000026407</v>
      </c>
      <c r="C150" s="275">
        <f>'Sch-1'!C150</f>
        <v>1140</v>
      </c>
      <c r="D150" s="275" t="str">
        <f>'Sch-1'!D150</f>
        <v xml:space="preserve">220KV GIS MANDATORY SPARES              </v>
      </c>
      <c r="E150" s="275">
        <f>'Sch-1'!E150</f>
        <v>1000049794</v>
      </c>
      <c r="F150" s="278" t="str">
        <f>'Sch-1'!J150</f>
        <v>PIPE LENGTH (COPPER &amp; STEEL) OF EACH SIZE &amp; TYPE (FOR HYDRAULICOPERATED MECHANISM, IF APPLICABLE)-220KV GIS CIRCUIT BREKAER</v>
      </c>
      <c r="G150" s="275" t="str">
        <f>'Sch-1'!K150</f>
        <v>SET</v>
      </c>
      <c r="H150" s="275">
        <f>'Sch-1'!L150</f>
        <v>1</v>
      </c>
      <c r="I150" s="279"/>
      <c r="J150" s="280" t="str">
        <f t="shared" si="3"/>
        <v>INCLUDED</v>
      </c>
    </row>
    <row r="151" spans="1:10" ht="46.8">
      <c r="A151" s="331">
        <f>'Sch-1'!A151</f>
        <v>134</v>
      </c>
      <c r="B151" s="275">
        <f>'Sch-1'!B151</f>
        <v>7000026407</v>
      </c>
      <c r="C151" s="275">
        <f>'Sch-1'!C151</f>
        <v>1150</v>
      </c>
      <c r="D151" s="275" t="str">
        <f>'Sch-1'!D151</f>
        <v xml:space="preserve">220KV GIS MANDATORY SPARES              </v>
      </c>
      <c r="E151" s="275">
        <f>'Sch-1'!E151</f>
        <v>1000049807</v>
      </c>
      <c r="F151" s="278" t="str">
        <f>'Sch-1'!J151</f>
        <v>PRESSURE SWITCHES OF EACH TYPE (FOR HYDRAULIC OPERATED MECHANISM, IFAPPLICABLE)-220KV GIS CIRCUIT BREKAER</v>
      </c>
      <c r="G151" s="275" t="str">
        <f>'Sch-1'!K151</f>
        <v>SET</v>
      </c>
      <c r="H151" s="275">
        <f>'Sch-1'!L151</f>
        <v>1</v>
      </c>
      <c r="I151" s="279"/>
      <c r="J151" s="280" t="str">
        <f t="shared" si="3"/>
        <v>INCLUDED</v>
      </c>
    </row>
    <row r="152" spans="1:10" ht="46.8">
      <c r="A152" s="331">
        <f>'Sch-1'!A152</f>
        <v>135</v>
      </c>
      <c r="B152" s="275">
        <f>'Sch-1'!B152</f>
        <v>7000026407</v>
      </c>
      <c r="C152" s="275">
        <f>'Sch-1'!C152</f>
        <v>1160</v>
      </c>
      <c r="D152" s="275" t="str">
        <f>'Sch-1'!D152</f>
        <v xml:space="preserve">220KV GIS MANDATORY SPARES              </v>
      </c>
      <c r="E152" s="275">
        <f>'Sch-1'!E152</f>
        <v>1000049804</v>
      </c>
      <c r="F152" s="278" t="str">
        <f>'Sch-1'!J152</f>
        <v>PRESSURE GAUGE WITH COUPLING DEVICE OF EACH TYPE (FOR HYDRAULICOPERATED MECHANISM, IF APPLICABLE)-220KV GIS CIRCUIT BREKAER</v>
      </c>
      <c r="G152" s="275" t="str">
        <f>'Sch-1'!K152</f>
        <v>SET</v>
      </c>
      <c r="H152" s="275">
        <f>'Sch-1'!L152</f>
        <v>1</v>
      </c>
      <c r="I152" s="279"/>
      <c r="J152" s="280" t="str">
        <f t="shared" si="3"/>
        <v>INCLUDED</v>
      </c>
    </row>
    <row r="153" spans="1:10" ht="46.8">
      <c r="A153" s="331">
        <f>'Sch-1'!A153</f>
        <v>136</v>
      </c>
      <c r="B153" s="275">
        <f>'Sch-1'!B153</f>
        <v>7000026407</v>
      </c>
      <c r="C153" s="275">
        <f>'Sch-1'!C153</f>
        <v>1170</v>
      </c>
      <c r="D153" s="275" t="str">
        <f>'Sch-1'!D153</f>
        <v xml:space="preserve">220KV GIS MANDATORY SPARES              </v>
      </c>
      <c r="E153" s="275">
        <f>'Sch-1'!E153</f>
        <v>1000058289</v>
      </c>
      <c r="F153" s="278" t="str">
        <f>'Sch-1'!J153</f>
        <v>220KV GIS CIRCUIT BREAKER-HYDRAULIC OIL (5% OF TOTAL OIL QUANTITY)(FOR HYDRAULIC OPERATED MECHANISM, IF APPLICABLE)</v>
      </c>
      <c r="G153" s="275" t="str">
        <f>'Sch-1'!K153</f>
        <v>SET</v>
      </c>
      <c r="H153" s="275">
        <f>'Sch-1'!L153</f>
        <v>1</v>
      </c>
      <c r="I153" s="279"/>
      <c r="J153" s="280" t="str">
        <f t="shared" si="2"/>
        <v>INCLUDED</v>
      </c>
    </row>
    <row r="154" spans="1:10" ht="46.8">
      <c r="A154" s="331">
        <f>'Sch-1'!A154</f>
        <v>137</v>
      </c>
      <c r="B154" s="275">
        <f>'Sch-1'!B154</f>
        <v>7000026407</v>
      </c>
      <c r="C154" s="275">
        <f>'Sch-1'!C154</f>
        <v>1180</v>
      </c>
      <c r="D154" s="275" t="str">
        <f>'Sch-1'!D154</f>
        <v xml:space="preserve">220KV GIS MANDATORY SPARES              </v>
      </c>
      <c r="E154" s="275">
        <f>'Sch-1'!E154</f>
        <v>1000049798</v>
      </c>
      <c r="F154" s="278" t="str">
        <f>'Sch-1'!J154</f>
        <v>PRESSURE RELIEF DEVICE OF EACH TYPE (FOR HYDRAULIC OPERATED MECHANISM,IF APPLICABLE)-220KV GIS CIRCUIT BREKAER</v>
      </c>
      <c r="G154" s="275" t="str">
        <f>'Sch-1'!K154</f>
        <v>SET</v>
      </c>
      <c r="H154" s="275">
        <f>'Sch-1'!L154</f>
        <v>1</v>
      </c>
      <c r="I154" s="279"/>
      <c r="J154" s="280" t="str">
        <f t="shared" si="2"/>
        <v>INCLUDED</v>
      </c>
    </row>
    <row r="155" spans="1:10" ht="62.4">
      <c r="A155" s="331">
        <f>'Sch-1'!A155</f>
        <v>138</v>
      </c>
      <c r="B155" s="275">
        <f>'Sch-1'!B155</f>
        <v>7000026407</v>
      </c>
      <c r="C155" s="275">
        <f>'Sch-1'!C155</f>
        <v>1190</v>
      </c>
      <c r="D155" s="275" t="str">
        <f>'Sch-1'!D155</f>
        <v xml:space="preserve">220KV GIS MANDATORY SPARES              </v>
      </c>
      <c r="E155" s="275">
        <f>'Sch-1'!E155</f>
        <v>1000058293</v>
      </c>
      <c r="F155" s="278" t="str">
        <f>'Sch-1'!J155</f>
        <v>220KV GIS CIRCUIT BREAKER-COMPLETE SPRING OPERATING MECHANISMINCLUDING CHARGING MECHANISM ETC. (FOR SPRING OPERATED MECHANISM, IFAPPLICABLE)</v>
      </c>
      <c r="G155" s="275" t="str">
        <f>'Sch-1'!K155</f>
        <v>SET</v>
      </c>
      <c r="H155" s="275">
        <f>'Sch-1'!L155</f>
        <v>1</v>
      </c>
      <c r="I155" s="279"/>
      <c r="J155" s="280" t="str">
        <f t="shared" si="2"/>
        <v>INCLUDED</v>
      </c>
    </row>
    <row r="156" spans="1:10" ht="62.4">
      <c r="A156" s="331">
        <f>'Sch-1'!A156</f>
        <v>139</v>
      </c>
      <c r="B156" s="275">
        <f>'Sch-1'!B156</f>
        <v>7000026407</v>
      </c>
      <c r="C156" s="275">
        <f>'Sch-1'!C156</f>
        <v>1200</v>
      </c>
      <c r="D156" s="275" t="str">
        <f>'Sch-1'!D156</f>
        <v xml:space="preserve">220KV GIS MANDATORY SPARES              </v>
      </c>
      <c r="E156" s="275">
        <f>'Sch-1'!E156</f>
        <v>1000058287</v>
      </c>
      <c r="F156" s="278" t="str">
        <f>'Sch-1'!J156</f>
        <v>220KV GIS CIRCUIT BREAKER- COMPLETE HYDRAULIC-SPRING OPERATINGMECHANISM INCLUDING CHARGING MECHANISM ETC. (FOR HYDRAULIC-SPRINGOPERATED MECHANISM, IF APPLICABLE)</v>
      </c>
      <c r="G156" s="275" t="str">
        <f>'Sch-1'!K156</f>
        <v>SET</v>
      </c>
      <c r="H156" s="275">
        <f>'Sch-1'!L156</f>
        <v>1</v>
      </c>
      <c r="I156" s="279"/>
      <c r="J156" s="280" t="str">
        <f t="shared" si="2"/>
        <v>INCLUDED</v>
      </c>
    </row>
    <row r="157" spans="1:10" ht="46.8">
      <c r="A157" s="331">
        <f>'Sch-1'!A157</f>
        <v>140</v>
      </c>
      <c r="B157" s="275">
        <f>'Sch-1'!B157</f>
        <v>7000026407</v>
      </c>
      <c r="C157" s="275">
        <f>'Sch-1'!C157</f>
        <v>1210</v>
      </c>
      <c r="D157" s="275" t="str">
        <f>'Sch-1'!D157</f>
        <v xml:space="preserve">220KV GIS MANDATORY SPARES              </v>
      </c>
      <c r="E157" s="275">
        <f>'Sch-1'!E157</f>
        <v>1000049797</v>
      </c>
      <c r="F157" s="278" t="str">
        <f>'Sch-1'!J157</f>
        <v>PRESSURE SWITCHES OF EACH TYPE (FOR HYDRAULIC-SPRING OPERATEDMECHANISM, IF APPLICABLE)-220KV GIS CIRCUIT BREAKER</v>
      </c>
      <c r="G157" s="275" t="str">
        <f>'Sch-1'!K157</f>
        <v>SET</v>
      </c>
      <c r="H157" s="275">
        <f>'Sch-1'!L157</f>
        <v>1</v>
      </c>
      <c r="I157" s="279"/>
      <c r="J157" s="280" t="str">
        <f t="shared" si="2"/>
        <v>INCLUDED</v>
      </c>
    </row>
    <row r="158" spans="1:10" ht="46.8">
      <c r="A158" s="331">
        <f>'Sch-1'!A158</f>
        <v>141</v>
      </c>
      <c r="B158" s="275">
        <f>'Sch-1'!B158</f>
        <v>7000026407</v>
      </c>
      <c r="C158" s="275">
        <f>'Sch-1'!C158</f>
        <v>1220</v>
      </c>
      <c r="D158" s="275" t="str">
        <f>'Sch-1'!D158</f>
        <v xml:space="preserve">220KV GIS MANDATORY SPARES              </v>
      </c>
      <c r="E158" s="275">
        <f>'Sch-1'!E158</f>
        <v>1000049801</v>
      </c>
      <c r="F158" s="278" t="str">
        <f>'Sch-1'!J158</f>
        <v>PRESSURE GAUGE WITH COUPLING DEVICE OF EACH TYPE (FOR HYDRAULIC-SPRINGOPERATED MECHANISM, IF APPLICABLE)-220KV GIS CIRCUIT BREKAER</v>
      </c>
      <c r="G158" s="275" t="str">
        <f>'Sch-1'!K158</f>
        <v>SET</v>
      </c>
      <c r="H158" s="275">
        <f>'Sch-1'!L158</f>
        <v>1</v>
      </c>
      <c r="I158" s="279"/>
      <c r="J158" s="280" t="str">
        <f t="shared" si="2"/>
        <v>INCLUDED</v>
      </c>
    </row>
    <row r="159" spans="1:10" ht="405.6">
      <c r="A159" s="331">
        <f>'Sch-1'!A159</f>
        <v>142</v>
      </c>
      <c r="B159" s="275">
        <f>'Sch-1'!B159</f>
        <v>7000026407</v>
      </c>
      <c r="C159" s="275">
        <f>'Sch-1'!C159</f>
        <v>1230</v>
      </c>
      <c r="D159" s="275" t="str">
        <f>'Sch-1'!D159</f>
        <v xml:space="preserve">220KV GIS MANDATORY SPARES              </v>
      </c>
      <c r="E159" s="275">
        <f>'Sch-1'!E159</f>
        <v>1000058371</v>
      </c>
      <c r="F159" s="278" t="str">
        <f>'Sch-1'!J159</f>
        <v>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159" s="275" t="str">
        <f>'Sch-1'!K159</f>
        <v xml:space="preserve">EA </v>
      </c>
      <c r="H159" s="275">
        <f>'Sch-1'!L159</f>
        <v>4</v>
      </c>
      <c r="I159" s="279"/>
      <c r="J159" s="280" t="str">
        <f t="shared" si="2"/>
        <v>INCLUDED</v>
      </c>
    </row>
    <row r="160" spans="1:10" ht="265.2">
      <c r="A160" s="331">
        <f>'Sch-1'!A160</f>
        <v>143</v>
      </c>
      <c r="B160" s="275">
        <f>'Sch-1'!B160</f>
        <v>7000026407</v>
      </c>
      <c r="C160" s="275">
        <f>'Sch-1'!C160</f>
        <v>1240</v>
      </c>
      <c r="D160" s="275" t="str">
        <f>'Sch-1'!D160</f>
        <v xml:space="preserve">220KV GIS MANDATORY SPARES              </v>
      </c>
      <c r="E160" s="275">
        <f>'Sch-1'!E160</f>
        <v>1000058282</v>
      </c>
      <c r="F160" s="278" t="str">
        <f>'Sch-1'!J160</f>
        <v>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160" s="275" t="str">
        <f>'Sch-1'!K160</f>
        <v xml:space="preserve">EA </v>
      </c>
      <c r="H160" s="275">
        <f>'Sch-1'!L160</f>
        <v>1</v>
      </c>
      <c r="I160" s="279"/>
      <c r="J160" s="280" t="str">
        <f t="shared" si="2"/>
        <v>INCLUDED</v>
      </c>
    </row>
    <row r="161" spans="1:10" ht="265.2">
      <c r="A161" s="331">
        <f>'Sch-1'!A161</f>
        <v>144</v>
      </c>
      <c r="B161" s="275">
        <f>'Sch-1'!B161</f>
        <v>7000026407</v>
      </c>
      <c r="C161" s="275">
        <f>'Sch-1'!C161</f>
        <v>1250</v>
      </c>
      <c r="D161" s="275" t="str">
        <f>'Sch-1'!D161</f>
        <v xml:space="preserve">220KV GIS MANDATORY SPARES              </v>
      </c>
      <c r="E161" s="275">
        <f>'Sch-1'!E161</f>
        <v>1000058278</v>
      </c>
      <c r="F161" s="278" t="str">
        <f>'Sch-1'!J161</f>
        <v>220KV GIS - THREE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v>
      </c>
      <c r="G161" s="275" t="str">
        <f>'Sch-1'!K161</f>
        <v xml:space="preserve">EA </v>
      </c>
      <c r="H161" s="275">
        <f>'Sch-1'!L161</f>
        <v>1</v>
      </c>
      <c r="I161" s="279"/>
      <c r="J161" s="280" t="str">
        <f t="shared" si="2"/>
        <v>INCLUDED</v>
      </c>
    </row>
    <row r="162" spans="1:10" ht="109.2">
      <c r="A162" s="331">
        <f>'Sch-1'!A162</f>
        <v>145</v>
      </c>
      <c r="B162" s="275">
        <f>'Sch-1'!B162</f>
        <v>7000026407</v>
      </c>
      <c r="C162" s="275">
        <f>'Sch-1'!C162</f>
        <v>1260</v>
      </c>
      <c r="D162" s="275" t="str">
        <f>'Sch-1'!D162</f>
        <v xml:space="preserve">220KV GIS MANDATORY SPARES              </v>
      </c>
      <c r="E162" s="275">
        <f>'Sch-1'!E162</f>
        <v>1000058273</v>
      </c>
      <c r="F162" s="278" t="str">
        <f>'Sch-1'!J162</f>
        <v>OPEN/CLOSE CONTACTOR ASSEMBLY, TIMERS, KEY INTERLOCK, INTERLOCKINGCOILS, RELAYS, PUSH BUTTONS, INDICATING LAMPS, POWER CONTACTORS,RESISTORS, FUSES, MCBS &amp; DRIVE CONTROL CARDS ETC. (AS APPLICABLE) ONEOF EACH TYPE FOR ONE COMPLETE MOM BOX FOR 220KV GIS DISCONNECTORSWITCH</v>
      </c>
      <c r="G162" s="275" t="str">
        <f>'Sch-1'!K162</f>
        <v>SET</v>
      </c>
      <c r="H162" s="275">
        <f>'Sch-1'!L162</f>
        <v>1</v>
      </c>
      <c r="I162" s="279"/>
      <c r="J162" s="280" t="str">
        <f t="shared" si="2"/>
        <v>INCLUDED</v>
      </c>
    </row>
    <row r="163" spans="1:10" ht="109.2">
      <c r="A163" s="331">
        <f>'Sch-1'!A163</f>
        <v>146</v>
      </c>
      <c r="B163" s="275">
        <f>'Sch-1'!B163</f>
        <v>7000026407</v>
      </c>
      <c r="C163" s="275">
        <f>'Sch-1'!C163</f>
        <v>1270</v>
      </c>
      <c r="D163" s="275" t="str">
        <f>'Sch-1'!D163</f>
        <v xml:space="preserve">220KV GIS MANDATORY SPARES              </v>
      </c>
      <c r="E163" s="275">
        <f>'Sch-1'!E163</f>
        <v>1000058280</v>
      </c>
      <c r="F163" s="278" t="str">
        <f>'Sch-1'!J163</f>
        <v>OPEN/CLOSE CONTACTOR ASSEMBLY, TIMERS, KEY INTERLOCK, INTERLOCKINGCOILS, RELAYS, PUSH BUTTONS, INDICATING LAMPS, POWER CONTACTORS,RESISTORS, FUSES, MCBS &amp; DRIVE CONTROL CARDS ETC. (AS APPLICABLE) ONEOF EACH TYPE FOR ONE COMPLETE MOM BOX FOR 220KV GIS MAINTENANCE EARTHSWITCH</v>
      </c>
      <c r="G163" s="275" t="str">
        <f>'Sch-1'!K163</f>
        <v>SET</v>
      </c>
      <c r="H163" s="275">
        <f>'Sch-1'!L163</f>
        <v>1</v>
      </c>
      <c r="I163" s="279"/>
      <c r="J163" s="280" t="str">
        <f t="shared" si="2"/>
        <v>INCLUDED</v>
      </c>
    </row>
    <row r="164" spans="1:10" ht="109.2">
      <c r="A164" s="331">
        <f>'Sch-1'!A164</f>
        <v>147</v>
      </c>
      <c r="B164" s="275">
        <f>'Sch-1'!B164</f>
        <v>7000026407</v>
      </c>
      <c r="C164" s="275">
        <f>'Sch-1'!C164</f>
        <v>1280</v>
      </c>
      <c r="D164" s="275" t="str">
        <f>'Sch-1'!D164</f>
        <v xml:space="preserve">220KV GIS MANDATORY SPARES              </v>
      </c>
      <c r="E164" s="275">
        <f>'Sch-1'!E164</f>
        <v>1000058276</v>
      </c>
      <c r="F164" s="278" t="str">
        <f>'Sch-1'!J164</f>
        <v>OPEN/CLOSE CONTACTOR ASSEMBLY, TIMERS, KEY INTERLOCK, INTERLOCKINGCOILS, RELAYS, PUSH BUTTONS, INDICATING LAMPS, POWER CONTACTORS,RESISTORS, FUSES, MCBS &amp; DRIVE CONTROL CARDS ETC. (AS APPLICABLE) ONEOF EACH TYPE FOR ONE COMPLETE MOM BOX FOR 220KV GIS FAST EARTHINGSWITCH</v>
      </c>
      <c r="G164" s="275" t="str">
        <f>'Sch-1'!K164</f>
        <v>SET</v>
      </c>
      <c r="H164" s="275">
        <f>'Sch-1'!L164</f>
        <v>1</v>
      </c>
      <c r="I164" s="279"/>
      <c r="J164" s="280" t="str">
        <f t="shared" si="2"/>
        <v>INCLUDED</v>
      </c>
    </row>
    <row r="165" spans="1:10" ht="31.2">
      <c r="A165" s="331">
        <f>'Sch-1'!A165</f>
        <v>148</v>
      </c>
      <c r="B165" s="275">
        <f>'Sch-1'!B165</f>
        <v>7000026407</v>
      </c>
      <c r="C165" s="275">
        <f>'Sch-1'!C165</f>
        <v>1290</v>
      </c>
      <c r="D165" s="275" t="str">
        <f>'Sch-1'!D165</f>
        <v xml:space="preserve">220KV GIS MANDATORY SPARES              </v>
      </c>
      <c r="E165" s="275">
        <f>'Sch-1'!E165</f>
        <v>1000049773</v>
      </c>
      <c r="F165" s="278" t="str">
        <f>'Sch-1'!J165</f>
        <v>LIMIT SWITCHES AND AUX. SWITCHES FOR ONE COMPLETE MOM BOX FORDISCONNECTOR-220KV GIS</v>
      </c>
      <c r="G165" s="275" t="str">
        <f>'Sch-1'!K165</f>
        <v>SET</v>
      </c>
      <c r="H165" s="275">
        <f>'Sch-1'!L165</f>
        <v>2</v>
      </c>
      <c r="I165" s="279"/>
      <c r="J165" s="280" t="str">
        <f t="shared" si="2"/>
        <v>INCLUDED</v>
      </c>
    </row>
    <row r="166" spans="1:10" ht="31.2">
      <c r="A166" s="331">
        <f>'Sch-1'!A166</f>
        <v>149</v>
      </c>
      <c r="B166" s="275">
        <f>'Sch-1'!B166</f>
        <v>7000026407</v>
      </c>
      <c r="C166" s="275">
        <f>'Sch-1'!C166</f>
        <v>1300</v>
      </c>
      <c r="D166" s="275" t="str">
        <f>'Sch-1'!D166</f>
        <v xml:space="preserve">220KV GIS MANDATORY SPARES              </v>
      </c>
      <c r="E166" s="275">
        <f>'Sch-1'!E166</f>
        <v>1000049775</v>
      </c>
      <c r="F166" s="278" t="str">
        <f>'Sch-1'!J166</f>
        <v>LIMIT SWITCHES AND AUX. SWITCHES FOR ONE COMPLETE MOM BOX FORMAINTENANCE EARTHING SWITCH-220KV GIS</v>
      </c>
      <c r="G166" s="275" t="str">
        <f>'Sch-1'!K166</f>
        <v>SET</v>
      </c>
      <c r="H166" s="275">
        <f>'Sch-1'!L166</f>
        <v>2</v>
      </c>
      <c r="I166" s="279"/>
      <c r="J166" s="280" t="str">
        <f t="shared" si="2"/>
        <v>INCLUDED</v>
      </c>
    </row>
    <row r="167" spans="1:10" ht="46.8">
      <c r="A167" s="331">
        <f>'Sch-1'!A167</f>
        <v>150</v>
      </c>
      <c r="B167" s="275">
        <f>'Sch-1'!B167</f>
        <v>7000026407</v>
      </c>
      <c r="C167" s="275">
        <f>'Sch-1'!C167</f>
        <v>1310</v>
      </c>
      <c r="D167" s="275" t="str">
        <f>'Sch-1'!D167</f>
        <v xml:space="preserve">220KV GIS MANDATORY SPARES              </v>
      </c>
      <c r="E167" s="275">
        <f>'Sch-1'!E167</f>
        <v>1000049774</v>
      </c>
      <c r="F167" s="278" t="str">
        <f>'Sch-1'!J167</f>
        <v>LIMIT SWITCHES AND AUX. SWITCHES FOR ONE COMPLETE MOM BOX FOR FASTEARTHING SWITCH (IF APPLICABLE)-220KV GIS</v>
      </c>
      <c r="G167" s="275" t="str">
        <f>'Sch-1'!K167</f>
        <v>SET</v>
      </c>
      <c r="H167" s="275">
        <f>'Sch-1'!L167</f>
        <v>2</v>
      </c>
      <c r="I167" s="279"/>
      <c r="J167" s="280" t="str">
        <f t="shared" si="2"/>
        <v>INCLUDED</v>
      </c>
    </row>
    <row r="168" spans="1:10" ht="31.2">
      <c r="A168" s="331">
        <f>'Sch-1'!A168</f>
        <v>151</v>
      </c>
      <c r="B168" s="275">
        <f>'Sch-1'!B168</f>
        <v>7000026407</v>
      </c>
      <c r="C168" s="275">
        <f>'Sch-1'!C168</f>
        <v>1320</v>
      </c>
      <c r="D168" s="275" t="str">
        <f>'Sch-1'!D168</f>
        <v xml:space="preserve">220KV GIS MANDATORY SPARES              </v>
      </c>
      <c r="E168" s="275">
        <f>'Sch-1'!E168</f>
        <v>1000058274</v>
      </c>
      <c r="F168" s="278" t="str">
        <f>'Sch-1'!J168</f>
        <v>DRIVE MECHANISM FOR 220KV GIS DISCONNECTOR SWITCH</v>
      </c>
      <c r="G168" s="275" t="str">
        <f>'Sch-1'!K168</f>
        <v>SET</v>
      </c>
      <c r="H168" s="275">
        <f>'Sch-1'!L168</f>
        <v>1</v>
      </c>
      <c r="I168" s="279"/>
      <c r="J168" s="280" t="str">
        <f t="shared" si="2"/>
        <v>INCLUDED</v>
      </c>
    </row>
    <row r="169" spans="1:10" ht="31.2">
      <c r="A169" s="331">
        <f>'Sch-1'!A169</f>
        <v>152</v>
      </c>
      <c r="B169" s="275">
        <f>'Sch-1'!B169</f>
        <v>7000026407</v>
      </c>
      <c r="C169" s="275">
        <f>'Sch-1'!C169</f>
        <v>1330</v>
      </c>
      <c r="D169" s="275" t="str">
        <f>'Sch-1'!D169</f>
        <v xml:space="preserve">220KV GIS MANDATORY SPARES              </v>
      </c>
      <c r="E169" s="275">
        <f>'Sch-1'!E169</f>
        <v>1000058281</v>
      </c>
      <c r="F169" s="278" t="str">
        <f>'Sch-1'!J169</f>
        <v>DRIVE MECHANISM FOR 220KV GIS MAINTENANCE EARTH SWITCH</v>
      </c>
      <c r="G169" s="275" t="str">
        <f>'Sch-1'!K169</f>
        <v>SET</v>
      </c>
      <c r="H169" s="275">
        <f>'Sch-1'!L169</f>
        <v>1</v>
      </c>
      <c r="I169" s="279"/>
      <c r="J169" s="280" t="str">
        <f t="shared" si="2"/>
        <v>INCLUDED</v>
      </c>
    </row>
    <row r="170" spans="1:10" ht="31.2">
      <c r="A170" s="331">
        <f>'Sch-1'!A170</f>
        <v>153</v>
      </c>
      <c r="B170" s="275">
        <f>'Sch-1'!B170</f>
        <v>7000026407</v>
      </c>
      <c r="C170" s="275">
        <f>'Sch-1'!C170</f>
        <v>1340</v>
      </c>
      <c r="D170" s="275" t="str">
        <f>'Sch-1'!D170</f>
        <v xml:space="preserve">220KV GIS MANDATORY SPARES              </v>
      </c>
      <c r="E170" s="275">
        <f>'Sch-1'!E170</f>
        <v>1000058275</v>
      </c>
      <c r="F170" s="278" t="str">
        <f>'Sch-1'!J170</f>
        <v>MOTOR FOR DRIVE MECHANISM FOR 220KV GIS DISCONNECTOR SWITCH</v>
      </c>
      <c r="G170" s="275" t="str">
        <f>'Sch-1'!K170</f>
        <v xml:space="preserve">EA </v>
      </c>
      <c r="H170" s="275">
        <f>'Sch-1'!L170</f>
        <v>1</v>
      </c>
      <c r="I170" s="279"/>
      <c r="J170" s="280" t="str">
        <f t="shared" si="2"/>
        <v>INCLUDED</v>
      </c>
    </row>
    <row r="171" spans="1:10" ht="31.2">
      <c r="A171" s="331">
        <f>'Sch-1'!A171</f>
        <v>154</v>
      </c>
      <c r="B171" s="275">
        <f>'Sch-1'!B171</f>
        <v>7000026407</v>
      </c>
      <c r="C171" s="275">
        <f>'Sch-1'!C171</f>
        <v>1350</v>
      </c>
      <c r="D171" s="275" t="str">
        <f>'Sch-1'!D171</f>
        <v xml:space="preserve">220KV GIS MANDATORY SPARES              </v>
      </c>
      <c r="E171" s="275">
        <f>'Sch-1'!E171</f>
        <v>1000058283</v>
      </c>
      <c r="F171" s="278" t="str">
        <f>'Sch-1'!J171</f>
        <v>MOTOR FOR DRIVE MECHANISM FOR 220KVGIS MAINTENANCE EARTH SWITCH</v>
      </c>
      <c r="G171" s="275" t="str">
        <f>'Sch-1'!K171</f>
        <v xml:space="preserve">EA </v>
      </c>
      <c r="H171" s="275">
        <f>'Sch-1'!L171</f>
        <v>1</v>
      </c>
      <c r="I171" s="279"/>
      <c r="J171" s="280" t="str">
        <f t="shared" si="2"/>
        <v>INCLUDED</v>
      </c>
    </row>
    <row r="172" spans="1:10" ht="46.8">
      <c r="A172" s="331">
        <f>'Sch-1'!A183</f>
        <v>166</v>
      </c>
      <c r="B172" s="275">
        <f>'Sch-1'!B183</f>
        <v>7000026407</v>
      </c>
      <c r="C172" s="275">
        <f>'Sch-1'!C183</f>
        <v>1780</v>
      </c>
      <c r="D172" s="275" t="str">
        <f>'Sch-1'!D183</f>
        <v xml:space="preserve">Non Standard Structures                 </v>
      </c>
      <c r="E172" s="275">
        <f>'Sch-1'!E183</f>
        <v>1000012373</v>
      </c>
      <c r="F172" s="278" t="str">
        <f>'Sch-1'!J183</f>
        <v>Fabrication, galvanising and supply of foundation bolts including nuts,checknut and washers for lattice and pipe structures to be designedduring detailed engineering</v>
      </c>
      <c r="G172" s="275" t="str">
        <f>'Sch-1'!K183</f>
        <v xml:space="preserve">MT </v>
      </c>
      <c r="H172" s="275">
        <f>'Sch-1'!L183</f>
        <v>1.4</v>
      </c>
      <c r="I172" s="279"/>
      <c r="J172" s="280" t="str">
        <f t="shared" si="2"/>
        <v>INCLUDED</v>
      </c>
    </row>
    <row r="173" spans="1:10" ht="18">
      <c r="A173" s="344" t="str">
        <f>+'Sch-1'!A184</f>
        <v>II</v>
      </c>
      <c r="B173" s="267" t="str">
        <f>+'Sch-1'!B184</f>
        <v xml:space="preserve">SS-123:Extn. of 400/220kV Magarwada GIS </v>
      </c>
      <c r="C173" s="344"/>
      <c r="D173" s="344"/>
      <c r="E173" s="344"/>
      <c r="F173" s="344"/>
      <c r="G173" s="344"/>
      <c r="H173" s="344"/>
      <c r="I173" s="266"/>
      <c r="J173" s="344"/>
    </row>
    <row r="174" spans="1:10" ht="31.2">
      <c r="A174" s="331">
        <f>'Sch-1'!A185</f>
        <v>1</v>
      </c>
      <c r="B174" s="275">
        <f>'Sch-1'!B185</f>
        <v>7000026628</v>
      </c>
      <c r="C174" s="275">
        <f>'Sch-1'!C185</f>
        <v>10</v>
      </c>
      <c r="D174" s="275" t="str">
        <f>'Sch-1'!D185</f>
        <v xml:space="preserve">GIS Portion- 420 kV GIS Equipments      </v>
      </c>
      <c r="E174" s="275">
        <f>'Sch-1'!E185</f>
        <v>1000032802</v>
      </c>
      <c r="F174" s="278" t="str">
        <f>'Sch-1'!J185</f>
        <v>420KV, 4000A,63KA GIS BUSBAR MODULE EXTENSION</v>
      </c>
      <c r="G174" s="275" t="str">
        <f>'Sch-1'!K185</f>
        <v>SET</v>
      </c>
      <c r="H174" s="275">
        <f>'Sch-1'!L185</f>
        <v>2</v>
      </c>
      <c r="I174" s="279"/>
      <c r="J174" s="280" t="str">
        <f t="shared" si="2"/>
        <v>INCLUDED</v>
      </c>
    </row>
    <row r="175" spans="1:10" ht="31.2">
      <c r="A175" s="331">
        <f>'Sch-1'!A186</f>
        <v>2</v>
      </c>
      <c r="B175" s="275">
        <f>'Sch-1'!B186</f>
        <v>7000026628</v>
      </c>
      <c r="C175" s="275">
        <f>'Sch-1'!C186</f>
        <v>20</v>
      </c>
      <c r="D175" s="275" t="str">
        <f>'Sch-1'!D186</f>
        <v xml:space="preserve">GIS Portion- 420 kV GIS Equipments      </v>
      </c>
      <c r="E175" s="275">
        <f>'Sch-1'!E186</f>
        <v>1000004637</v>
      </c>
      <c r="F175" s="278" t="str">
        <f>'Sch-1'!J186</f>
        <v>420kV, 3150 A, 63 kA, SF6 GIS ICT feederbay module as per Section-Project,Technical specification</v>
      </c>
      <c r="G175" s="275" t="str">
        <f>'Sch-1'!K186</f>
        <v>SET</v>
      </c>
      <c r="H175" s="275">
        <f>'Sch-1'!L186</f>
        <v>1</v>
      </c>
      <c r="I175" s="279"/>
      <c r="J175" s="280" t="str">
        <f t="shared" si="2"/>
        <v>INCLUDED</v>
      </c>
    </row>
    <row r="176" spans="1:10" ht="31.2">
      <c r="A176" s="331">
        <f>'Sch-1'!A187</f>
        <v>3</v>
      </c>
      <c r="B176" s="275">
        <f>'Sch-1'!B187</f>
        <v>7000026628</v>
      </c>
      <c r="C176" s="275">
        <f>'Sch-1'!C187</f>
        <v>30</v>
      </c>
      <c r="D176" s="275" t="str">
        <f>'Sch-1'!D187</f>
        <v xml:space="preserve">GIS Portion- 420 kV GIS Equipments      </v>
      </c>
      <c r="E176" s="275">
        <f>'Sch-1'!E187</f>
        <v>1000032796</v>
      </c>
      <c r="F176" s="278" t="str">
        <f>'Sch-1'!J187</f>
        <v>420KV, 3150A, 63KA SF6 TO AIR BUSHING including support structure</v>
      </c>
      <c r="G176" s="275" t="str">
        <f>'Sch-1'!K187</f>
        <v>SET</v>
      </c>
      <c r="H176" s="275">
        <f>'Sch-1'!L187</f>
        <v>3</v>
      </c>
      <c r="I176" s="279"/>
      <c r="J176" s="280" t="str">
        <f t="shared" si="2"/>
        <v>INCLUDED</v>
      </c>
    </row>
    <row r="177" spans="1:10" ht="62.4">
      <c r="A177" s="331">
        <f>'Sch-1'!A188</f>
        <v>4</v>
      </c>
      <c r="B177" s="275">
        <f>'Sch-1'!B188</f>
        <v>7000026628</v>
      </c>
      <c r="C177" s="275">
        <f>'Sch-1'!C188</f>
        <v>40</v>
      </c>
      <c r="D177" s="275" t="str">
        <f>'Sch-1'!D188</f>
        <v xml:space="preserve">GIS Portion- 420 kV GIS Equipments      </v>
      </c>
      <c r="E177" s="275">
        <f>'Sch-1'!E188</f>
        <v>1000059207</v>
      </c>
      <c r="F177" s="278" t="str">
        <f>'Sch-1'!J188</f>
        <v>420KV, 3000A, 63KA, SINGLE PHASE, SF6 GAS INSULATED BUS DUCT (GIB)OUTSIDE GIS HALL ALONGWITH ASSOCIATED SUPPORT STRUCTURE, ETC. AS PERTECHNICAL SPECIFICATION</v>
      </c>
      <c r="G177" s="275" t="str">
        <f>'Sch-1'!K188</f>
        <v xml:space="preserve">M  </v>
      </c>
      <c r="H177" s="275">
        <f>'Sch-1'!L188</f>
        <v>275</v>
      </c>
      <c r="I177" s="279"/>
      <c r="J177" s="280" t="str">
        <f t="shared" si="2"/>
        <v>INCLUDED</v>
      </c>
    </row>
    <row r="178" spans="1:10" ht="31.2">
      <c r="A178" s="331">
        <f>'Sch-1'!A189</f>
        <v>5</v>
      </c>
      <c r="B178" s="275">
        <f>'Sch-1'!B189</f>
        <v>7000026628</v>
      </c>
      <c r="C178" s="275">
        <f>'Sch-1'!C189</f>
        <v>50</v>
      </c>
      <c r="D178" s="275" t="str">
        <f>'Sch-1'!D189</f>
        <v xml:space="preserve">GIS Portion- 245kV GIS Equipments       </v>
      </c>
      <c r="E178" s="275">
        <f>'Sch-1'!E189</f>
        <v>1000032784</v>
      </c>
      <c r="F178" s="278" t="str">
        <f>'Sch-1'!J189</f>
        <v>245 KV,3000 A, 50 KA SF6 GIS BUS BAR MODULE EXTENSION AS PERSECTION-PROJECT, TECHNICAL SPECIFICATION</v>
      </c>
      <c r="G178" s="275" t="str">
        <f>'Sch-1'!K189</f>
        <v>SET</v>
      </c>
      <c r="H178" s="275">
        <f>'Sch-1'!L189</f>
        <v>2</v>
      </c>
      <c r="I178" s="279"/>
      <c r="J178" s="280" t="str">
        <f t="shared" si="2"/>
        <v>INCLUDED</v>
      </c>
    </row>
    <row r="179" spans="1:10" ht="31.2">
      <c r="A179" s="331">
        <f>'Sch-1'!A190</f>
        <v>6</v>
      </c>
      <c r="B179" s="275">
        <f>'Sch-1'!B190</f>
        <v>7000026628</v>
      </c>
      <c r="C179" s="275">
        <f>'Sch-1'!C190</f>
        <v>60</v>
      </c>
      <c r="D179" s="275" t="str">
        <f>'Sch-1'!D190</f>
        <v xml:space="preserve">GIS Portion- 245kV GIS Equipments       </v>
      </c>
      <c r="E179" s="275">
        <f>'Sch-1'!E190</f>
        <v>1000001690</v>
      </c>
      <c r="F179" s="278" t="str">
        <f>'Sch-1'!J190</f>
        <v>245kV, 1600 A, 50 kA, SF6 GIS ICT feederbay module as per Section-Project,Technical specification</v>
      </c>
      <c r="G179" s="275" t="str">
        <f>'Sch-1'!K190</f>
        <v>SET</v>
      </c>
      <c r="H179" s="275">
        <f>'Sch-1'!L190</f>
        <v>1</v>
      </c>
      <c r="I179" s="279"/>
      <c r="J179" s="280" t="str">
        <f t="shared" si="2"/>
        <v>INCLUDED</v>
      </c>
    </row>
    <row r="180" spans="1:10" ht="62.4">
      <c r="A180" s="331">
        <f>'Sch-1'!A191</f>
        <v>7</v>
      </c>
      <c r="B180" s="275">
        <f>'Sch-1'!B191</f>
        <v>7000026628</v>
      </c>
      <c r="C180" s="275">
        <f>'Sch-1'!C191</f>
        <v>70</v>
      </c>
      <c r="D180" s="275" t="str">
        <f>'Sch-1'!D191</f>
        <v xml:space="preserve">GIS Portion- 245kV GIS Equipments       </v>
      </c>
      <c r="E180" s="275">
        <f>'Sch-1'!E191</f>
        <v>1000001693</v>
      </c>
      <c r="F180" s="278" t="str">
        <f>'Sch-1'!J191</f>
        <v>245kV,1600A, 50kA,3 Single phase/3Phase, SF6 Gas Insulated Bus Duct (GIB)outside GIS Hall alongwith associatedsupport structure(Quantity mentionedhere is for 3 Phase type)</v>
      </c>
      <c r="G180" s="275" t="str">
        <f>'Sch-1'!K191</f>
        <v xml:space="preserve">M  </v>
      </c>
      <c r="H180" s="275">
        <f>'Sch-1'!L191</f>
        <v>60</v>
      </c>
      <c r="I180" s="279"/>
      <c r="J180" s="280" t="str">
        <f t="shared" si="2"/>
        <v>INCLUDED</v>
      </c>
    </row>
    <row r="181" spans="1:10" ht="31.2">
      <c r="A181" s="331">
        <f>'Sch-1'!A192</f>
        <v>8</v>
      </c>
      <c r="B181" s="275">
        <f>'Sch-1'!B192</f>
        <v>7000026628</v>
      </c>
      <c r="C181" s="275">
        <f>'Sch-1'!C192</f>
        <v>80</v>
      </c>
      <c r="D181" s="275" t="str">
        <f>'Sch-1'!D192</f>
        <v xml:space="preserve">GIS Portion- 245kV GIS Equipments       </v>
      </c>
      <c r="E181" s="275">
        <f>'Sch-1'!E192</f>
        <v>1000029503</v>
      </c>
      <c r="F181" s="278" t="str">
        <f>'Sch-1'!J192</f>
        <v>245kV, 1600A, 50kA Single phase SF6 to Air Bushing</v>
      </c>
      <c r="G181" s="275" t="str">
        <f>'Sch-1'!K192</f>
        <v xml:space="preserve">EA </v>
      </c>
      <c r="H181" s="275">
        <f>'Sch-1'!L192</f>
        <v>3</v>
      </c>
      <c r="I181" s="279"/>
      <c r="J181" s="280" t="str">
        <f t="shared" si="2"/>
        <v>INCLUDED</v>
      </c>
    </row>
    <row r="182" spans="1:10">
      <c r="A182" s="331">
        <f>'Sch-1'!A193</f>
        <v>9</v>
      </c>
      <c r="B182" s="275">
        <f>'Sch-1'!B193</f>
        <v>7000026628</v>
      </c>
      <c r="C182" s="275">
        <f>'Sch-1'!C193</f>
        <v>90</v>
      </c>
      <c r="D182" s="275" t="str">
        <f>'Sch-1'!D193</f>
        <v xml:space="preserve">420 kV AIS equipments                   </v>
      </c>
      <c r="E182" s="275">
        <f>'Sch-1'!E193</f>
        <v>1000020419</v>
      </c>
      <c r="F182" s="278" t="str">
        <f>'Sch-1'!J193</f>
        <v>336kV Surge Arrester (1-phase)</v>
      </c>
      <c r="G182" s="275" t="str">
        <f>'Sch-1'!K193</f>
        <v xml:space="preserve">EA </v>
      </c>
      <c r="H182" s="275">
        <f>'Sch-1'!L193</f>
        <v>3</v>
      </c>
      <c r="I182" s="279"/>
      <c r="J182" s="280" t="str">
        <f t="shared" si="2"/>
        <v>INCLUDED</v>
      </c>
    </row>
    <row r="183" spans="1:10">
      <c r="A183" s="331">
        <f>'Sch-1'!A194</f>
        <v>10</v>
      </c>
      <c r="B183" s="275">
        <f>'Sch-1'!B194</f>
        <v>7000026628</v>
      </c>
      <c r="C183" s="275">
        <f>'Sch-1'!C194</f>
        <v>100</v>
      </c>
      <c r="D183" s="275" t="str">
        <f>'Sch-1'!D194</f>
        <v xml:space="preserve">420 kV AIS equipments                   </v>
      </c>
      <c r="E183" s="275">
        <f>'Sch-1'!E194</f>
        <v>1000004401</v>
      </c>
      <c r="F183" s="278" t="str">
        <f>'Sch-1'!J194</f>
        <v>420 kV, 1 phase Bus Post Insulator (except for Line Traps)</v>
      </c>
      <c r="G183" s="275" t="str">
        <f>'Sch-1'!K194</f>
        <v xml:space="preserve">EA </v>
      </c>
      <c r="H183" s="275">
        <f>'Sch-1'!L194</f>
        <v>3</v>
      </c>
      <c r="I183" s="279"/>
      <c r="J183" s="280" t="str">
        <f t="shared" si="2"/>
        <v>INCLUDED</v>
      </c>
    </row>
    <row r="184" spans="1:10">
      <c r="A184" s="331">
        <f>'Sch-1'!A195</f>
        <v>11</v>
      </c>
      <c r="B184" s="275">
        <f>'Sch-1'!B195</f>
        <v>7000026628</v>
      </c>
      <c r="C184" s="275">
        <f>'Sch-1'!C195</f>
        <v>110</v>
      </c>
      <c r="D184" s="275" t="str">
        <f>'Sch-1'!D195</f>
        <v xml:space="preserve">245kV AIS equipments                    </v>
      </c>
      <c r="E184" s="275">
        <f>'Sch-1'!E195</f>
        <v>1000020417</v>
      </c>
      <c r="F184" s="278" t="str">
        <f>'Sch-1'!J195</f>
        <v>216kV Surge Arrester (1-phase)</v>
      </c>
      <c r="G184" s="275" t="str">
        <f>'Sch-1'!K195</f>
        <v xml:space="preserve">EA </v>
      </c>
      <c r="H184" s="275">
        <f>'Sch-1'!L195</f>
        <v>3</v>
      </c>
      <c r="I184" s="279"/>
      <c r="J184" s="280" t="str">
        <f t="shared" si="2"/>
        <v>INCLUDED</v>
      </c>
    </row>
    <row r="185" spans="1:10" ht="31.2">
      <c r="A185" s="331">
        <f>'Sch-1'!A196</f>
        <v>12</v>
      </c>
      <c r="B185" s="275">
        <f>'Sch-1'!B196</f>
        <v>7000026628</v>
      </c>
      <c r="C185" s="275">
        <f>'Sch-1'!C196</f>
        <v>120</v>
      </c>
      <c r="D185" s="275" t="str">
        <f>'Sch-1'!D196</f>
        <v xml:space="preserve">Relay and Protection panel              </v>
      </c>
      <c r="E185" s="275">
        <f>'Sch-1'!E196</f>
        <v>1000055446</v>
      </c>
      <c r="F185" s="278" t="str">
        <f>'Sch-1'!J196</f>
        <v>400KV CIRCUIT BREAKER RELAY PANEL (WITH AUTOMATION)</v>
      </c>
      <c r="G185" s="275" t="str">
        <f>'Sch-1'!K196</f>
        <v xml:space="preserve">EA </v>
      </c>
      <c r="H185" s="275">
        <f>'Sch-1'!L196</f>
        <v>1</v>
      </c>
      <c r="I185" s="279"/>
      <c r="J185" s="280" t="str">
        <f t="shared" si="2"/>
        <v>INCLUDED</v>
      </c>
    </row>
    <row r="186" spans="1:10" ht="31.2">
      <c r="A186" s="331">
        <f>'Sch-1'!A197</f>
        <v>13</v>
      </c>
      <c r="B186" s="275">
        <f>'Sch-1'!B197</f>
        <v>7000026628</v>
      </c>
      <c r="C186" s="275">
        <f>'Sch-1'!C197</f>
        <v>130</v>
      </c>
      <c r="D186" s="275" t="str">
        <f>'Sch-1'!D197</f>
        <v xml:space="preserve">Relay and Protection panel              </v>
      </c>
      <c r="E186" s="275">
        <f>'Sch-1'!E197</f>
        <v>1000055443</v>
      </c>
      <c r="F186" s="278" t="str">
        <f>'Sch-1'!J197</f>
        <v>220KV CIRCUIT BREAKER RELAY PANEL (WITH AUTOMATION)</v>
      </c>
      <c r="G186" s="275" t="str">
        <f>'Sch-1'!K197</f>
        <v xml:space="preserve">EA </v>
      </c>
      <c r="H186" s="275">
        <f>'Sch-1'!L197</f>
        <v>1</v>
      </c>
      <c r="I186" s="279"/>
      <c r="J186" s="280" t="str">
        <f t="shared" si="2"/>
        <v>INCLUDED</v>
      </c>
    </row>
    <row r="187" spans="1:10" ht="31.2">
      <c r="A187" s="331">
        <f>'Sch-1'!A198</f>
        <v>14</v>
      </c>
      <c r="B187" s="275">
        <f>'Sch-1'!B198</f>
        <v>7000026628</v>
      </c>
      <c r="C187" s="275">
        <f>'Sch-1'!C198</f>
        <v>140</v>
      </c>
      <c r="D187" s="275" t="str">
        <f>'Sch-1'!D198</f>
        <v xml:space="preserve">Relay and Protection panel              </v>
      </c>
      <c r="E187" s="275">
        <f>'Sch-1'!E198</f>
        <v>1000004274</v>
      </c>
      <c r="F187" s="278" t="str">
        <f>'Sch-1'!J198</f>
        <v>400kV Transformer Protection Panel (For both HV &amp; MV side)-(withAutomation)</v>
      </c>
      <c r="G187" s="275" t="str">
        <f>'Sch-1'!K198</f>
        <v xml:space="preserve">EA </v>
      </c>
      <c r="H187" s="275">
        <f>'Sch-1'!L198</f>
        <v>1</v>
      </c>
      <c r="I187" s="279"/>
      <c r="J187" s="280" t="str">
        <f t="shared" si="2"/>
        <v>INCLUDED</v>
      </c>
    </row>
    <row r="188" spans="1:10" ht="31.2">
      <c r="A188" s="331">
        <f>'Sch-1'!A199</f>
        <v>15</v>
      </c>
      <c r="B188" s="275">
        <f>'Sch-1'!B199</f>
        <v>7000026628</v>
      </c>
      <c r="C188" s="275">
        <f>'Sch-1'!C199</f>
        <v>150</v>
      </c>
      <c r="D188" s="275" t="str">
        <f>'Sch-1'!D199</f>
        <v xml:space="preserve">Substation automation system            </v>
      </c>
      <c r="E188" s="275">
        <f>'Sch-1'!E199</f>
        <v>1000003409</v>
      </c>
      <c r="F188" s="278" t="str">
        <f>'Sch-1'!J199</f>
        <v>Augmentation of Substation automation System for 400kV Main bay as perTechnical Specification</v>
      </c>
      <c r="G188" s="275" t="str">
        <f>'Sch-1'!K199</f>
        <v xml:space="preserve">EA </v>
      </c>
      <c r="H188" s="275">
        <f>'Sch-1'!L199</f>
        <v>1</v>
      </c>
      <c r="I188" s="279"/>
      <c r="J188" s="280" t="str">
        <f t="shared" si="2"/>
        <v>INCLUDED</v>
      </c>
    </row>
    <row r="189" spans="1:10" ht="31.2">
      <c r="A189" s="331">
        <f>'Sch-1'!A200</f>
        <v>16</v>
      </c>
      <c r="B189" s="275">
        <f>'Sch-1'!B200</f>
        <v>7000026628</v>
      </c>
      <c r="C189" s="275">
        <f>'Sch-1'!C200</f>
        <v>160</v>
      </c>
      <c r="D189" s="275" t="str">
        <f>'Sch-1'!D200</f>
        <v xml:space="preserve">Substation automation system            </v>
      </c>
      <c r="E189" s="275">
        <f>'Sch-1'!E200</f>
        <v>1000001333</v>
      </c>
      <c r="F189" s="278" t="str">
        <f>'Sch-1'!J200</f>
        <v>Augmentation of Substation automation System for 220kV bay as perTechnical Specification</v>
      </c>
      <c r="G189" s="275" t="str">
        <f>'Sch-1'!K200</f>
        <v xml:space="preserve">EA </v>
      </c>
      <c r="H189" s="275">
        <f>'Sch-1'!L200</f>
        <v>1</v>
      </c>
      <c r="I189" s="279"/>
      <c r="J189" s="280" t="str">
        <f t="shared" si="2"/>
        <v>INCLUDED</v>
      </c>
    </row>
    <row r="190" spans="1:10" ht="46.8">
      <c r="A190" s="331">
        <f>'Sch-1'!A201</f>
        <v>17</v>
      </c>
      <c r="B190" s="275">
        <f>'Sch-1'!B201</f>
        <v>7000026628</v>
      </c>
      <c r="C190" s="275">
        <f>'Sch-1'!C201</f>
        <v>170</v>
      </c>
      <c r="D190" s="275" t="str">
        <f>'Sch-1'!D201</f>
        <v xml:space="preserve">Erection Hardware                       </v>
      </c>
      <c r="E190" s="275">
        <f>'Sch-1'!E201</f>
        <v>1000011330</v>
      </c>
      <c r="F190" s="278" t="str">
        <f>'Sch-1'!J201</f>
        <v>Erection Hardware for 400kV DM type layout for GIS terminationarrangement-Transformer bay as per technical specification</v>
      </c>
      <c r="G190" s="275" t="str">
        <f>'Sch-1'!K201</f>
        <v>SET</v>
      </c>
      <c r="H190" s="275">
        <f>'Sch-1'!L201</f>
        <v>1</v>
      </c>
      <c r="I190" s="279"/>
      <c r="J190" s="280" t="str">
        <f t="shared" si="2"/>
        <v>INCLUDED</v>
      </c>
    </row>
    <row r="191" spans="1:10" ht="46.8">
      <c r="A191" s="331">
        <f>'Sch-1'!A202</f>
        <v>18</v>
      </c>
      <c r="B191" s="275">
        <f>'Sch-1'!B202</f>
        <v>7000026628</v>
      </c>
      <c r="C191" s="275">
        <f>'Sch-1'!C202</f>
        <v>180</v>
      </c>
      <c r="D191" s="275" t="str">
        <f>'Sch-1'!D202</f>
        <v xml:space="preserve">Erection Hardware                       </v>
      </c>
      <c r="E191" s="275">
        <f>'Sch-1'!E202</f>
        <v>1000011252</v>
      </c>
      <c r="F191" s="278" t="str">
        <f>'Sch-1'!J202</f>
        <v>Erection Hardware for 220kV DM-type layout for GIS terminationarrangement-Transformer bay as per technical specification</v>
      </c>
      <c r="G191" s="275" t="str">
        <f>'Sch-1'!K202</f>
        <v>SET</v>
      </c>
      <c r="H191" s="275">
        <f>'Sch-1'!L202</f>
        <v>1</v>
      </c>
      <c r="I191" s="279"/>
      <c r="J191" s="280" t="str">
        <f t="shared" si="2"/>
        <v>INCLUDED</v>
      </c>
    </row>
    <row r="192" spans="1:10">
      <c r="A192" s="331">
        <f>'Sch-1'!A203</f>
        <v>19</v>
      </c>
      <c r="B192" s="275">
        <f>'Sch-1'!B203</f>
        <v>7000026628</v>
      </c>
      <c r="C192" s="275">
        <f>'Sch-1'!C203</f>
        <v>190</v>
      </c>
      <c r="D192" s="275" t="str">
        <f>'Sch-1'!D203</f>
        <v xml:space="preserve">Ventilation System                      </v>
      </c>
      <c r="E192" s="275">
        <f>'Sch-1'!E203</f>
        <v>1000022407</v>
      </c>
      <c r="F192" s="278" t="str">
        <f>'Sch-1'!J203</f>
        <v>Ventillation system for 220kV GIS Hall Ext</v>
      </c>
      <c r="G192" s="275" t="str">
        <f>'Sch-1'!K203</f>
        <v>SET</v>
      </c>
      <c r="H192" s="275">
        <f>'Sch-1'!L203</f>
        <v>1</v>
      </c>
      <c r="I192" s="279"/>
      <c r="J192" s="280" t="str">
        <f t="shared" si="2"/>
        <v>INCLUDED</v>
      </c>
    </row>
    <row r="193" spans="1:10" ht="31.2">
      <c r="A193" s="331">
        <f>'Sch-1'!A204</f>
        <v>20</v>
      </c>
      <c r="B193" s="275">
        <f>'Sch-1'!B204</f>
        <v>7000026628</v>
      </c>
      <c r="C193" s="275">
        <f>'Sch-1'!C204</f>
        <v>200</v>
      </c>
      <c r="D193" s="275" t="str">
        <f>'Sch-1'!D204</f>
        <v xml:space="preserve">Power and Control Cables                </v>
      </c>
      <c r="E193" s="275">
        <f>'Sch-1'!E204</f>
        <v>1000056265</v>
      </c>
      <c r="F193" s="278" t="str">
        <f>'Sch-1'!J204</f>
        <v>1.1KV GRADE 27CX1.5 SQMM CONTROL CABLE</v>
      </c>
      <c r="G193" s="275" t="str">
        <f>'Sch-1'!K204</f>
        <v xml:space="preserve">KM </v>
      </c>
      <c r="H193" s="275">
        <f>'Sch-1'!L204</f>
        <v>1</v>
      </c>
      <c r="I193" s="279"/>
      <c r="J193" s="280" t="str">
        <f t="shared" si="2"/>
        <v>INCLUDED</v>
      </c>
    </row>
    <row r="194" spans="1:10" ht="31.2">
      <c r="A194" s="331">
        <f>'Sch-1'!A205</f>
        <v>21</v>
      </c>
      <c r="B194" s="275">
        <f>'Sch-1'!B205</f>
        <v>7000026628</v>
      </c>
      <c r="C194" s="275">
        <f>'Sch-1'!C205</f>
        <v>210</v>
      </c>
      <c r="D194" s="275" t="str">
        <f>'Sch-1'!D205</f>
        <v xml:space="preserve">Power and Control Cables                </v>
      </c>
      <c r="E194" s="275">
        <f>'Sch-1'!E205</f>
        <v>1000056264</v>
      </c>
      <c r="F194" s="278" t="str">
        <f>'Sch-1'!J205</f>
        <v>1.1KV GRADE 19CX1.5 SQMM CONTROL CABLE</v>
      </c>
      <c r="G194" s="275" t="str">
        <f>'Sch-1'!K205</f>
        <v xml:space="preserve">KM </v>
      </c>
      <c r="H194" s="275">
        <f>'Sch-1'!L205</f>
        <v>2</v>
      </c>
      <c r="I194" s="279"/>
      <c r="J194" s="280" t="str">
        <f t="shared" si="2"/>
        <v>INCLUDED</v>
      </c>
    </row>
    <row r="195" spans="1:10" ht="31.2">
      <c r="A195" s="331">
        <f>'Sch-1'!A206</f>
        <v>22</v>
      </c>
      <c r="B195" s="275">
        <f>'Sch-1'!B206</f>
        <v>7000026628</v>
      </c>
      <c r="C195" s="275">
        <f>'Sch-1'!C206</f>
        <v>220</v>
      </c>
      <c r="D195" s="275" t="str">
        <f>'Sch-1'!D206</f>
        <v xml:space="preserve">Power and Control Cables                </v>
      </c>
      <c r="E195" s="275">
        <f>'Sch-1'!E206</f>
        <v>1000031887</v>
      </c>
      <c r="F195" s="278" t="str">
        <f>'Sch-1'!J206</f>
        <v>1.1KV GRADE 10CX2.5 SQMM CONTROL CABLE</v>
      </c>
      <c r="G195" s="275" t="str">
        <f>'Sch-1'!K206</f>
        <v xml:space="preserve">KM </v>
      </c>
      <c r="H195" s="275">
        <f>'Sch-1'!L206</f>
        <v>3</v>
      </c>
      <c r="I195" s="279"/>
      <c r="J195" s="280" t="str">
        <f t="shared" si="2"/>
        <v>INCLUDED</v>
      </c>
    </row>
    <row r="196" spans="1:10" ht="31.2">
      <c r="A196" s="331">
        <f>'Sch-1'!A207</f>
        <v>23</v>
      </c>
      <c r="B196" s="275">
        <f>'Sch-1'!B207</f>
        <v>7000026628</v>
      </c>
      <c r="C196" s="275">
        <f>'Sch-1'!C207</f>
        <v>230</v>
      </c>
      <c r="D196" s="275" t="str">
        <f>'Sch-1'!D207</f>
        <v xml:space="preserve">Power and Control Cables                </v>
      </c>
      <c r="E196" s="275">
        <f>'Sch-1'!E207</f>
        <v>1000031987</v>
      </c>
      <c r="F196" s="278" t="str">
        <f>'Sch-1'!J207</f>
        <v>1.1KV GRADE 5CX2.5 SQMM CONTROL CABLE</v>
      </c>
      <c r="G196" s="275" t="str">
        <f>'Sch-1'!K207</f>
        <v xml:space="preserve">KM </v>
      </c>
      <c r="H196" s="275">
        <f>'Sch-1'!L207</f>
        <v>3</v>
      </c>
      <c r="I196" s="279"/>
      <c r="J196" s="280" t="str">
        <f t="shared" si="2"/>
        <v>INCLUDED</v>
      </c>
    </row>
    <row r="197" spans="1:10" ht="31.2">
      <c r="A197" s="331">
        <f>'Sch-1'!A208</f>
        <v>24</v>
      </c>
      <c r="B197" s="275">
        <f>'Sch-1'!B208</f>
        <v>7000026628</v>
      </c>
      <c r="C197" s="275">
        <f>'Sch-1'!C208</f>
        <v>240</v>
      </c>
      <c r="D197" s="275" t="str">
        <f>'Sch-1'!D208</f>
        <v xml:space="preserve">Power and Control Cables                </v>
      </c>
      <c r="E197" s="275">
        <f>'Sch-1'!E208</f>
        <v>1000031964</v>
      </c>
      <c r="F197" s="278" t="str">
        <f>'Sch-1'!J208</f>
        <v>1.1KV GRADE 3CX2.5 SQMM CONTROL CABLE</v>
      </c>
      <c r="G197" s="275" t="str">
        <f>'Sch-1'!K208</f>
        <v xml:space="preserve">KM </v>
      </c>
      <c r="H197" s="275">
        <f>'Sch-1'!L208</f>
        <v>1</v>
      </c>
      <c r="I197" s="279"/>
      <c r="J197" s="280" t="str">
        <f t="shared" si="2"/>
        <v>INCLUDED</v>
      </c>
    </row>
    <row r="198" spans="1:10" ht="31.2">
      <c r="A198" s="331">
        <f>'Sch-1'!A209</f>
        <v>25</v>
      </c>
      <c r="B198" s="275">
        <f>'Sch-1'!B209</f>
        <v>7000026628</v>
      </c>
      <c r="C198" s="275">
        <f>'Sch-1'!C209</f>
        <v>250</v>
      </c>
      <c r="D198" s="275" t="str">
        <f>'Sch-1'!D209</f>
        <v xml:space="preserve">Power and Control Cables                </v>
      </c>
      <c r="E198" s="275">
        <f>'Sch-1'!E209</f>
        <v>1000031985</v>
      </c>
      <c r="F198" s="278" t="str">
        <f>'Sch-1'!J209</f>
        <v>1.1KV GRADE 4CX6 SQMM (PVC) POWER CABLE</v>
      </c>
      <c r="G198" s="275" t="str">
        <f>'Sch-1'!K209</f>
        <v xml:space="preserve">KM </v>
      </c>
      <c r="H198" s="275">
        <f>'Sch-1'!L209</f>
        <v>2</v>
      </c>
      <c r="I198" s="279"/>
      <c r="J198" s="280" t="str">
        <f t="shared" si="2"/>
        <v>INCLUDED</v>
      </c>
    </row>
    <row r="199" spans="1:10" ht="31.2">
      <c r="A199" s="331">
        <f>'Sch-1'!A210</f>
        <v>26</v>
      </c>
      <c r="B199" s="275">
        <f>'Sch-1'!B210</f>
        <v>7000026628</v>
      </c>
      <c r="C199" s="275">
        <f>'Sch-1'!C210</f>
        <v>260</v>
      </c>
      <c r="D199" s="275" t="str">
        <f>'Sch-1'!D210</f>
        <v xml:space="preserve">Power and Control Cables                </v>
      </c>
      <c r="E199" s="275">
        <f>'Sch-1'!E210</f>
        <v>1000031976</v>
      </c>
      <c r="F199" s="278" t="str">
        <f>'Sch-1'!J210</f>
        <v>1.1KV GRADE 4CX16 SQMM (PVC) POWER CABLE</v>
      </c>
      <c r="G199" s="275" t="str">
        <f>'Sch-1'!K210</f>
        <v xml:space="preserve">KM </v>
      </c>
      <c r="H199" s="275">
        <f>'Sch-1'!L210</f>
        <v>4</v>
      </c>
      <c r="I199" s="279"/>
      <c r="J199" s="280" t="str">
        <f t="shared" si="2"/>
        <v>INCLUDED</v>
      </c>
    </row>
    <row r="200" spans="1:10" ht="31.2">
      <c r="A200" s="331">
        <f>'Sch-1'!A211</f>
        <v>27</v>
      </c>
      <c r="B200" s="275">
        <f>'Sch-1'!B211</f>
        <v>7000026628</v>
      </c>
      <c r="C200" s="275">
        <f>'Sch-1'!C211</f>
        <v>270</v>
      </c>
      <c r="D200" s="275" t="str">
        <f>'Sch-1'!D211</f>
        <v xml:space="preserve">Power and Control Cables                </v>
      </c>
      <c r="E200" s="275">
        <f>'Sch-1'!E211</f>
        <v>1000031953</v>
      </c>
      <c r="F200" s="278" t="str">
        <f>'Sch-1'!J211</f>
        <v>1.1KV GRADE 3.5CX35 SQMM (PVC) POWER CABLE</v>
      </c>
      <c r="G200" s="275" t="str">
        <f>'Sch-1'!K211</f>
        <v xml:space="preserve">KM </v>
      </c>
      <c r="H200" s="275">
        <f>'Sch-1'!L211</f>
        <v>1</v>
      </c>
      <c r="I200" s="279"/>
      <c r="J200" s="280" t="str">
        <f t="shared" si="2"/>
        <v>INCLUDED</v>
      </c>
    </row>
    <row r="201" spans="1:10" ht="31.2">
      <c r="A201" s="331">
        <f>'Sch-1'!A212</f>
        <v>28</v>
      </c>
      <c r="B201" s="275">
        <f>'Sch-1'!B212</f>
        <v>7000026628</v>
      </c>
      <c r="C201" s="275">
        <f>'Sch-1'!C212</f>
        <v>280</v>
      </c>
      <c r="D201" s="275" t="str">
        <f>'Sch-1'!D212</f>
        <v xml:space="preserve">Power and Control Cables                </v>
      </c>
      <c r="E201" s="275">
        <f>'Sch-1'!E212</f>
        <v>1000031957</v>
      </c>
      <c r="F201" s="278" t="str">
        <f>'Sch-1'!J212</f>
        <v>1.1KV GRADE 3.5CX70 SQMM (PVC) POWER CABLE</v>
      </c>
      <c r="G201" s="275" t="str">
        <f>'Sch-1'!K212</f>
        <v xml:space="preserve">KM </v>
      </c>
      <c r="H201" s="275">
        <f>'Sch-1'!L212</f>
        <v>1</v>
      </c>
      <c r="I201" s="279"/>
      <c r="J201" s="280" t="str">
        <f t="shared" si="2"/>
        <v>INCLUDED</v>
      </c>
    </row>
    <row r="202" spans="1:10" ht="31.2">
      <c r="A202" s="331">
        <f>'Sch-1'!A213</f>
        <v>29</v>
      </c>
      <c r="B202" s="275">
        <f>'Sch-1'!B213</f>
        <v>7000026628</v>
      </c>
      <c r="C202" s="275">
        <f>'Sch-1'!C213</f>
        <v>290</v>
      </c>
      <c r="D202" s="275" t="str">
        <f>'Sch-1'!D213</f>
        <v xml:space="preserve">Power and Control Cables                </v>
      </c>
      <c r="E202" s="275">
        <f>'Sch-1'!E213</f>
        <v>1000032050</v>
      </c>
      <c r="F202" s="278" t="str">
        <f>'Sch-1'!J213</f>
        <v>4PAIR, 0.5SQMM SCREENED CABLE</v>
      </c>
      <c r="G202" s="275" t="str">
        <f>'Sch-1'!K213</f>
        <v xml:space="preserve">KM </v>
      </c>
      <c r="H202" s="275">
        <f>'Sch-1'!L213</f>
        <v>2</v>
      </c>
      <c r="I202" s="279"/>
      <c r="J202" s="280" t="str">
        <f t="shared" ref="J202:J314" si="4">IF(I202=0, "INCLUDED", IF(ISERROR(I202*H202), I202, I202*H202))</f>
        <v>INCLUDED</v>
      </c>
    </row>
    <row r="203" spans="1:10" ht="31.2">
      <c r="A203" s="331">
        <f>'Sch-1'!A214</f>
        <v>30</v>
      </c>
      <c r="B203" s="275">
        <f>'Sch-1'!B214</f>
        <v>7000026628</v>
      </c>
      <c r="C203" s="275">
        <f>'Sch-1'!C214</f>
        <v>300</v>
      </c>
      <c r="D203" s="275" t="str">
        <f>'Sch-1'!D214</f>
        <v xml:space="preserve">Power and Control Cables                </v>
      </c>
      <c r="E203" s="275">
        <f>'Sch-1'!E214</f>
        <v>1000031943</v>
      </c>
      <c r="F203" s="278" t="str">
        <f>'Sch-1'!J214</f>
        <v>1.1KV GRADE 2CX6 SQMM (PVC) POWER CABLE</v>
      </c>
      <c r="G203" s="275" t="str">
        <f>'Sch-1'!K214</f>
        <v xml:space="preserve">KM </v>
      </c>
      <c r="H203" s="275">
        <f>'Sch-1'!L214</f>
        <v>2</v>
      </c>
      <c r="I203" s="279"/>
      <c r="J203" s="280" t="str">
        <f t="shared" si="4"/>
        <v>INCLUDED</v>
      </c>
    </row>
    <row r="204" spans="1:10" ht="31.2">
      <c r="A204" s="331">
        <f>'Sch-1'!A215</f>
        <v>31</v>
      </c>
      <c r="B204" s="275">
        <f>'Sch-1'!B215</f>
        <v>7000026628</v>
      </c>
      <c r="C204" s="275">
        <f>'Sch-1'!C215</f>
        <v>310</v>
      </c>
      <c r="D204" s="275" t="str">
        <f>'Sch-1'!D215</f>
        <v xml:space="preserve">Power and Control Cables                </v>
      </c>
      <c r="E204" s="275">
        <f>'Sch-1'!E215</f>
        <v>1000031951</v>
      </c>
      <c r="F204" s="278" t="str">
        <f>'Sch-1'!J215</f>
        <v>1.1KV GRADE 3.5CX300 SQMM (XLPE) POWER CABLE</v>
      </c>
      <c r="G204" s="275" t="str">
        <f>'Sch-1'!K215</f>
        <v xml:space="preserve">KM </v>
      </c>
      <c r="H204" s="275">
        <f>'Sch-1'!L215</f>
        <v>0.5</v>
      </c>
      <c r="I204" s="279"/>
      <c r="J204" s="280" t="str">
        <f t="shared" si="4"/>
        <v>INCLUDED</v>
      </c>
    </row>
    <row r="205" spans="1:10" ht="31.2">
      <c r="A205" s="331">
        <f>'Sch-1'!A216</f>
        <v>32</v>
      </c>
      <c r="B205" s="275">
        <f>'Sch-1'!B216</f>
        <v>7000026628</v>
      </c>
      <c r="C205" s="275">
        <f>'Sch-1'!C216</f>
        <v>320</v>
      </c>
      <c r="D205" s="275" t="str">
        <f>'Sch-1'!D216</f>
        <v xml:space="preserve">Illumination(Indoor)                    </v>
      </c>
      <c r="E205" s="275">
        <f>'Sch-1'!E216</f>
        <v>1000049467</v>
      </c>
      <c r="F205" s="278" t="str">
        <f>'Sch-1'!J216</f>
        <v>INDOOR LIGHTNING FOR GIS BUILDING (AS PER TECHNICAL SPECIFICATION) including AHU &amp; Relay Rooms as applicable</v>
      </c>
      <c r="G205" s="275" t="str">
        <f>'Sch-1'!K216</f>
        <v>SET</v>
      </c>
      <c r="H205" s="275">
        <f>'Sch-1'!L216</f>
        <v>1</v>
      </c>
      <c r="I205" s="279"/>
      <c r="J205" s="280" t="str">
        <f t="shared" si="4"/>
        <v>INCLUDED</v>
      </c>
    </row>
    <row r="206" spans="1:10">
      <c r="A206" s="331">
        <f>'Sch-1'!A217</f>
        <v>33</v>
      </c>
      <c r="B206" s="275">
        <f>'Sch-1'!B217</f>
        <v>7000026628</v>
      </c>
      <c r="C206" s="275">
        <f>'Sch-1'!C217</f>
        <v>330</v>
      </c>
      <c r="D206" s="275" t="str">
        <f>'Sch-1'!D217</f>
        <v xml:space="preserve">Illumination(Outdoor)                   </v>
      </c>
      <c r="E206" s="275">
        <f>'Sch-1'!E217</f>
        <v>1000014547</v>
      </c>
      <c r="F206" s="278" t="str">
        <f>'Sch-1'!J217</f>
        <v>Lighting Panel type ACP-2 as per technical specification</v>
      </c>
      <c r="G206" s="275" t="str">
        <f>'Sch-1'!K217</f>
        <v xml:space="preserve">EA </v>
      </c>
      <c r="H206" s="275">
        <f>'Sch-1'!L217</f>
        <v>2</v>
      </c>
      <c r="I206" s="279"/>
      <c r="J206" s="280" t="str">
        <f t="shared" si="4"/>
        <v>INCLUDED</v>
      </c>
    </row>
    <row r="207" spans="1:10" ht="31.2">
      <c r="A207" s="331">
        <f>'Sch-1'!A218</f>
        <v>34</v>
      </c>
      <c r="B207" s="275">
        <f>'Sch-1'!B218</f>
        <v>7000026628</v>
      </c>
      <c r="C207" s="275">
        <f>'Sch-1'!C218</f>
        <v>340</v>
      </c>
      <c r="D207" s="275" t="str">
        <f>'Sch-1'!D218</f>
        <v xml:space="preserve">Illumination(Outdoor)                   </v>
      </c>
      <c r="E207" s="275">
        <f>'Sch-1'!E218</f>
        <v>1000038325</v>
      </c>
      <c r="F207" s="278" t="str">
        <f>'Sch-1'!J218</f>
        <v>LIGHTING FIXTURE LED LUMINAIRES TYPE FL2 AS PER TECH. SPECIFICATIONS</v>
      </c>
      <c r="G207" s="275" t="str">
        <f>'Sch-1'!K218</f>
        <v xml:space="preserve">EA </v>
      </c>
      <c r="H207" s="275">
        <f>'Sch-1'!L218</f>
        <v>8</v>
      </c>
      <c r="I207" s="279"/>
      <c r="J207" s="280" t="str">
        <f t="shared" si="4"/>
        <v>INCLUDED</v>
      </c>
    </row>
    <row r="208" spans="1:10" ht="31.2">
      <c r="A208" s="331">
        <f>'Sch-1'!A219</f>
        <v>35</v>
      </c>
      <c r="B208" s="275">
        <f>'Sch-1'!B219</f>
        <v>7000026628</v>
      </c>
      <c r="C208" s="275">
        <f>'Sch-1'!C219</f>
        <v>350</v>
      </c>
      <c r="D208" s="275" t="str">
        <f>'Sch-1'!D219</f>
        <v xml:space="preserve">Illumination(Outdoor)                   </v>
      </c>
      <c r="E208" s="275">
        <f>'Sch-1'!E219</f>
        <v>1000038039</v>
      </c>
      <c r="F208" s="278" t="str">
        <f>'Sch-1'!J219</f>
        <v>LIGHTING FIXTURE LED LUMINAIRES TYPE FL-1 AS PER TECH. SPECIFICATIONS</v>
      </c>
      <c r="G208" s="275" t="str">
        <f>'Sch-1'!K219</f>
        <v xml:space="preserve">EA </v>
      </c>
      <c r="H208" s="275">
        <f>'Sch-1'!L219</f>
        <v>6</v>
      </c>
      <c r="I208" s="279"/>
      <c r="J208" s="280" t="str">
        <f t="shared" si="4"/>
        <v>INCLUDED</v>
      </c>
    </row>
    <row r="209" spans="1:10">
      <c r="A209" s="331">
        <f>'Sch-1'!A220</f>
        <v>36</v>
      </c>
      <c r="B209" s="275">
        <f>'Sch-1'!B220</f>
        <v>7000026628</v>
      </c>
      <c r="C209" s="275">
        <f>'Sch-1'!C220</f>
        <v>360</v>
      </c>
      <c r="D209" s="275" t="str">
        <f>'Sch-1'!D220</f>
        <v xml:space="preserve">Illumination(Outdoor)                   </v>
      </c>
      <c r="E209" s="275">
        <f>'Sch-1'!E220</f>
        <v>1000001894</v>
      </c>
      <c r="F209" s="278" t="str">
        <f>'Sch-1'!J220</f>
        <v>Outdoor Power Receptacle for oilfiltration unit (250A)</v>
      </c>
      <c r="G209" s="275" t="str">
        <f>'Sch-1'!K220</f>
        <v xml:space="preserve">EA </v>
      </c>
      <c r="H209" s="275">
        <f>'Sch-1'!L220</f>
        <v>1</v>
      </c>
      <c r="I209" s="279"/>
      <c r="J209" s="280" t="str">
        <f t="shared" si="4"/>
        <v>INCLUDED</v>
      </c>
    </row>
    <row r="210" spans="1:10">
      <c r="A210" s="331">
        <f>'Sch-1'!A221</f>
        <v>37</v>
      </c>
      <c r="B210" s="275">
        <f>'Sch-1'!B221</f>
        <v>7000026628</v>
      </c>
      <c r="C210" s="275">
        <f>'Sch-1'!C221</f>
        <v>370</v>
      </c>
      <c r="D210" s="275" t="str">
        <f>'Sch-1'!D221</f>
        <v xml:space="preserve">Illumination(Outdoor)                   </v>
      </c>
      <c r="E210" s="275">
        <f>'Sch-1'!E221</f>
        <v>1000038385</v>
      </c>
      <c r="F210" s="278" t="str">
        <f>'Sch-1'!J221</f>
        <v>FIRE WALL MOUNTED LED LUMINARIE TYPE FL-2 (250W)</v>
      </c>
      <c r="G210" s="275" t="str">
        <f>'Sch-1'!K221</f>
        <v xml:space="preserve">EA </v>
      </c>
      <c r="H210" s="275">
        <f>'Sch-1'!L221</f>
        <v>2</v>
      </c>
      <c r="I210" s="279"/>
      <c r="J210" s="280" t="str">
        <f t="shared" si="4"/>
        <v>INCLUDED</v>
      </c>
    </row>
    <row r="211" spans="1:10" ht="46.8">
      <c r="A211" s="331">
        <f>'Sch-1'!A222</f>
        <v>38</v>
      </c>
      <c r="B211" s="275">
        <f>'Sch-1'!B222</f>
        <v>7000026628</v>
      </c>
      <c r="C211" s="275">
        <f>'Sch-1'!C222</f>
        <v>380</v>
      </c>
      <c r="D211" s="275" t="str">
        <f>'Sch-1'!D222</f>
        <v xml:space="preserve">Fire Protection System                  </v>
      </c>
      <c r="E211" s="275">
        <f>'Sch-1'!E222</f>
        <v>1000055456</v>
      </c>
      <c r="F211" s="278" t="str">
        <f>'Sch-1'!J222</f>
        <v>HVW SPRAY SYSTEM, HYDRANT SYSTEM AND COMPLETE U/G &amp; O/G PIPING ANDACCESSORIES ETC. OUT SIDE THE PUMP HOUSE  FOR 400KV, 3-PHASEAUTOTRANSFORMER</v>
      </c>
      <c r="G211" s="275" t="str">
        <f>'Sch-1'!K222</f>
        <v>SET</v>
      </c>
      <c r="H211" s="275">
        <f>'Sch-1'!L222</f>
        <v>1</v>
      </c>
      <c r="I211" s="279"/>
      <c r="J211" s="280" t="str">
        <f t="shared" si="4"/>
        <v>INCLUDED</v>
      </c>
    </row>
    <row r="212" spans="1:10">
      <c r="A212" s="331">
        <f>'Sch-1'!A223</f>
        <v>39</v>
      </c>
      <c r="B212" s="275">
        <f>'Sch-1'!B223</f>
        <v>7000026628</v>
      </c>
      <c r="C212" s="275">
        <f>'Sch-1'!C223</f>
        <v>390</v>
      </c>
      <c r="D212" s="275" t="str">
        <f>'Sch-1'!D223</f>
        <v xml:space="preserve">Fire Protection System                  </v>
      </c>
      <c r="E212" s="275">
        <f>'Sch-1'!E223</f>
        <v>1000012022</v>
      </c>
      <c r="F212" s="278" t="str">
        <f>'Sch-1'!J223</f>
        <v>4.5 kg CO2 type Portable Fire extinguisher</v>
      </c>
      <c r="G212" s="275" t="str">
        <f>'Sch-1'!K223</f>
        <v xml:space="preserve">EA </v>
      </c>
      <c r="H212" s="275">
        <f>'Sch-1'!L223</f>
        <v>4</v>
      </c>
      <c r="I212" s="279"/>
      <c r="J212" s="280" t="str">
        <f t="shared" si="4"/>
        <v>INCLUDED</v>
      </c>
    </row>
    <row r="213" spans="1:10">
      <c r="A213" s="331">
        <f>'Sch-1'!A224</f>
        <v>40</v>
      </c>
      <c r="B213" s="275">
        <f>'Sch-1'!B224</f>
        <v>7000026628</v>
      </c>
      <c r="C213" s="275">
        <f>'Sch-1'!C224</f>
        <v>400</v>
      </c>
      <c r="D213" s="275" t="str">
        <f>'Sch-1'!D224</f>
        <v xml:space="preserve">Fire Protection System                  </v>
      </c>
      <c r="E213" s="275">
        <f>'Sch-1'!E224</f>
        <v>1000012026</v>
      </c>
      <c r="F213" s="278" t="str">
        <f>'Sch-1'!J224</f>
        <v>6Kg dry chemical powered type Portable Fire extinguisher</v>
      </c>
      <c r="G213" s="275" t="str">
        <f>'Sch-1'!K224</f>
        <v xml:space="preserve">EA </v>
      </c>
      <c r="H213" s="275">
        <f>'Sch-1'!L224</f>
        <v>2</v>
      </c>
      <c r="I213" s="279"/>
      <c r="J213" s="280" t="str">
        <f t="shared" si="4"/>
        <v>INCLUDED</v>
      </c>
    </row>
    <row r="214" spans="1:10" ht="31.2">
      <c r="A214" s="331">
        <f>'Sch-1'!A225</f>
        <v>41</v>
      </c>
      <c r="B214" s="275">
        <f>'Sch-1'!B225</f>
        <v>7000026628</v>
      </c>
      <c r="C214" s="275">
        <f>'Sch-1'!C225</f>
        <v>410</v>
      </c>
      <c r="D214" s="275" t="str">
        <f>'Sch-1'!D225</f>
        <v xml:space="preserve">Fire Protection System                  </v>
      </c>
      <c r="E214" s="275">
        <f>'Sch-1'!E225</f>
        <v>1000029281</v>
      </c>
      <c r="F214" s="278" t="str">
        <f>'Sch-1'!J225</f>
        <v>Hydrant system, complete U/G piping and accessories etc. outside thePump House for 220kV GIS Building Extension.</v>
      </c>
      <c r="G214" s="275" t="str">
        <f>'Sch-1'!K225</f>
        <v>LOT</v>
      </c>
      <c r="H214" s="275">
        <f>'Sch-1'!L225</f>
        <v>1</v>
      </c>
      <c r="I214" s="279"/>
      <c r="J214" s="280" t="str">
        <f t="shared" si="4"/>
        <v>INCLUDED</v>
      </c>
    </row>
    <row r="215" spans="1:10">
      <c r="A215" s="331">
        <f>'Sch-1'!A226</f>
        <v>42</v>
      </c>
      <c r="B215" s="275">
        <f>'Sch-1'!B226</f>
        <v>7000026628</v>
      </c>
      <c r="C215" s="275">
        <f>'Sch-1'!C226</f>
        <v>1580</v>
      </c>
      <c r="D215" s="275" t="str">
        <f>'Sch-1'!D226</f>
        <v xml:space="preserve">Fire Protection System                  </v>
      </c>
      <c r="E215" s="275">
        <f>'Sch-1'!E226</f>
        <v>1000012009</v>
      </c>
      <c r="F215" s="278" t="str">
        <f>'Sch-1'!J226</f>
        <v>Fire Detection and Alarm System for 220kV GIS Hall</v>
      </c>
      <c r="G215" s="275" t="str">
        <f>'Sch-1'!K226</f>
        <v>SET</v>
      </c>
      <c r="H215" s="275">
        <f>'Sch-1'!L226</f>
        <v>1</v>
      </c>
      <c r="I215" s="279"/>
      <c r="J215" s="280" t="str">
        <f t="shared" si="4"/>
        <v>INCLUDED</v>
      </c>
    </row>
    <row r="216" spans="1:10" ht="31.2">
      <c r="A216" s="331">
        <f>'Sch-1'!A227</f>
        <v>43</v>
      </c>
      <c r="B216" s="275">
        <f>'Sch-1'!B227</f>
        <v>7000026628</v>
      </c>
      <c r="C216" s="275">
        <f>'Sch-1'!C227</f>
        <v>420</v>
      </c>
      <c r="D216" s="275" t="str">
        <f>'Sch-1'!D227</f>
        <v xml:space="preserve">LT Switchgear                           </v>
      </c>
      <c r="E216" s="275">
        <f>'Sch-1'!E227</f>
        <v>1000055451</v>
      </c>
      <c r="F216" s="278" t="str">
        <f>'Sch-1'!J227</f>
        <v>EXTENSION OF LT SWITCHGEAR AS PER TECHNICAL SPECIFICATION</v>
      </c>
      <c r="G216" s="275" t="str">
        <f>'Sch-1'!K227</f>
        <v>SET</v>
      </c>
      <c r="H216" s="275">
        <f>'Sch-1'!L227</f>
        <v>1</v>
      </c>
      <c r="I216" s="279"/>
      <c r="J216" s="280" t="str">
        <f t="shared" si="4"/>
        <v>INCLUDED</v>
      </c>
    </row>
    <row r="217" spans="1:10" ht="124.8">
      <c r="A217" s="331">
        <f>'Sch-1'!A228</f>
        <v>44</v>
      </c>
      <c r="B217" s="275">
        <f>'Sch-1'!B228</f>
        <v>7000026628</v>
      </c>
      <c r="C217" s="275">
        <f>'Sch-1'!C228</f>
        <v>430</v>
      </c>
      <c r="D217" s="275" t="str">
        <f>'Sch-1'!D228</f>
        <v xml:space="preserve">Augumentation of VMS System             </v>
      </c>
      <c r="E217" s="275">
        <f>'Sch-1'!E228</f>
        <v>1000030433</v>
      </c>
      <c r="F217" s="278" t="str">
        <f>'Sch-1'!J228</f>
        <v>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v>
      </c>
      <c r="G217" s="275" t="str">
        <f>'Sch-1'!K228</f>
        <v>SET</v>
      </c>
      <c r="H217" s="275">
        <f>'Sch-1'!L228</f>
        <v>1</v>
      </c>
      <c r="I217" s="279"/>
      <c r="J217" s="280" t="str">
        <f t="shared" si="4"/>
        <v>INCLUDED</v>
      </c>
    </row>
    <row r="218" spans="1:10">
      <c r="A218" s="331">
        <f>'Sch-1'!A229</f>
        <v>45</v>
      </c>
      <c r="B218" s="275">
        <f>'Sch-1'!B229</f>
        <v>7000026628</v>
      </c>
      <c r="C218" s="275">
        <f>'Sch-1'!C229</f>
        <v>440</v>
      </c>
      <c r="D218" s="275" t="str">
        <f>'Sch-1'!D229</f>
        <v xml:space="preserve">Mandatory spares                        </v>
      </c>
      <c r="E218" s="275">
        <f>'Sch-1'!E229</f>
        <v>1000024186</v>
      </c>
      <c r="F218" s="278" t="str">
        <f>'Sch-1'!J229</f>
        <v>SPARES FOR 336KV SURGE ARRESTER</v>
      </c>
      <c r="G218" s="275" t="str">
        <f>'Sch-1'!K229</f>
        <v xml:space="preserve">LS </v>
      </c>
      <c r="H218" s="275">
        <f>'Sch-1'!L229</f>
        <v>1</v>
      </c>
      <c r="I218" s="279"/>
      <c r="J218" s="280" t="str">
        <f t="shared" si="4"/>
        <v>INCLUDED</v>
      </c>
    </row>
    <row r="219" spans="1:10">
      <c r="A219" s="331">
        <f>'Sch-1'!A230</f>
        <v>46</v>
      </c>
      <c r="B219" s="275">
        <f>'Sch-1'!B230</f>
        <v>7000026628</v>
      </c>
      <c r="C219" s="275">
        <f>'Sch-1'!C230</f>
        <v>450</v>
      </c>
      <c r="D219" s="275" t="str">
        <f>'Sch-1'!D230</f>
        <v xml:space="preserve">Mandatory spares                        </v>
      </c>
      <c r="E219" s="275">
        <f>'Sch-1'!E230</f>
        <v>1000025930</v>
      </c>
      <c r="F219" s="278" t="str">
        <f>'Sch-1'!J230</f>
        <v>Spare-216kV Surge Arrester</v>
      </c>
      <c r="G219" s="275" t="str">
        <f>'Sch-1'!K230</f>
        <v>SET</v>
      </c>
      <c r="H219" s="275">
        <f>'Sch-1'!L230</f>
        <v>1</v>
      </c>
      <c r="I219" s="279"/>
      <c r="J219" s="280" t="str">
        <f t="shared" si="4"/>
        <v>INCLUDED</v>
      </c>
    </row>
    <row r="220" spans="1:10">
      <c r="A220" s="331">
        <f>'Sch-1'!A231</f>
        <v>47</v>
      </c>
      <c r="B220" s="275">
        <f>'Sch-1'!B231</f>
        <v>7000026628</v>
      </c>
      <c r="C220" s="275">
        <f>'Sch-1'!C231</f>
        <v>460</v>
      </c>
      <c r="D220" s="275" t="str">
        <f>'Sch-1'!D231</f>
        <v xml:space="preserve">Mandatory spares                        </v>
      </c>
      <c r="E220" s="275">
        <f>'Sch-1'!E231</f>
        <v>1000019912</v>
      </c>
      <c r="F220" s="278" t="str">
        <f>'Sch-1'!J231</f>
        <v>Relay &amp; protection Panels (with automation)</v>
      </c>
      <c r="G220" s="275" t="str">
        <f>'Sch-1'!K231</f>
        <v xml:space="preserve">LS </v>
      </c>
      <c r="H220" s="275">
        <f>'Sch-1'!L231</f>
        <v>1</v>
      </c>
      <c r="I220" s="279"/>
      <c r="J220" s="280" t="str">
        <f t="shared" si="4"/>
        <v>INCLUDED</v>
      </c>
    </row>
    <row r="221" spans="1:10">
      <c r="A221" s="331">
        <f>'Sch-1'!A232</f>
        <v>48</v>
      </c>
      <c r="B221" s="275">
        <f>'Sch-1'!B232</f>
        <v>7000026628</v>
      </c>
      <c r="C221" s="275">
        <f>'Sch-1'!C232</f>
        <v>470</v>
      </c>
      <c r="D221" s="275" t="str">
        <f>'Sch-1'!D232</f>
        <v xml:space="preserve">Mandatory spares                        </v>
      </c>
      <c r="E221" s="275">
        <f>'Sch-1'!E232</f>
        <v>1000019927</v>
      </c>
      <c r="F221" s="278" t="str">
        <f>'Sch-1'!J232</f>
        <v>Spares-Substation Automation System</v>
      </c>
      <c r="G221" s="275" t="str">
        <f>'Sch-1'!K232</f>
        <v xml:space="preserve">LS </v>
      </c>
      <c r="H221" s="275">
        <f>'Sch-1'!L232</f>
        <v>1</v>
      </c>
      <c r="I221" s="279"/>
      <c r="J221" s="280" t="str">
        <f t="shared" si="4"/>
        <v>INCLUDED</v>
      </c>
    </row>
    <row r="222" spans="1:10">
      <c r="A222" s="331">
        <f>'Sch-1'!A233</f>
        <v>49</v>
      </c>
      <c r="B222" s="275">
        <f>'Sch-1'!B233</f>
        <v>7000026628</v>
      </c>
      <c r="C222" s="275">
        <f>'Sch-1'!C233</f>
        <v>480</v>
      </c>
      <c r="D222" s="275" t="str">
        <f>'Sch-1'!D233</f>
        <v xml:space="preserve">Mandatory spares                        </v>
      </c>
      <c r="E222" s="275">
        <f>'Sch-1'!E233</f>
        <v>1000019925</v>
      </c>
      <c r="F222" s="278" t="str">
        <f>'Sch-1'!J233</f>
        <v>Spares for Fire Protection System</v>
      </c>
      <c r="G222" s="275" t="str">
        <f>'Sch-1'!K233</f>
        <v xml:space="preserve">LS </v>
      </c>
      <c r="H222" s="275">
        <f>'Sch-1'!L233</f>
        <v>1</v>
      </c>
      <c r="I222" s="279"/>
      <c r="J222" s="280" t="str">
        <f t="shared" si="4"/>
        <v>INCLUDED</v>
      </c>
    </row>
    <row r="223" spans="1:10" ht="31.2">
      <c r="A223" s="331">
        <f>'Sch-1'!A234</f>
        <v>50</v>
      </c>
      <c r="B223" s="275">
        <f>'Sch-1'!B234</f>
        <v>7000026628</v>
      </c>
      <c r="C223" s="275">
        <f>'Sch-1'!C234</f>
        <v>490</v>
      </c>
      <c r="D223" s="275" t="str">
        <f>'Sch-1'!D234</f>
        <v xml:space="preserve">GIS Portion-Mandatory Spares-400kV GIS  </v>
      </c>
      <c r="E223" s="275">
        <f>'Sch-1'!E234</f>
        <v>1000058332</v>
      </c>
      <c r="F223" s="278" t="str">
        <f>'Sch-1'!J234</f>
        <v>400KV GIS-SF6 GAS PRESSURE RELIEF DEVICE ASSEMBLY OF EACH TYPE</v>
      </c>
      <c r="G223" s="275" t="str">
        <f>'Sch-1'!K234</f>
        <v xml:space="preserve">EA </v>
      </c>
      <c r="H223" s="275">
        <f>'Sch-1'!L234</f>
        <v>1</v>
      </c>
      <c r="I223" s="279"/>
      <c r="J223" s="280" t="str">
        <f t="shared" si="4"/>
        <v>INCLUDED</v>
      </c>
    </row>
    <row r="224" spans="1:10" ht="46.8">
      <c r="A224" s="331">
        <f>'Sch-1'!A235</f>
        <v>51</v>
      </c>
      <c r="B224" s="275">
        <f>'Sch-1'!B235</f>
        <v>7000026628</v>
      </c>
      <c r="C224" s="275">
        <f>'Sch-1'!C235</f>
        <v>500</v>
      </c>
      <c r="D224" s="275" t="str">
        <f>'Sch-1'!D235</f>
        <v xml:space="preserve">GIS Portion-Mandatory Spares-400kV GIS  </v>
      </c>
      <c r="E224" s="275">
        <f>'Sch-1'!E235</f>
        <v>1000049817</v>
      </c>
      <c r="F224" s="278" t="str">
        <f>'Sch-1'!J235</f>
        <v>SF6  PRESSURE  GAUGE  CUM  SWITCH  /DENSITY MONITORS  AND  PRESSURESWITCH AS APPLICABLE, OF EACH TYPE-400KV GIS</v>
      </c>
      <c r="G224" s="275" t="str">
        <f>'Sch-1'!K235</f>
        <v>SET</v>
      </c>
      <c r="H224" s="275">
        <f>'Sch-1'!L235</f>
        <v>2</v>
      </c>
      <c r="I224" s="279"/>
      <c r="J224" s="280" t="str">
        <f t="shared" ref="J224:J283" si="5">IF(I224=0, "INCLUDED", IF(ISERROR(I224*H224), I224, I224*H224))</f>
        <v>INCLUDED</v>
      </c>
    </row>
    <row r="225" spans="1:10" ht="46.8">
      <c r="A225" s="331">
        <f>'Sch-1'!A236</f>
        <v>52</v>
      </c>
      <c r="B225" s="275">
        <f>'Sch-1'!B236</f>
        <v>7000026628</v>
      </c>
      <c r="C225" s="275">
        <f>'Sch-1'!C236</f>
        <v>510</v>
      </c>
      <c r="D225" s="275" t="str">
        <f>'Sch-1'!D236</f>
        <v xml:space="preserve">GIS Portion-Mandatory Spares-400kV GIS  </v>
      </c>
      <c r="E225" s="275">
        <f>'Sch-1'!E236</f>
        <v>1000049753</v>
      </c>
      <c r="F225" s="278" t="str">
        <f>'Sch-1'!J236</f>
        <v>COUPLING  DEVICE  FOR  PRESSURE  GAUGE  CUM  SWITCH  FOR  CONNECTINGGAS HANDLING PLANT OF EACH TYPE-400KV GIS</v>
      </c>
      <c r="G225" s="275" t="str">
        <f>'Sch-1'!K236</f>
        <v>SET</v>
      </c>
      <c r="H225" s="275">
        <f>'Sch-1'!L236</f>
        <v>1</v>
      </c>
      <c r="I225" s="279"/>
      <c r="J225" s="280" t="str">
        <f t="shared" si="5"/>
        <v>INCLUDED</v>
      </c>
    </row>
    <row r="226" spans="1:10" ht="31.2">
      <c r="A226" s="331">
        <f>'Sch-1'!A237</f>
        <v>53</v>
      </c>
      <c r="B226" s="275">
        <f>'Sch-1'!B237</f>
        <v>7000026628</v>
      </c>
      <c r="C226" s="275">
        <f>'Sch-1'!C237</f>
        <v>520</v>
      </c>
      <c r="D226" s="275" t="str">
        <f>'Sch-1'!D237</f>
        <v xml:space="preserve">GIS Portion-Mandatory Spares-400kV GIS  </v>
      </c>
      <c r="E226" s="275">
        <f>'Sch-1'!E237</f>
        <v>1000049762</v>
      </c>
      <c r="F226" s="278" t="str">
        <f>'Sch-1'!J237</f>
        <v>RUBBER  GASKETS,  Ã‚â‚¬Å’OÃ‚â‚¬Â  RINGS  AND  SEALS  FOR  SF6  GAS  FOR  GISENCLOSURE OF EACH TYPE-400KV GIS</v>
      </c>
      <c r="G226" s="275" t="str">
        <f>'Sch-1'!K237</f>
        <v>SET</v>
      </c>
      <c r="H226" s="275">
        <f>'Sch-1'!L237</f>
        <v>2</v>
      </c>
      <c r="I226" s="279"/>
      <c r="J226" s="280" t="str">
        <f t="shared" si="5"/>
        <v>INCLUDED</v>
      </c>
    </row>
    <row r="227" spans="1:10" ht="31.2">
      <c r="A227" s="331">
        <f>'Sch-1'!A238</f>
        <v>54</v>
      </c>
      <c r="B227" s="275">
        <f>'Sch-1'!B238</f>
        <v>7000026628</v>
      </c>
      <c r="C227" s="275">
        <f>'Sch-1'!C238</f>
        <v>530</v>
      </c>
      <c r="D227" s="275" t="str">
        <f>'Sch-1'!D238</f>
        <v xml:space="preserve">GIS Portion-Mandatory Spares-400kV GIS  </v>
      </c>
      <c r="E227" s="275">
        <f>'Sch-1'!E238</f>
        <v>1000058330</v>
      </c>
      <c r="F227" s="278" t="str">
        <f>'Sch-1'!J238</f>
        <v>400KV GIS-MOLECULAR FILTER FOR SF6 GAS WITH FILTER BAGS (5 % OF TOTALWEIGHT)</v>
      </c>
      <c r="G227" s="275" t="str">
        <f>'Sch-1'!K238</f>
        <v>SET</v>
      </c>
      <c r="H227" s="275">
        <f>'Sch-1'!L238</f>
        <v>1</v>
      </c>
      <c r="I227" s="279"/>
      <c r="J227" s="280" t="str">
        <f t="shared" si="5"/>
        <v>INCLUDED</v>
      </c>
    </row>
    <row r="228" spans="1:10" ht="31.2">
      <c r="A228" s="331">
        <f>'Sch-1'!A239</f>
        <v>55</v>
      </c>
      <c r="B228" s="275">
        <f>'Sch-1'!B239</f>
        <v>7000026628</v>
      </c>
      <c r="C228" s="275">
        <f>'Sch-1'!C239</f>
        <v>540</v>
      </c>
      <c r="D228" s="275" t="str">
        <f>'Sch-1'!D239</f>
        <v xml:space="preserve">GIS Portion-Mandatory Spares-400kV GIS  </v>
      </c>
      <c r="E228" s="275">
        <f>'Sch-1'!E239</f>
        <v>1000049750</v>
      </c>
      <c r="F228" s="278" t="str">
        <f>'Sch-1'!J239</f>
        <v>CONTROL VALVES FOR SF6 GAS OF EACH TYPE-400KV GIS</v>
      </c>
      <c r="G228" s="275" t="str">
        <f>'Sch-1'!K239</f>
        <v>SET</v>
      </c>
      <c r="H228" s="275">
        <f>'Sch-1'!L239</f>
        <v>2</v>
      </c>
      <c r="I228" s="279"/>
      <c r="J228" s="280" t="str">
        <f t="shared" si="5"/>
        <v>INCLUDED</v>
      </c>
    </row>
    <row r="229" spans="1:10" ht="31.2">
      <c r="A229" s="331">
        <f>'Sch-1'!A240</f>
        <v>56</v>
      </c>
      <c r="B229" s="275">
        <f>'Sch-1'!B240</f>
        <v>7000026628</v>
      </c>
      <c r="C229" s="275">
        <f>'Sch-1'!C240</f>
        <v>550</v>
      </c>
      <c r="D229" s="275" t="str">
        <f>'Sch-1'!D240</f>
        <v xml:space="preserve">GIS Portion-Mandatory Spares-400kV GIS  </v>
      </c>
      <c r="E229" s="275">
        <f>'Sch-1'!E240</f>
        <v>1000058331</v>
      </c>
      <c r="F229" s="278" t="str">
        <f>'Sch-1'!J240</f>
        <v>400KV GIS-SF6 GAS (5 % OF TOTAL GAS QUANTITY)</v>
      </c>
      <c r="G229" s="275" t="str">
        <f>'Sch-1'!K240</f>
        <v>LOT</v>
      </c>
      <c r="H229" s="275">
        <f>'Sch-1'!L240</f>
        <v>1</v>
      </c>
      <c r="I229" s="279"/>
      <c r="J229" s="280" t="str">
        <f t="shared" si="5"/>
        <v>INCLUDED</v>
      </c>
    </row>
    <row r="230" spans="1:10" ht="62.4">
      <c r="A230" s="331">
        <f>'Sch-1'!A241</f>
        <v>57</v>
      </c>
      <c r="B230" s="275">
        <f>'Sch-1'!B241</f>
        <v>7000026628</v>
      </c>
      <c r="C230" s="275">
        <f>'Sch-1'!C241</f>
        <v>560</v>
      </c>
      <c r="D230" s="275" t="str">
        <f>'Sch-1'!D241</f>
        <v xml:space="preserve">GIS Portion-Mandatory Spares-400kV GIS  </v>
      </c>
      <c r="E230" s="275">
        <f>'Sch-1'!E241</f>
        <v>1000049783</v>
      </c>
      <c r="F230" s="278" t="str">
        <f>'Sch-1'!J241</f>
        <v>LOCKING   DEVICE   TO   KEEP   THE   DIS-CONNECTORS   (ISOLATORS)AND EARTHING/FAST EARTHING SWITCHES IN CLOSE OR OPEN POSITION IN CASEOF REMOVAL OF THE DRIVING MECHANISM-400KV GIS</v>
      </c>
      <c r="G230" s="275" t="str">
        <f>'Sch-1'!K241</f>
        <v>SET</v>
      </c>
      <c r="H230" s="275">
        <f>'Sch-1'!L241</f>
        <v>2</v>
      </c>
      <c r="I230" s="279"/>
      <c r="J230" s="280" t="str">
        <f t="shared" si="5"/>
        <v>INCLUDED</v>
      </c>
    </row>
    <row r="231" spans="1:10" ht="31.2">
      <c r="A231" s="331">
        <f>'Sch-1'!A242</f>
        <v>58</v>
      </c>
      <c r="B231" s="275">
        <f>'Sch-1'!B242</f>
        <v>7000026628</v>
      </c>
      <c r="C231" s="275">
        <f>'Sch-1'!C242</f>
        <v>570</v>
      </c>
      <c r="D231" s="275" t="str">
        <f>'Sch-1'!D242</f>
        <v xml:space="preserve">GIS Portion-Mandatory Spares-400kV GIS  </v>
      </c>
      <c r="E231" s="275">
        <f>'Sch-1'!E242</f>
        <v>1000049505</v>
      </c>
      <c r="F231" s="278" t="str">
        <f>'Sch-1'!J242</f>
        <v>UHF PD SENSORS OF EACH TYPE ALONG WITH BNC CONNECTOR FOR 420KV GIS</v>
      </c>
      <c r="G231" s="275" t="str">
        <f>'Sch-1'!K242</f>
        <v xml:space="preserve">EA </v>
      </c>
      <c r="H231" s="275">
        <f>'Sch-1'!L242</f>
        <v>3</v>
      </c>
      <c r="I231" s="279"/>
      <c r="J231" s="280" t="str">
        <f t="shared" si="5"/>
        <v>INCLUDED</v>
      </c>
    </row>
    <row r="232" spans="1:10" ht="46.8">
      <c r="A232" s="331">
        <f>'Sch-1'!A243</f>
        <v>59</v>
      </c>
      <c r="B232" s="275">
        <f>'Sch-1'!B243</f>
        <v>7000026628</v>
      </c>
      <c r="C232" s="275">
        <f>'Sch-1'!C243</f>
        <v>580</v>
      </c>
      <c r="D232" s="275" t="str">
        <f>'Sch-1'!D243</f>
        <v xml:space="preserve">GIS Portion-Mandatory Spares-400kV GIS  </v>
      </c>
      <c r="E232" s="275">
        <f>'Sch-1'!E243</f>
        <v>1000058334</v>
      </c>
      <c r="F232" s="278" t="str">
        <f>'Sch-1'!J243</f>
        <v>400KV GIS-SUPPORT INSULATORS (GAS THROUGH) OF EACH TYPE (COMPLETE WITHMETAL RING ETC.) ALONG WITH ASSOCIATED CONTACTS AND SHIELDS</v>
      </c>
      <c r="G232" s="275" t="str">
        <f>'Sch-1'!K243</f>
        <v xml:space="preserve">EA </v>
      </c>
      <c r="H232" s="275">
        <f>'Sch-1'!L243</f>
        <v>3</v>
      </c>
      <c r="I232" s="279"/>
      <c r="J232" s="280" t="str">
        <f t="shared" si="5"/>
        <v>INCLUDED</v>
      </c>
    </row>
    <row r="233" spans="1:10" ht="46.8">
      <c r="A233" s="331">
        <f>'Sch-1'!A244</f>
        <v>60</v>
      </c>
      <c r="B233" s="275">
        <f>'Sch-1'!B244</f>
        <v>7000026628</v>
      </c>
      <c r="C233" s="275">
        <f>'Sch-1'!C244</f>
        <v>590</v>
      </c>
      <c r="D233" s="275" t="str">
        <f>'Sch-1'!D244</f>
        <v xml:space="preserve">GIS Portion-Mandatory Spares-400kV GIS  </v>
      </c>
      <c r="E233" s="275">
        <f>'Sch-1'!E244</f>
        <v>1000058329</v>
      </c>
      <c r="F233" s="278" t="str">
        <f>'Sch-1'!J244</f>
        <v>400KV GIS-GAS BARRIERS OF EACH TYPE (COMPLETE WITH METAL RING ETC.)ALONG WITH ASSOCIATED CONTACTS AND SHIELDS</v>
      </c>
      <c r="G233" s="275" t="str">
        <f>'Sch-1'!K244</f>
        <v xml:space="preserve">EA </v>
      </c>
      <c r="H233" s="275">
        <f>'Sch-1'!L244</f>
        <v>3</v>
      </c>
      <c r="I233" s="279"/>
      <c r="J233" s="280" t="str">
        <f t="shared" si="5"/>
        <v>INCLUDED</v>
      </c>
    </row>
    <row r="234" spans="1:10" ht="31.2">
      <c r="A234" s="331">
        <f>'Sch-1'!A245</f>
        <v>61</v>
      </c>
      <c r="B234" s="275">
        <f>'Sch-1'!B245</f>
        <v>7000026628</v>
      </c>
      <c r="C234" s="275">
        <f>'Sch-1'!C245</f>
        <v>600</v>
      </c>
      <c r="D234" s="275" t="str">
        <f>'Sch-1'!D245</f>
        <v xml:space="preserve">GIS Portion-Mandatory Spares-400kV GIS  </v>
      </c>
      <c r="E234" s="275">
        <f>'Sch-1'!E245</f>
        <v>1000058333</v>
      </c>
      <c r="F234" s="278" t="str">
        <f>'Sch-1'!J245</f>
        <v>400KV GIS- 3150A SF6 TO AIR BUSHING COMPLETE IN ALL RESPECT</v>
      </c>
      <c r="G234" s="275" t="str">
        <f>'Sch-1'!K245</f>
        <v xml:space="preserve">EA </v>
      </c>
      <c r="H234" s="275">
        <f>'Sch-1'!L245</f>
        <v>1</v>
      </c>
      <c r="I234" s="279"/>
      <c r="J234" s="280" t="str">
        <f t="shared" si="5"/>
        <v>INCLUDED</v>
      </c>
    </row>
    <row r="235" spans="1:10" ht="62.4">
      <c r="A235" s="331">
        <f>'Sch-1'!A246</f>
        <v>62</v>
      </c>
      <c r="B235" s="275">
        <f>'Sch-1'!B246</f>
        <v>7000026628</v>
      </c>
      <c r="C235" s="275">
        <f>'Sch-1'!C246</f>
        <v>610</v>
      </c>
      <c r="D235" s="275" t="str">
        <f>'Sch-1'!D246</f>
        <v xml:space="preserve">GIS Portion-Mandatory Spares-400kV GIS  </v>
      </c>
      <c r="E235" s="275">
        <f>'Sch-1'!E246</f>
        <v>1000049498</v>
      </c>
      <c r="F235" s="278" t="str">
        <f>'Sch-1'!J246</f>
        <v>LCC SPARES  - AUX. RELAYS, CONTACTORS,PUSH BUTTONS, SWITCHES,LAMPS,ANNUNCIATION WINDOWS, MCB, FUSES,TIMERS, TERMINAL BLOCKS ETC. OF EACHTYPE &amp; RATING-400kV GIS</v>
      </c>
      <c r="G235" s="275" t="str">
        <f>'Sch-1'!K246</f>
        <v>SET</v>
      </c>
      <c r="H235" s="275">
        <f>'Sch-1'!L246</f>
        <v>1</v>
      </c>
      <c r="I235" s="279"/>
      <c r="J235" s="280" t="str">
        <f t="shared" si="5"/>
        <v>INCLUDED</v>
      </c>
    </row>
    <row r="236" spans="1:10" ht="46.8">
      <c r="A236" s="331">
        <f>'Sch-1'!A247</f>
        <v>63</v>
      </c>
      <c r="B236" s="275">
        <f>'Sch-1'!B247</f>
        <v>7000026628</v>
      </c>
      <c r="C236" s="275">
        <f>'Sch-1'!C247</f>
        <v>620</v>
      </c>
      <c r="D236" s="275" t="str">
        <f>'Sch-1'!D247</f>
        <v xml:space="preserve">GIS Portion-Mandatory Spares-400kV GIS  </v>
      </c>
      <c r="E236" s="275">
        <f>'Sch-1'!E247</f>
        <v>1000058317</v>
      </c>
      <c r="F236" s="278" t="str">
        <f>'Sch-1'!J247</f>
        <v>400KV GIS-ONE POLE OF 3150A CIRCUIT BREAKER WITHOUT PIR WITHINTERRUPTER, MAIN CIRCUIT, ENCLOSURE AND OPERATING MECHANISM COMPLETEIN ALL RESPECT</v>
      </c>
      <c r="G236" s="275" t="str">
        <f>'Sch-1'!K247</f>
        <v>SET</v>
      </c>
      <c r="H236" s="275">
        <f>'Sch-1'!L247</f>
        <v>1</v>
      </c>
      <c r="I236" s="279"/>
      <c r="J236" s="280" t="str">
        <f t="shared" si="5"/>
        <v>INCLUDED</v>
      </c>
    </row>
    <row r="237" spans="1:10" ht="31.2">
      <c r="A237" s="331">
        <f>'Sch-1'!A248</f>
        <v>64</v>
      </c>
      <c r="B237" s="275">
        <f>'Sch-1'!B248</f>
        <v>7000026628</v>
      </c>
      <c r="C237" s="275">
        <f>'Sch-1'!C248</f>
        <v>630</v>
      </c>
      <c r="D237" s="275" t="str">
        <f>'Sch-1'!D248</f>
        <v xml:space="preserve">GIS Portion-Mandatory Spares-400kV GIS  </v>
      </c>
      <c r="E237" s="275">
        <f>'Sch-1'!E248</f>
        <v>1000021873</v>
      </c>
      <c r="F237" s="278" t="str">
        <f>'Sch-1'!J248</f>
        <v>Trip coil assembly with resistor for420kV GIS Circuit Breaker (asapplicable)</v>
      </c>
      <c r="G237" s="275" t="str">
        <f>'Sch-1'!K248</f>
        <v>SET</v>
      </c>
      <c r="H237" s="275">
        <f>'Sch-1'!L248</f>
        <v>3</v>
      </c>
      <c r="I237" s="279"/>
      <c r="J237" s="280" t="str">
        <f t="shared" si="5"/>
        <v>INCLUDED</v>
      </c>
    </row>
    <row r="238" spans="1:10" ht="31.2">
      <c r="A238" s="331">
        <f>'Sch-1'!A249</f>
        <v>65</v>
      </c>
      <c r="B238" s="275">
        <f>'Sch-1'!B249</f>
        <v>7000026628</v>
      </c>
      <c r="C238" s="275">
        <f>'Sch-1'!C249</f>
        <v>640</v>
      </c>
      <c r="D238" s="275" t="str">
        <f>'Sch-1'!D249</f>
        <v xml:space="preserve">GIS Portion-Mandatory Spares-400kV GIS  </v>
      </c>
      <c r="E238" s="275">
        <f>'Sch-1'!E249</f>
        <v>1000009208</v>
      </c>
      <c r="F238" s="278" t="str">
        <f>'Sch-1'!J249</f>
        <v>Closing coil assembly with resistor for420kV GIS Circuit Breaker (asapplicable)</v>
      </c>
      <c r="G238" s="275" t="str">
        <f>'Sch-1'!K249</f>
        <v>SET</v>
      </c>
      <c r="H238" s="275">
        <f>'Sch-1'!L249</f>
        <v>3</v>
      </c>
      <c r="I238" s="279"/>
      <c r="J238" s="280" t="str">
        <f t="shared" si="5"/>
        <v>INCLUDED</v>
      </c>
    </row>
    <row r="239" spans="1:10" ht="46.8">
      <c r="A239" s="331">
        <f>'Sch-1'!A250</f>
        <v>66</v>
      </c>
      <c r="B239" s="275">
        <f>'Sch-1'!B250</f>
        <v>7000026628</v>
      </c>
      <c r="C239" s="275">
        <f>'Sch-1'!C250</f>
        <v>650</v>
      </c>
      <c r="D239" s="275" t="str">
        <f>'Sch-1'!D250</f>
        <v xml:space="preserve">GIS Portion-Mandatory Spares-400kV GIS  </v>
      </c>
      <c r="E239" s="275">
        <f>'Sch-1'!E250</f>
        <v>1000058324</v>
      </c>
      <c r="F239" s="278" t="str">
        <f>'Sch-1'!J250</f>
        <v>RELAYS, POWER CONTACTORS, PUSH BUTTONS, TIMERS &amp; MCBS ETC. (ASAPPLICABLE) OF EACH TYPE FOR 400KV GIS CIRCUIT BREAKER</v>
      </c>
      <c r="G239" s="275" t="str">
        <f>'Sch-1'!K250</f>
        <v>SET</v>
      </c>
      <c r="H239" s="275">
        <f>'Sch-1'!L250</f>
        <v>1</v>
      </c>
      <c r="I239" s="279"/>
      <c r="J239" s="280" t="str">
        <f t="shared" si="5"/>
        <v>INCLUDED</v>
      </c>
    </row>
    <row r="240" spans="1:10" ht="31.2">
      <c r="A240" s="331">
        <f>'Sch-1'!A251</f>
        <v>67</v>
      </c>
      <c r="B240" s="275">
        <f>'Sch-1'!B251</f>
        <v>7000026628</v>
      </c>
      <c r="C240" s="275">
        <f>'Sch-1'!C251</f>
        <v>660</v>
      </c>
      <c r="D240" s="275" t="str">
        <f>'Sch-1'!D251</f>
        <v xml:space="preserve">GIS Portion-Mandatory Spares-400kV GIS  </v>
      </c>
      <c r="E240" s="275">
        <f>'Sch-1'!E251</f>
        <v>1000007067</v>
      </c>
      <c r="F240" s="278" t="str">
        <f>'Sch-1'!J251</f>
        <v>Auxiliary switch assembly of each type for 420kV GIS Circuit Breaker</v>
      </c>
      <c r="G240" s="275" t="str">
        <f>'Sch-1'!K251</f>
        <v>SET</v>
      </c>
      <c r="H240" s="275">
        <f>'Sch-1'!L251</f>
        <v>1</v>
      </c>
      <c r="I240" s="279"/>
      <c r="J240" s="280" t="str">
        <f t="shared" si="5"/>
        <v>INCLUDED</v>
      </c>
    </row>
    <row r="241" spans="1:10" ht="31.2">
      <c r="A241" s="331">
        <f>'Sch-1'!A252</f>
        <v>68</v>
      </c>
      <c r="B241" s="275">
        <f>'Sch-1'!B252</f>
        <v>7000026628</v>
      </c>
      <c r="C241" s="275">
        <f>'Sch-1'!C252</f>
        <v>670</v>
      </c>
      <c r="D241" s="275" t="str">
        <f>'Sch-1'!D252</f>
        <v xml:space="preserve">GIS Portion-Mandatory Spares-400kV GIS  </v>
      </c>
      <c r="E241" s="275">
        <f>'Sch-1'!E252</f>
        <v>1000058323</v>
      </c>
      <c r="F241" s="278" t="str">
        <f>'Sch-1'!J252</f>
        <v>400KV GIS CIRCUIT BREAKER-OPERATION COUNTER</v>
      </c>
      <c r="G241" s="275" t="str">
        <f>'Sch-1'!K252</f>
        <v xml:space="preserve">EA </v>
      </c>
      <c r="H241" s="275">
        <f>'Sch-1'!L252</f>
        <v>1</v>
      </c>
      <c r="I241" s="279"/>
      <c r="J241" s="280" t="str">
        <f t="shared" si="5"/>
        <v>INCLUDED</v>
      </c>
    </row>
    <row r="242" spans="1:10" ht="46.8">
      <c r="A242" s="331">
        <f>'Sch-1'!A253</f>
        <v>69</v>
      </c>
      <c r="B242" s="275">
        <f>'Sch-1'!B253</f>
        <v>7000026628</v>
      </c>
      <c r="C242" s="275">
        <f>'Sch-1'!C253</f>
        <v>680</v>
      </c>
      <c r="D242" s="275" t="str">
        <f>'Sch-1'!D253</f>
        <v xml:space="preserve">GIS Portion-Mandatory Spares-400kV GIS  </v>
      </c>
      <c r="E242" s="275">
        <f>'Sch-1'!E253</f>
        <v>1000058320</v>
      </c>
      <c r="F242" s="278" t="str">
        <f>'Sch-1'!J253</f>
        <v>400KV GIS CIRCUIT BREAKER-HYDRAULIC OPERATING MECHANISM WITH DRIVEMOTOR (FOR HYDRAULIC OPERATED MECHANISM, IF APPLICABLE)</v>
      </c>
      <c r="G242" s="275" t="str">
        <f>'Sch-1'!K253</f>
        <v>SET</v>
      </c>
      <c r="H242" s="275">
        <f>'Sch-1'!L253</f>
        <v>1</v>
      </c>
      <c r="I242" s="279"/>
      <c r="J242" s="280" t="str">
        <f t="shared" si="5"/>
        <v>INCLUDED</v>
      </c>
    </row>
    <row r="243" spans="1:10" ht="46.8">
      <c r="A243" s="331">
        <f>'Sch-1'!A254</f>
        <v>70</v>
      </c>
      <c r="B243" s="275">
        <f>'Sch-1'!B254</f>
        <v>7000026628</v>
      </c>
      <c r="C243" s="275">
        <f>'Sch-1'!C254</f>
        <v>690</v>
      </c>
      <c r="D243" s="275" t="str">
        <f>'Sch-1'!D254</f>
        <v xml:space="preserve">GIS Portion-Mandatory Spares-400kV GIS  </v>
      </c>
      <c r="E243" s="275">
        <f>'Sch-1'!E254</f>
        <v>1000049759</v>
      </c>
      <c r="F243" s="278" t="str">
        <f>'Sch-1'!J254</f>
        <v>HYDRAULIC FILTER OF EACH TYPE (FOR HYDRAULIC OPERATED MECHANISM, IFPPLICABLE)-400KV GIS CIRCUIT BREKAER</v>
      </c>
      <c r="G243" s="275" t="str">
        <f>'Sch-1'!K254</f>
        <v>SET</v>
      </c>
      <c r="H243" s="275">
        <f>'Sch-1'!L254</f>
        <v>1</v>
      </c>
      <c r="I243" s="279"/>
      <c r="J243" s="280" t="str">
        <f t="shared" si="5"/>
        <v>INCLUDED</v>
      </c>
    </row>
    <row r="244" spans="1:10" ht="46.8">
      <c r="A244" s="331">
        <f>'Sch-1'!A255</f>
        <v>71</v>
      </c>
      <c r="B244" s="275">
        <f>'Sch-1'!B255</f>
        <v>7000026628</v>
      </c>
      <c r="C244" s="275">
        <f>'Sch-1'!C255</f>
        <v>700</v>
      </c>
      <c r="D244" s="275" t="str">
        <f>'Sch-1'!D255</f>
        <v xml:space="preserve">GIS Portion-Mandatory Spares-400kV GIS  </v>
      </c>
      <c r="E244" s="275">
        <f>'Sch-1'!E255</f>
        <v>1000058319</v>
      </c>
      <c r="F244" s="278" t="str">
        <f>'Sch-1'!J255</f>
        <v>400KV GIS CIRCUIT BREAKER- HOSE PIPE OF EACH TYPE (AS APPLICABLE) (FORHYDRAULIC OPERATED MECHANISM, IF APPLICABLE)</v>
      </c>
      <c r="G244" s="275" t="str">
        <f>'Sch-1'!K255</f>
        <v>SET</v>
      </c>
      <c r="H244" s="275">
        <f>'Sch-1'!L255</f>
        <v>1</v>
      </c>
      <c r="I244" s="279"/>
      <c r="J244" s="280" t="str">
        <f t="shared" si="5"/>
        <v>INCLUDED</v>
      </c>
    </row>
    <row r="245" spans="1:10" ht="31.2">
      <c r="A245" s="331">
        <f>'Sch-1'!A256</f>
        <v>72</v>
      </c>
      <c r="B245" s="275">
        <f>'Sch-1'!B256</f>
        <v>7000026628</v>
      </c>
      <c r="C245" s="275">
        <f>'Sch-1'!C256</f>
        <v>710</v>
      </c>
      <c r="D245" s="275" t="str">
        <f>'Sch-1'!D256</f>
        <v xml:space="preserve">GIS Portion-Mandatory Spares-400kV GIS  </v>
      </c>
      <c r="E245" s="275">
        <f>'Sch-1'!E256</f>
        <v>1000058322</v>
      </c>
      <c r="F245" s="278" t="str">
        <f>'Sch-1'!J256</f>
        <v>400KV GIS CIRCUIT BREAKER - N2 ACCUMULATOR (FOR HYDRAULIC OPERATEDMECHANISM, IF APPLICABLE)</v>
      </c>
      <c r="G245" s="275" t="str">
        <f>'Sch-1'!K256</f>
        <v>SET</v>
      </c>
      <c r="H245" s="275">
        <f>'Sch-1'!L256</f>
        <v>1</v>
      </c>
      <c r="I245" s="279"/>
      <c r="J245" s="280" t="str">
        <f t="shared" si="5"/>
        <v>INCLUDED</v>
      </c>
    </row>
    <row r="246" spans="1:10" ht="31.2">
      <c r="A246" s="331">
        <f>'Sch-1'!A257</f>
        <v>73</v>
      </c>
      <c r="B246" s="275">
        <f>'Sch-1'!B257</f>
        <v>7000026628</v>
      </c>
      <c r="C246" s="275">
        <f>'Sch-1'!C257</f>
        <v>720</v>
      </c>
      <c r="D246" s="275" t="str">
        <f>'Sch-1'!D257</f>
        <v xml:space="preserve">GIS Portion-Mandatory Spares-400kV GIS  </v>
      </c>
      <c r="E246" s="275">
        <f>'Sch-1'!E257</f>
        <v>1000049835</v>
      </c>
      <c r="F246" s="278" t="str">
        <f>'Sch-1'!J257</f>
        <v>VALVES OF EACH TYPE (FOR HYDRAULIC OPERATED MECHANISM, IFAPPLICABLE)-400KV GIS CIRCUIT BREKAER</v>
      </c>
      <c r="G246" s="275" t="str">
        <f>'Sch-1'!K257</f>
        <v>SET</v>
      </c>
      <c r="H246" s="275">
        <f>'Sch-1'!L257</f>
        <v>1</v>
      </c>
      <c r="I246" s="279"/>
      <c r="J246" s="280" t="str">
        <f t="shared" si="5"/>
        <v>INCLUDED</v>
      </c>
    </row>
    <row r="247" spans="1:10" ht="46.8">
      <c r="A247" s="331">
        <f>'Sch-1'!A258</f>
        <v>74</v>
      </c>
      <c r="B247" s="275">
        <f>'Sch-1'!B258</f>
        <v>7000026628</v>
      </c>
      <c r="C247" s="275">
        <f>'Sch-1'!C258</f>
        <v>730</v>
      </c>
      <c r="D247" s="275" t="str">
        <f>'Sch-1'!D258</f>
        <v xml:space="preserve">GIS Portion-Mandatory Spares-400kV GIS  </v>
      </c>
      <c r="E247" s="275">
        <f>'Sch-1'!E258</f>
        <v>1000049795</v>
      </c>
      <c r="F247" s="278" t="str">
        <f>'Sch-1'!J258</f>
        <v>PIPE LENGTH (COPPER &amp; STEEL) OF EACH SIZE &amp; TYPE (FOR HYDRAULICOPERATED MECHANISM, IF APPLICABLE)-400KV GIS CIRCUIT BREKAER</v>
      </c>
      <c r="G247" s="275" t="str">
        <f>'Sch-1'!K258</f>
        <v>SET</v>
      </c>
      <c r="H247" s="275">
        <f>'Sch-1'!L258</f>
        <v>1</v>
      </c>
      <c r="I247" s="279"/>
      <c r="J247" s="280" t="str">
        <f t="shared" si="5"/>
        <v>INCLUDED</v>
      </c>
    </row>
    <row r="248" spans="1:10" ht="46.8">
      <c r="A248" s="331">
        <f>'Sch-1'!A259</f>
        <v>75</v>
      </c>
      <c r="B248" s="275">
        <f>'Sch-1'!B259</f>
        <v>7000026628</v>
      </c>
      <c r="C248" s="275">
        <f>'Sch-1'!C259</f>
        <v>740</v>
      </c>
      <c r="D248" s="275" t="str">
        <f>'Sch-1'!D259</f>
        <v xml:space="preserve">GIS Portion-Mandatory Spares-400kV GIS  </v>
      </c>
      <c r="E248" s="275">
        <f>'Sch-1'!E259</f>
        <v>1000049808</v>
      </c>
      <c r="F248" s="278" t="str">
        <f>'Sch-1'!J259</f>
        <v>PRESSURE SWITCHES OF EACH TYPE (FOR HYDRAULIC OPERATED MECHANISM, IFAPPLICABLE)-400KV GIS CIRCUIT BREKAER</v>
      </c>
      <c r="G248" s="275" t="str">
        <f>'Sch-1'!K259</f>
        <v>SET</v>
      </c>
      <c r="H248" s="275">
        <f>'Sch-1'!L259</f>
        <v>1</v>
      </c>
      <c r="I248" s="279"/>
      <c r="J248" s="280" t="str">
        <f t="shared" si="5"/>
        <v>INCLUDED</v>
      </c>
    </row>
    <row r="249" spans="1:10" ht="46.8">
      <c r="A249" s="331">
        <f>'Sch-1'!A260</f>
        <v>76</v>
      </c>
      <c r="B249" s="275">
        <f>'Sch-1'!B260</f>
        <v>7000026628</v>
      </c>
      <c r="C249" s="275">
        <f>'Sch-1'!C260</f>
        <v>750</v>
      </c>
      <c r="D249" s="275" t="str">
        <f>'Sch-1'!D260</f>
        <v xml:space="preserve">GIS Portion-Mandatory Spares-400kV GIS  </v>
      </c>
      <c r="E249" s="275">
        <f>'Sch-1'!E260</f>
        <v>1000049805</v>
      </c>
      <c r="F249" s="278" t="str">
        <f>'Sch-1'!J260</f>
        <v>PRESSURE GAUGE WITH COUPLING DEVICE OF EACH TYPE (FOR HYDRAULICOPERATED MECHANISM, IF APPLICABLE)-400KV GIS CIRCUIT BREKAER</v>
      </c>
      <c r="G249" s="275" t="str">
        <f>'Sch-1'!K260</f>
        <v>SET</v>
      </c>
      <c r="H249" s="275">
        <f>'Sch-1'!L260</f>
        <v>1</v>
      </c>
      <c r="I249" s="279"/>
      <c r="J249" s="280" t="str">
        <f t="shared" si="5"/>
        <v>INCLUDED</v>
      </c>
    </row>
    <row r="250" spans="1:10" ht="46.8">
      <c r="A250" s="331">
        <f>'Sch-1'!A261</f>
        <v>77</v>
      </c>
      <c r="B250" s="275">
        <f>'Sch-1'!B261</f>
        <v>7000026628</v>
      </c>
      <c r="C250" s="275">
        <f>'Sch-1'!C261</f>
        <v>760</v>
      </c>
      <c r="D250" s="275" t="str">
        <f>'Sch-1'!D261</f>
        <v xml:space="preserve">GIS Portion-Mandatory Spares-400kV GIS  </v>
      </c>
      <c r="E250" s="275">
        <f>'Sch-1'!E261</f>
        <v>1000058321</v>
      </c>
      <c r="F250" s="278" t="str">
        <f>'Sch-1'!J261</f>
        <v>400KV GIS CIRCUIT BREAKER-HYDRAULIC OIL (5% OF TOTAL OIL QUANTITY)(FOR HYDRAULIC OPERATED MECHANISM, IF APPLICABLE)</v>
      </c>
      <c r="G250" s="275" t="str">
        <f>'Sch-1'!K261</f>
        <v>SET</v>
      </c>
      <c r="H250" s="275">
        <f>'Sch-1'!L261</f>
        <v>1</v>
      </c>
      <c r="I250" s="279"/>
      <c r="J250" s="280" t="str">
        <f t="shared" si="5"/>
        <v>INCLUDED</v>
      </c>
    </row>
    <row r="251" spans="1:10" ht="46.8">
      <c r="A251" s="331">
        <f>'Sch-1'!A262</f>
        <v>78</v>
      </c>
      <c r="B251" s="275">
        <f>'Sch-1'!B262</f>
        <v>7000026628</v>
      </c>
      <c r="C251" s="275">
        <f>'Sch-1'!C262</f>
        <v>770</v>
      </c>
      <c r="D251" s="275" t="str">
        <f>'Sch-1'!D262</f>
        <v xml:space="preserve">GIS Portion-Mandatory Spares-400kV GIS  </v>
      </c>
      <c r="E251" s="275">
        <f>'Sch-1'!E262</f>
        <v>1000049799</v>
      </c>
      <c r="F251" s="278" t="str">
        <f>'Sch-1'!J262</f>
        <v>PRESSURE RELIEF DEVICE OF EACH TYPE (FOR HYDRAULIC OPERATED MECHANISM,IF APPLICABLE)-400KV GIS CIRCUIT BREKAER</v>
      </c>
      <c r="G251" s="275" t="str">
        <f>'Sch-1'!K262</f>
        <v>SET</v>
      </c>
      <c r="H251" s="275">
        <f>'Sch-1'!L262</f>
        <v>1</v>
      </c>
      <c r="I251" s="279"/>
      <c r="J251" s="280" t="str">
        <f t="shared" si="5"/>
        <v>INCLUDED</v>
      </c>
    </row>
    <row r="252" spans="1:10" ht="62.4">
      <c r="A252" s="331">
        <f>'Sch-1'!A263</f>
        <v>79</v>
      </c>
      <c r="B252" s="275">
        <f>'Sch-1'!B263</f>
        <v>7000026628</v>
      </c>
      <c r="C252" s="275">
        <f>'Sch-1'!C263</f>
        <v>780</v>
      </c>
      <c r="D252" s="275" t="str">
        <f>'Sch-1'!D263</f>
        <v xml:space="preserve">GIS Portion-Mandatory Spares-400kV GIS  </v>
      </c>
      <c r="E252" s="275">
        <f>'Sch-1'!E263</f>
        <v>1000058325</v>
      </c>
      <c r="F252" s="278" t="str">
        <f>'Sch-1'!J263</f>
        <v>400KV GIS CIRCUIT BREAKER-COMPLETE SPRING OPERATING MECHANISMINCLUDING CHARGING MECHANISM ETC. (FOR SPRING OPERATED MECHANISM, IFAPPLICABLE)</v>
      </c>
      <c r="G252" s="275" t="str">
        <f>'Sch-1'!K263</f>
        <v>SET</v>
      </c>
      <c r="H252" s="275">
        <f>'Sch-1'!L263</f>
        <v>1</v>
      </c>
      <c r="I252" s="279"/>
      <c r="J252" s="280" t="str">
        <f t="shared" si="5"/>
        <v>INCLUDED</v>
      </c>
    </row>
    <row r="253" spans="1:10" ht="62.4">
      <c r="A253" s="331">
        <f>'Sch-1'!A264</f>
        <v>80</v>
      </c>
      <c r="B253" s="275">
        <f>'Sch-1'!B264</f>
        <v>7000026628</v>
      </c>
      <c r="C253" s="275">
        <f>'Sch-1'!C264</f>
        <v>790</v>
      </c>
      <c r="D253" s="275" t="str">
        <f>'Sch-1'!D264</f>
        <v xml:space="preserve">GIS Portion-Mandatory Spares-400kV GIS  </v>
      </c>
      <c r="E253" s="275">
        <f>'Sch-1'!E264</f>
        <v>1000058318</v>
      </c>
      <c r="F253" s="278" t="str">
        <f>'Sch-1'!J264</f>
        <v>400KV GIS CIRCUIT BREAKER- COMPLETE HYDRAULIC-SPRING OPERATINGMECHANISM INCLUDING CHARGING MECHANISM ETC. (FOR HYDRAULIC-SPRINGOPERATED MECHANISM, IF APPLICABLE)</v>
      </c>
      <c r="G253" s="275" t="str">
        <f>'Sch-1'!K264</f>
        <v>SET</v>
      </c>
      <c r="H253" s="275">
        <f>'Sch-1'!L264</f>
        <v>1</v>
      </c>
      <c r="I253" s="279"/>
      <c r="J253" s="280" t="str">
        <f t="shared" si="5"/>
        <v>INCLUDED</v>
      </c>
    </row>
    <row r="254" spans="1:10" ht="46.8">
      <c r="A254" s="331">
        <f>'Sch-1'!A265</f>
        <v>81</v>
      </c>
      <c r="B254" s="275">
        <f>'Sch-1'!B265</f>
        <v>7000026628</v>
      </c>
      <c r="C254" s="275">
        <f>'Sch-1'!C265</f>
        <v>800</v>
      </c>
      <c r="D254" s="275" t="str">
        <f>'Sch-1'!D265</f>
        <v xml:space="preserve">GIS Portion-Mandatory Spares-400kV GIS  </v>
      </c>
      <c r="E254" s="275">
        <f>'Sch-1'!E265</f>
        <v>1000049495</v>
      </c>
      <c r="F254" s="278" t="str">
        <f>'Sch-1'!J265</f>
        <v>PRESSURE SWITCHES OF EACH TYPE FOR420KV GIS  CIRCUIT BREAKER (ForHydraulic-Spring Operated Mechanism, ifapplicable)</v>
      </c>
      <c r="G254" s="275" t="str">
        <f>'Sch-1'!K265</f>
        <v>SET</v>
      </c>
      <c r="H254" s="275">
        <f>'Sch-1'!L265</f>
        <v>1</v>
      </c>
      <c r="I254" s="279"/>
      <c r="J254" s="280" t="str">
        <f t="shared" si="5"/>
        <v>INCLUDED</v>
      </c>
    </row>
    <row r="255" spans="1:10" ht="46.8">
      <c r="A255" s="331">
        <f>'Sch-1'!A266</f>
        <v>82</v>
      </c>
      <c r="B255" s="275">
        <f>'Sch-1'!B266</f>
        <v>7000026628</v>
      </c>
      <c r="C255" s="275">
        <f>'Sch-1'!C266</f>
        <v>810</v>
      </c>
      <c r="D255" s="275" t="str">
        <f>'Sch-1'!D266</f>
        <v xml:space="preserve">GIS Portion-Mandatory Spares-400kV GIS  </v>
      </c>
      <c r="E255" s="275">
        <f>'Sch-1'!E266</f>
        <v>1000049802</v>
      </c>
      <c r="F255" s="278" t="str">
        <f>'Sch-1'!J266</f>
        <v>PRESSURE GAUGE WITH COUPLING DEVICE OF EACH TYPE (FOR HYDRAULIC-SPRINGOPERATED MECHANISM, IF APPLICABLE)-400KV GIS CIRCUIT BREKAER</v>
      </c>
      <c r="G255" s="275" t="str">
        <f>'Sch-1'!K266</f>
        <v>SET</v>
      </c>
      <c r="H255" s="275">
        <f>'Sch-1'!L266</f>
        <v>1</v>
      </c>
      <c r="I255" s="279"/>
      <c r="J255" s="280" t="str">
        <f t="shared" si="5"/>
        <v>INCLUDED</v>
      </c>
    </row>
    <row r="256" spans="1:10" ht="405.6">
      <c r="A256" s="331">
        <f>'Sch-1'!A267</f>
        <v>83</v>
      </c>
      <c r="B256" s="275">
        <f>'Sch-1'!B267</f>
        <v>7000026628</v>
      </c>
      <c r="C256" s="275">
        <f>'Sch-1'!C267</f>
        <v>820</v>
      </c>
      <c r="D256" s="275" t="str">
        <f>'Sch-1'!D267</f>
        <v xml:space="preserve">GIS Portion-Mandatory Spares-400kV GIS  </v>
      </c>
      <c r="E256" s="275">
        <f>'Sch-1'!E267</f>
        <v>1000058374</v>
      </c>
      <c r="F256" s="278" t="str">
        <f>'Sch-1'!J267</f>
        <v>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256" s="275" t="str">
        <f>'Sch-1'!K267</f>
        <v xml:space="preserve">EA </v>
      </c>
      <c r="H256" s="275">
        <f>'Sch-1'!L267</f>
        <v>2</v>
      </c>
      <c r="I256" s="279"/>
      <c r="J256" s="280" t="str">
        <f t="shared" si="5"/>
        <v>INCLUDED</v>
      </c>
    </row>
    <row r="257" spans="1:10" ht="265.2">
      <c r="A257" s="331">
        <f>'Sch-1'!A268</f>
        <v>84</v>
      </c>
      <c r="B257" s="275">
        <f>'Sch-1'!B268</f>
        <v>7000026628</v>
      </c>
      <c r="C257" s="275">
        <f>'Sch-1'!C268</f>
        <v>830</v>
      </c>
      <c r="D257" s="275" t="str">
        <f>'Sch-1'!D268</f>
        <v xml:space="preserve">GIS Portion-Mandatory Spares-400kV GIS  </v>
      </c>
      <c r="E257" s="275">
        <f>'Sch-1'!E268</f>
        <v>1000058314</v>
      </c>
      <c r="F257" s="278" t="str">
        <f>'Sch-1'!J268</f>
        <v>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257" s="275" t="str">
        <f>'Sch-1'!K268</f>
        <v xml:space="preserve">EA </v>
      </c>
      <c r="H257" s="275">
        <f>'Sch-1'!L268</f>
        <v>1</v>
      </c>
      <c r="I257" s="279"/>
      <c r="J257" s="280" t="str">
        <f t="shared" si="5"/>
        <v>INCLUDED</v>
      </c>
    </row>
    <row r="258" spans="1:10" ht="109.2">
      <c r="A258" s="331">
        <f>'Sch-1'!A269</f>
        <v>85</v>
      </c>
      <c r="B258" s="275">
        <f>'Sch-1'!B269</f>
        <v>7000026628</v>
      </c>
      <c r="C258" s="275">
        <f>'Sch-1'!C269</f>
        <v>840</v>
      </c>
      <c r="D258" s="275" t="str">
        <f>'Sch-1'!D269</f>
        <v xml:space="preserve">GIS Portion-Mandatory Spares-400kV GIS  </v>
      </c>
      <c r="E258" s="275">
        <f>'Sch-1'!E269</f>
        <v>1000058305</v>
      </c>
      <c r="F258" s="278" t="str">
        <f>'Sch-1'!J269</f>
        <v>OPEN/CLOSE CONTACTOR ASSEMBLY, TIMERS, KEY INTERLOCK, INTERLOCKINGCOILS, RELAYS, PUSH BUTTONS, INDICATING LAMPS, POWER CONTACTORS,RESISTORS, FUSES, MCBS &amp; DRIVE CONTROL CARDS ETC. (AS APPLICABLE) ONEOF EACH TYPE FOR ONE COMPLETE MOM BOX FOR 400KV GIS DISCONNECTORSWITCH</v>
      </c>
      <c r="G258" s="275" t="str">
        <f>'Sch-1'!K269</f>
        <v>SET</v>
      </c>
      <c r="H258" s="275">
        <f>'Sch-1'!L269</f>
        <v>1</v>
      </c>
      <c r="I258" s="279"/>
      <c r="J258" s="280" t="str">
        <f t="shared" si="5"/>
        <v>INCLUDED</v>
      </c>
    </row>
    <row r="259" spans="1:10" ht="109.2">
      <c r="A259" s="331">
        <f>'Sch-1'!A270</f>
        <v>86</v>
      </c>
      <c r="B259" s="275">
        <f>'Sch-1'!B270</f>
        <v>7000026628</v>
      </c>
      <c r="C259" s="275">
        <f>'Sch-1'!C270</f>
        <v>850</v>
      </c>
      <c r="D259" s="275" t="str">
        <f>'Sch-1'!D270</f>
        <v xml:space="preserve">GIS Portion-Mandatory Spares-400kV GIS  </v>
      </c>
      <c r="E259" s="275">
        <f>'Sch-1'!E270</f>
        <v>1000058312</v>
      </c>
      <c r="F259" s="278" t="str">
        <f>'Sch-1'!J270</f>
        <v>OPEN/CLOSE CONTACTOR ASSEMBLY, TIMERS, KEY INTERLOCK, INTERLOCKINGCOILS, RELAYS, PUSH BUTTONS, INDICATING LAMPS, POWER CONTACTORS,RESISTORS, FUSES, MCBS &amp; DRIVE CONTROL CARDS ETC. (AS APPLICABLE) ONEOF EACH TYPE FOR ONE COMPLETE MOM BOX FOR 400KV GIS MAINTENANCE EARTHSWITCH</v>
      </c>
      <c r="G259" s="275" t="str">
        <f>'Sch-1'!K270</f>
        <v>SET</v>
      </c>
      <c r="H259" s="275">
        <f>'Sch-1'!L270</f>
        <v>1</v>
      </c>
      <c r="I259" s="279"/>
      <c r="J259" s="280" t="str">
        <f t="shared" si="5"/>
        <v>INCLUDED</v>
      </c>
    </row>
    <row r="260" spans="1:10" ht="31.2">
      <c r="A260" s="331">
        <f>'Sch-1'!A271</f>
        <v>87</v>
      </c>
      <c r="B260" s="275">
        <f>'Sch-1'!B271</f>
        <v>7000026628</v>
      </c>
      <c r="C260" s="275">
        <f>'Sch-1'!C271</f>
        <v>860</v>
      </c>
      <c r="D260" s="275" t="str">
        <f>'Sch-1'!D271</f>
        <v xml:space="preserve">GIS Portion-Mandatory Spares-400kV GIS  </v>
      </c>
      <c r="E260" s="275">
        <f>'Sch-1'!E271</f>
        <v>1000049776</v>
      </c>
      <c r="F260" s="278" t="str">
        <f>'Sch-1'!J271</f>
        <v>LIMIT SWITCHES AND AUX. SWITCHES FOR ONE COMPLETE MOM BOX FORDISCONNECTOR-400KV GIS</v>
      </c>
      <c r="G260" s="275" t="str">
        <f>'Sch-1'!K271</f>
        <v>SET</v>
      </c>
      <c r="H260" s="275">
        <f>'Sch-1'!L271</f>
        <v>1</v>
      </c>
      <c r="I260" s="279"/>
      <c r="J260" s="280" t="str">
        <f t="shared" si="5"/>
        <v>INCLUDED</v>
      </c>
    </row>
    <row r="261" spans="1:10" ht="31.2">
      <c r="A261" s="331">
        <f>'Sch-1'!A272</f>
        <v>88</v>
      </c>
      <c r="B261" s="275">
        <f>'Sch-1'!B272</f>
        <v>7000026628</v>
      </c>
      <c r="C261" s="275">
        <f>'Sch-1'!C272</f>
        <v>870</v>
      </c>
      <c r="D261" s="275" t="str">
        <f>'Sch-1'!D272</f>
        <v xml:space="preserve">GIS Portion-Mandatory Spares-400kV GIS  </v>
      </c>
      <c r="E261" s="275">
        <f>'Sch-1'!E272</f>
        <v>1000049778</v>
      </c>
      <c r="F261" s="278" t="str">
        <f>'Sch-1'!J272</f>
        <v>LIMIT SWITCHES AND AUX. SWITCHES FOR ONE COMPLETE MOM BOX FORMAINTENANCE EARTHING SWITCH-400KV GIS</v>
      </c>
      <c r="G261" s="275" t="str">
        <f>'Sch-1'!K272</f>
        <v>SET</v>
      </c>
      <c r="H261" s="275">
        <f>'Sch-1'!L272</f>
        <v>1</v>
      </c>
      <c r="I261" s="279"/>
      <c r="J261" s="280" t="str">
        <f t="shared" si="5"/>
        <v>INCLUDED</v>
      </c>
    </row>
    <row r="262" spans="1:10" ht="31.2">
      <c r="A262" s="331">
        <f>'Sch-1'!A273</f>
        <v>89</v>
      </c>
      <c r="B262" s="275">
        <f>'Sch-1'!B273</f>
        <v>7000026628</v>
      </c>
      <c r="C262" s="275">
        <f>'Sch-1'!C273</f>
        <v>880</v>
      </c>
      <c r="D262" s="275" t="str">
        <f>'Sch-1'!D273</f>
        <v xml:space="preserve">GIS Portion-Mandatory Spares-400kV GIS  </v>
      </c>
      <c r="E262" s="275">
        <f>'Sch-1'!E273</f>
        <v>1000058306</v>
      </c>
      <c r="F262" s="278" t="str">
        <f>'Sch-1'!J273</f>
        <v>DRIVE MECHANISM FOR 400KV GIS DISCONNECTOR SWITCH</v>
      </c>
      <c r="G262" s="275" t="str">
        <f>'Sch-1'!K273</f>
        <v>SET</v>
      </c>
      <c r="H262" s="275">
        <f>'Sch-1'!L273</f>
        <v>1</v>
      </c>
      <c r="I262" s="279"/>
      <c r="J262" s="280" t="str">
        <f t="shared" si="5"/>
        <v>INCLUDED</v>
      </c>
    </row>
    <row r="263" spans="1:10" ht="31.2">
      <c r="A263" s="331">
        <f>'Sch-1'!A274</f>
        <v>90</v>
      </c>
      <c r="B263" s="275">
        <f>'Sch-1'!B274</f>
        <v>7000026628</v>
      </c>
      <c r="C263" s="275">
        <f>'Sch-1'!C274</f>
        <v>890</v>
      </c>
      <c r="D263" s="275" t="str">
        <f>'Sch-1'!D274</f>
        <v xml:space="preserve">GIS Portion-Mandatory Spares-400kV GIS  </v>
      </c>
      <c r="E263" s="275">
        <f>'Sch-1'!E274</f>
        <v>1000058313</v>
      </c>
      <c r="F263" s="278" t="str">
        <f>'Sch-1'!J274</f>
        <v>DRIVE MECHANISM FOR 400KV GIS MAINTENANCE EARTH SWITCH</v>
      </c>
      <c r="G263" s="275" t="str">
        <f>'Sch-1'!K274</f>
        <v>SET</v>
      </c>
      <c r="H263" s="275">
        <f>'Sch-1'!L274</f>
        <v>1</v>
      </c>
      <c r="I263" s="279"/>
      <c r="J263" s="280" t="str">
        <f t="shared" si="5"/>
        <v>INCLUDED</v>
      </c>
    </row>
    <row r="264" spans="1:10" ht="31.2">
      <c r="A264" s="331">
        <f>'Sch-1'!A275</f>
        <v>91</v>
      </c>
      <c r="B264" s="275">
        <f>'Sch-1'!B275</f>
        <v>7000026628</v>
      </c>
      <c r="C264" s="275">
        <f>'Sch-1'!C275</f>
        <v>900</v>
      </c>
      <c r="D264" s="275" t="str">
        <f>'Sch-1'!D275</f>
        <v xml:space="preserve">GIS Portion-Mandatory Spares-400kV GIS  </v>
      </c>
      <c r="E264" s="275">
        <f>'Sch-1'!E275</f>
        <v>1000058307</v>
      </c>
      <c r="F264" s="278" t="str">
        <f>'Sch-1'!J275</f>
        <v>MOTOR FOR DRIVE MECHANISM FOR 400KV GIS DISCONNECTOR SWITCH</v>
      </c>
      <c r="G264" s="275" t="str">
        <f>'Sch-1'!K275</f>
        <v xml:space="preserve">EA </v>
      </c>
      <c r="H264" s="275">
        <f>'Sch-1'!L275</f>
        <v>1</v>
      </c>
      <c r="I264" s="279"/>
      <c r="J264" s="280" t="str">
        <f t="shared" si="5"/>
        <v>INCLUDED</v>
      </c>
    </row>
    <row r="265" spans="1:10" ht="31.2">
      <c r="A265" s="331">
        <f>'Sch-1'!A276</f>
        <v>92</v>
      </c>
      <c r="B265" s="275">
        <f>'Sch-1'!B276</f>
        <v>7000026628</v>
      </c>
      <c r="C265" s="275">
        <f>'Sch-1'!C276</f>
        <v>910</v>
      </c>
      <c r="D265" s="275" t="str">
        <f>'Sch-1'!D276</f>
        <v xml:space="preserve">GIS Portion-Mandatory Spares-400kV GIS  </v>
      </c>
      <c r="E265" s="275">
        <f>'Sch-1'!E276</f>
        <v>1000058315</v>
      </c>
      <c r="F265" s="278" t="str">
        <f>'Sch-1'!J276</f>
        <v>MOTOR FOR DRIVE MECHANISM FOR 400KVGIS MAINTENANCE EARTH SWITCH</v>
      </c>
      <c r="G265" s="275" t="str">
        <f>'Sch-1'!K276</f>
        <v xml:space="preserve">EA </v>
      </c>
      <c r="H265" s="275">
        <f>'Sch-1'!L276</f>
        <v>1</v>
      </c>
      <c r="I265" s="279"/>
      <c r="J265" s="280" t="str">
        <f t="shared" si="5"/>
        <v>INCLUDED</v>
      </c>
    </row>
    <row r="266" spans="1:10" ht="46.8">
      <c r="A266" s="331">
        <f>'Sch-1'!A277</f>
        <v>93</v>
      </c>
      <c r="B266" s="275">
        <f>'Sch-1'!B277</f>
        <v>7000026628</v>
      </c>
      <c r="C266" s="275">
        <f>'Sch-1'!C277</f>
        <v>920</v>
      </c>
      <c r="D266" s="275" t="str">
        <f>'Sch-1'!D277</f>
        <v xml:space="preserve">GIS Portion-Mandatory Spares-400kV GIS  </v>
      </c>
      <c r="E266" s="275">
        <f>'Sch-1'!E277</f>
        <v>1000058327</v>
      </c>
      <c r="F266" s="278" t="str">
        <f>'Sch-1'!J277</f>
        <v>400KV GIS- SINGLE PHASE OF CURRENT TRANSFORMER (3 CORES, TYPE-CTA)WITH ASSOCIATED ENCLOSURE AND PRIMARY CONDUCTOR COMPLETE IN ALLRESPECT</v>
      </c>
      <c r="G266" s="275" t="str">
        <f>'Sch-1'!K277</f>
        <v xml:space="preserve">EA </v>
      </c>
      <c r="H266" s="275">
        <f>'Sch-1'!L277</f>
        <v>1</v>
      </c>
      <c r="I266" s="279"/>
      <c r="J266" s="280" t="str">
        <f t="shared" si="5"/>
        <v>INCLUDED</v>
      </c>
    </row>
    <row r="267" spans="1:10" ht="46.8">
      <c r="A267" s="331">
        <f>'Sch-1'!A278</f>
        <v>94</v>
      </c>
      <c r="B267" s="275">
        <f>'Sch-1'!B278</f>
        <v>7000026628</v>
      </c>
      <c r="C267" s="275">
        <f>'Sch-1'!C278</f>
        <v>930</v>
      </c>
      <c r="D267" s="275" t="str">
        <f>'Sch-1'!D278</f>
        <v xml:space="preserve">GIS Portion-Mandatory Spares-400kV GIS  </v>
      </c>
      <c r="E267" s="275">
        <f>'Sch-1'!E278</f>
        <v>1000058326</v>
      </c>
      <c r="F267" s="278" t="str">
        <f>'Sch-1'!J278</f>
        <v>400KV GIS- SINGLE PHASE OF CURRENT TRANSFORMER (2 CORES, TYPE-CTB)WITH ASSOCIATED ENCLOSURE AND PRIMARY CONDUCTOR COMPLETE IN ALLRESPECT</v>
      </c>
      <c r="G267" s="275" t="str">
        <f>'Sch-1'!K278</f>
        <v xml:space="preserve">EA </v>
      </c>
      <c r="H267" s="275">
        <f>'Sch-1'!L278</f>
        <v>1</v>
      </c>
      <c r="I267" s="279"/>
      <c r="J267" s="280" t="str">
        <f t="shared" si="5"/>
        <v>INCLUDED</v>
      </c>
    </row>
    <row r="268" spans="1:10" ht="31.2">
      <c r="A268" s="331">
        <f>'Sch-1'!A279</f>
        <v>95</v>
      </c>
      <c r="B268" s="275">
        <f>'Sch-1'!B279</f>
        <v>7000026628</v>
      </c>
      <c r="C268" s="275">
        <f>'Sch-1'!C279</f>
        <v>940</v>
      </c>
      <c r="D268" s="275" t="str">
        <f>'Sch-1'!D279</f>
        <v xml:space="preserve">GIS Portion-Mandatory Spares-220kV GIS  </v>
      </c>
      <c r="E268" s="275">
        <f>'Sch-1'!E279</f>
        <v>1000058300</v>
      </c>
      <c r="F268" s="278" t="str">
        <f>'Sch-1'!J279</f>
        <v>220KV GIS-SF6 GAS PRESSURE RELIEF DEVICE ASSEMBLY OF EACH TYPE</v>
      </c>
      <c r="G268" s="275" t="str">
        <f>'Sch-1'!K279</f>
        <v xml:space="preserve">EA </v>
      </c>
      <c r="H268" s="275">
        <f>'Sch-1'!L279</f>
        <v>1</v>
      </c>
      <c r="I268" s="279"/>
      <c r="J268" s="280" t="str">
        <f t="shared" si="5"/>
        <v>INCLUDED</v>
      </c>
    </row>
    <row r="269" spans="1:10" ht="46.8">
      <c r="A269" s="331">
        <f>'Sch-1'!A280</f>
        <v>96</v>
      </c>
      <c r="B269" s="275">
        <f>'Sch-1'!B280</f>
        <v>7000026628</v>
      </c>
      <c r="C269" s="275">
        <f>'Sch-1'!C280</f>
        <v>950</v>
      </c>
      <c r="D269" s="275" t="str">
        <f>'Sch-1'!D280</f>
        <v xml:space="preserve">GIS Portion-Mandatory Spares-220kV GIS  </v>
      </c>
      <c r="E269" s="275">
        <f>'Sch-1'!E280</f>
        <v>1000049816</v>
      </c>
      <c r="F269" s="278" t="str">
        <f>'Sch-1'!J280</f>
        <v>SF6  PRESSURE  GAUGE  CUM  SWITCH  /DENSITY MONITORS  AND  PRESSURESWITCH AS APPLICABLE, OF EACH TYPE-220KV GIS</v>
      </c>
      <c r="G269" s="275" t="str">
        <f>'Sch-1'!K280</f>
        <v>SET</v>
      </c>
      <c r="H269" s="275">
        <f>'Sch-1'!L280</f>
        <v>2</v>
      </c>
      <c r="I269" s="279"/>
      <c r="J269" s="280" t="str">
        <f t="shared" si="5"/>
        <v>INCLUDED</v>
      </c>
    </row>
    <row r="270" spans="1:10" ht="46.8">
      <c r="A270" s="331">
        <f>'Sch-1'!A281</f>
        <v>97</v>
      </c>
      <c r="B270" s="275">
        <f>'Sch-1'!B281</f>
        <v>7000026628</v>
      </c>
      <c r="C270" s="275">
        <f>'Sch-1'!C281</f>
        <v>960</v>
      </c>
      <c r="D270" s="275" t="str">
        <f>'Sch-1'!D281</f>
        <v xml:space="preserve">GIS Portion-Mandatory Spares-220kV GIS  </v>
      </c>
      <c r="E270" s="275">
        <f>'Sch-1'!E281</f>
        <v>1000049752</v>
      </c>
      <c r="F270" s="278" t="str">
        <f>'Sch-1'!J281</f>
        <v>COUPLING  DEVICE  FOR  PRESSURE  GAUGE  CUM  SWITCH  FOR  CONNECTINGGAS HANDLING PLANT OF EACH TYPE-220KV GIS</v>
      </c>
      <c r="G270" s="275" t="str">
        <f>'Sch-1'!K281</f>
        <v>SET</v>
      </c>
      <c r="H270" s="275">
        <f>'Sch-1'!L281</f>
        <v>1</v>
      </c>
      <c r="I270" s="279"/>
      <c r="J270" s="280" t="str">
        <f t="shared" si="5"/>
        <v>INCLUDED</v>
      </c>
    </row>
    <row r="271" spans="1:10" ht="31.2">
      <c r="A271" s="331">
        <f>'Sch-1'!A282</f>
        <v>98</v>
      </c>
      <c r="B271" s="275">
        <f>'Sch-1'!B282</f>
        <v>7000026628</v>
      </c>
      <c r="C271" s="275">
        <f>'Sch-1'!C282</f>
        <v>970</v>
      </c>
      <c r="D271" s="275" t="str">
        <f>'Sch-1'!D282</f>
        <v xml:space="preserve">GIS Portion-Mandatory Spares-220kV GIS  </v>
      </c>
      <c r="E271" s="275">
        <f>'Sch-1'!E282</f>
        <v>1000049761</v>
      </c>
      <c r="F271" s="278" t="str">
        <f>'Sch-1'!J282</f>
        <v>RUBBER  GASKETS,  Ã‚â‚¬Å’OÃ‚â‚¬Â  RINGS  AND  SEALS  FOR  SF6  GAS  FOR  GISENCLOSURE OF EACH TYPE-220KV GIS</v>
      </c>
      <c r="G271" s="275" t="str">
        <f>'Sch-1'!K282</f>
        <v>SET</v>
      </c>
      <c r="H271" s="275">
        <f>'Sch-1'!L282</f>
        <v>2</v>
      </c>
      <c r="I271" s="279"/>
      <c r="J271" s="280" t="str">
        <f t="shared" si="5"/>
        <v>INCLUDED</v>
      </c>
    </row>
    <row r="272" spans="1:10" ht="31.2">
      <c r="A272" s="331">
        <f>'Sch-1'!A283</f>
        <v>99</v>
      </c>
      <c r="B272" s="275">
        <f>'Sch-1'!B283</f>
        <v>7000026628</v>
      </c>
      <c r="C272" s="275">
        <f>'Sch-1'!C283</f>
        <v>980</v>
      </c>
      <c r="D272" s="275" t="str">
        <f>'Sch-1'!D283</f>
        <v xml:space="preserve">GIS Portion-Mandatory Spares-220kV GIS  </v>
      </c>
      <c r="E272" s="275">
        <f>'Sch-1'!E283</f>
        <v>1000058298</v>
      </c>
      <c r="F272" s="278" t="str">
        <f>'Sch-1'!J283</f>
        <v>220KV GIS-MOLECULAR FILTER FOR SF6 GAS WITH FILTER BAGS (5 % OF TOTALWEIGHT)</v>
      </c>
      <c r="G272" s="275" t="str">
        <f>'Sch-1'!K283</f>
        <v>SET</v>
      </c>
      <c r="H272" s="275">
        <f>'Sch-1'!L283</f>
        <v>1</v>
      </c>
      <c r="I272" s="279"/>
      <c r="J272" s="280" t="str">
        <f t="shared" si="5"/>
        <v>INCLUDED</v>
      </c>
    </row>
    <row r="273" spans="1:10" ht="31.2">
      <c r="A273" s="331">
        <f>'Sch-1'!A284</f>
        <v>100</v>
      </c>
      <c r="B273" s="275">
        <f>'Sch-1'!B284</f>
        <v>7000026628</v>
      </c>
      <c r="C273" s="275">
        <f>'Sch-1'!C284</f>
        <v>990</v>
      </c>
      <c r="D273" s="275" t="str">
        <f>'Sch-1'!D284</f>
        <v xml:space="preserve">GIS Portion-Mandatory Spares-220kV GIS  </v>
      </c>
      <c r="E273" s="275">
        <f>'Sch-1'!E284</f>
        <v>1000049749</v>
      </c>
      <c r="F273" s="278" t="str">
        <f>'Sch-1'!J284</f>
        <v>CONTROL VALVES FOR SF6 GAS OF EACH TYPE-220KV GIS</v>
      </c>
      <c r="G273" s="275" t="str">
        <f>'Sch-1'!K284</f>
        <v>SET</v>
      </c>
      <c r="H273" s="275">
        <f>'Sch-1'!L284</f>
        <v>2</v>
      </c>
      <c r="I273" s="279"/>
      <c r="J273" s="280" t="str">
        <f t="shared" si="5"/>
        <v>INCLUDED</v>
      </c>
    </row>
    <row r="274" spans="1:10" ht="31.2">
      <c r="A274" s="331">
        <f>'Sch-1'!A285</f>
        <v>101</v>
      </c>
      <c r="B274" s="275">
        <f>'Sch-1'!B285</f>
        <v>7000026628</v>
      </c>
      <c r="C274" s="275">
        <f>'Sch-1'!C285</f>
        <v>1000</v>
      </c>
      <c r="D274" s="275" t="str">
        <f>'Sch-1'!D285</f>
        <v xml:space="preserve">GIS Portion-Mandatory Spares-220kV GIS  </v>
      </c>
      <c r="E274" s="275">
        <f>'Sch-1'!E285</f>
        <v>1000058299</v>
      </c>
      <c r="F274" s="278" t="str">
        <f>'Sch-1'!J285</f>
        <v>220KV GIS-SF6 GAS (5 % OF TOTAL GAS QUANTITY)</v>
      </c>
      <c r="G274" s="275" t="str">
        <f>'Sch-1'!K285</f>
        <v>LOT</v>
      </c>
      <c r="H274" s="275">
        <f>'Sch-1'!L285</f>
        <v>1</v>
      </c>
      <c r="I274" s="279"/>
      <c r="J274" s="280" t="str">
        <f t="shared" si="5"/>
        <v>INCLUDED</v>
      </c>
    </row>
    <row r="275" spans="1:10" ht="62.4">
      <c r="A275" s="331">
        <f>'Sch-1'!A286</f>
        <v>102</v>
      </c>
      <c r="B275" s="275">
        <f>'Sch-1'!B286</f>
        <v>7000026628</v>
      </c>
      <c r="C275" s="275">
        <f>'Sch-1'!C286</f>
        <v>1010</v>
      </c>
      <c r="D275" s="275" t="str">
        <f>'Sch-1'!D286</f>
        <v xml:space="preserve">GIS Portion-Mandatory Spares-220kV GIS  </v>
      </c>
      <c r="E275" s="275">
        <f>'Sch-1'!E286</f>
        <v>1000049782</v>
      </c>
      <c r="F275" s="278" t="str">
        <f>'Sch-1'!J286</f>
        <v>LOCKING   DEVICE   TO   KEEP   THE   DIS-CONNECTORS   (ISOLATORS)AND EARTHING/FAST EARTHING SWITCHES (AS APPLICABLE) IN CLOSE OR OPENPOSITION IN CASE OF REMOVAL OF THE DRIVING MECHANISM-220KV GIS</v>
      </c>
      <c r="G275" s="275" t="str">
        <f>'Sch-1'!K286</f>
        <v>SET</v>
      </c>
      <c r="H275" s="275">
        <f>'Sch-1'!L286</f>
        <v>2</v>
      </c>
      <c r="I275" s="279"/>
      <c r="J275" s="280" t="str">
        <f t="shared" si="5"/>
        <v>INCLUDED</v>
      </c>
    </row>
    <row r="276" spans="1:10" ht="31.2">
      <c r="A276" s="331">
        <f>'Sch-1'!A287</f>
        <v>103</v>
      </c>
      <c r="B276" s="275">
        <f>'Sch-1'!B287</f>
        <v>7000026628</v>
      </c>
      <c r="C276" s="275">
        <f>'Sch-1'!C287</f>
        <v>1020</v>
      </c>
      <c r="D276" s="275" t="str">
        <f>'Sch-1'!D287</f>
        <v xml:space="preserve">GIS Portion-Mandatory Spares-220kV GIS  </v>
      </c>
      <c r="E276" s="275">
        <f>'Sch-1'!E287</f>
        <v>1000049504</v>
      </c>
      <c r="F276" s="278" t="str">
        <f>'Sch-1'!J287</f>
        <v>UHF PD SENSORS OF EACH TYPE ALONG WITH BNC CONNECTOR FOR 245KV GIS</v>
      </c>
      <c r="G276" s="275" t="str">
        <f>'Sch-1'!K287</f>
        <v xml:space="preserve">EA </v>
      </c>
      <c r="H276" s="275">
        <f>'Sch-1'!L287</f>
        <v>3</v>
      </c>
      <c r="I276" s="279"/>
      <c r="J276" s="280" t="str">
        <f t="shared" si="5"/>
        <v>INCLUDED</v>
      </c>
    </row>
    <row r="277" spans="1:10" ht="46.8">
      <c r="A277" s="331">
        <f>'Sch-1'!A288</f>
        <v>104</v>
      </c>
      <c r="B277" s="275">
        <f>'Sch-1'!B288</f>
        <v>7000026628</v>
      </c>
      <c r="C277" s="275">
        <f>'Sch-1'!C288</f>
        <v>1030</v>
      </c>
      <c r="D277" s="275" t="str">
        <f>'Sch-1'!D288</f>
        <v xml:space="preserve">GIS Portion-Mandatory Spares-220kV GIS  </v>
      </c>
      <c r="E277" s="275">
        <f>'Sch-1'!E288</f>
        <v>1000058302</v>
      </c>
      <c r="F277" s="278" t="str">
        <f>'Sch-1'!J288</f>
        <v>220KV GIS-SUPPORT INSULATORS (GAS THROUGH) OF EACH TYPE (COMPLETE WITHMETAL RING ETC.) ALONG WITH ASSOCIATED CONTACTS AND SHIELDS</v>
      </c>
      <c r="G277" s="275" t="str">
        <f>'Sch-1'!K288</f>
        <v xml:space="preserve">EA </v>
      </c>
      <c r="H277" s="275">
        <f>'Sch-1'!L288</f>
        <v>3</v>
      </c>
      <c r="I277" s="279"/>
      <c r="J277" s="280" t="str">
        <f t="shared" si="5"/>
        <v>INCLUDED</v>
      </c>
    </row>
    <row r="278" spans="1:10" ht="46.8">
      <c r="A278" s="331">
        <f>'Sch-1'!A289</f>
        <v>105</v>
      </c>
      <c r="B278" s="275">
        <f>'Sch-1'!B289</f>
        <v>7000026628</v>
      </c>
      <c r="C278" s="275">
        <f>'Sch-1'!C289</f>
        <v>1040</v>
      </c>
      <c r="D278" s="275" t="str">
        <f>'Sch-1'!D289</f>
        <v xml:space="preserve">GIS Portion-Mandatory Spares-220kV GIS  </v>
      </c>
      <c r="E278" s="275">
        <f>'Sch-1'!E289</f>
        <v>1000058297</v>
      </c>
      <c r="F278" s="278" t="str">
        <f>'Sch-1'!J289</f>
        <v>220KV GIS-GAS BARRIERS OF EACH TYPE (COMPLETE WITH METAL RING ETC.)ALONG WITH ASSOCIATED CONTACTS AND SHIELDS</v>
      </c>
      <c r="G278" s="275" t="str">
        <f>'Sch-1'!K289</f>
        <v xml:space="preserve">EA </v>
      </c>
      <c r="H278" s="275">
        <f>'Sch-1'!L289</f>
        <v>3</v>
      </c>
      <c r="I278" s="279"/>
      <c r="J278" s="280" t="str">
        <f t="shared" si="5"/>
        <v>INCLUDED</v>
      </c>
    </row>
    <row r="279" spans="1:10" ht="31.2">
      <c r="A279" s="331">
        <f>'Sch-1'!A290</f>
        <v>106</v>
      </c>
      <c r="B279" s="275">
        <f>'Sch-1'!B290</f>
        <v>7000026628</v>
      </c>
      <c r="C279" s="275">
        <f>'Sch-1'!C290</f>
        <v>1050</v>
      </c>
      <c r="D279" s="275" t="str">
        <f>'Sch-1'!D290</f>
        <v xml:space="preserve">GIS Portion-Mandatory Spares-220kV GIS  </v>
      </c>
      <c r="E279" s="275">
        <f>'Sch-1'!E290</f>
        <v>1000058301</v>
      </c>
      <c r="F279" s="278" t="str">
        <f>'Sch-1'!J290</f>
        <v>220KV GIS- 1600A SF6 TO AIR BUSHING COMPLETE IN ALL RESPECT</v>
      </c>
      <c r="G279" s="275" t="str">
        <f>'Sch-1'!K290</f>
        <v xml:space="preserve">EA </v>
      </c>
      <c r="H279" s="275">
        <f>'Sch-1'!L290</f>
        <v>1</v>
      </c>
      <c r="I279" s="279"/>
      <c r="J279" s="280" t="str">
        <f t="shared" si="5"/>
        <v>INCLUDED</v>
      </c>
    </row>
    <row r="280" spans="1:10" ht="62.4">
      <c r="A280" s="331">
        <f>'Sch-1'!A291</f>
        <v>107</v>
      </c>
      <c r="B280" s="275">
        <f>'Sch-1'!B291</f>
        <v>7000026628</v>
      </c>
      <c r="C280" s="275">
        <f>'Sch-1'!C291</f>
        <v>1060</v>
      </c>
      <c r="D280" s="275" t="str">
        <f>'Sch-1'!D291</f>
        <v xml:space="preserve">GIS Portion-Mandatory Spares-220kV GIS  </v>
      </c>
      <c r="E280" s="275">
        <f>'Sch-1'!E291</f>
        <v>1000049497</v>
      </c>
      <c r="F280" s="278" t="str">
        <f>'Sch-1'!J291</f>
        <v>LCC SPARES  - AUX. RELAYS, CONTACTORS,PUSH BUTTONS, SWITCHES, LAMPS,ANNUNCIATION WINDOWS, MCB, FUSES,TIMERS, TERMINAL BLOCKS ETC. OF EACHTYPE &amp; RATING-220kV GIS</v>
      </c>
      <c r="G280" s="275" t="str">
        <f>'Sch-1'!K291</f>
        <v>SET</v>
      </c>
      <c r="H280" s="275">
        <f>'Sch-1'!L291</f>
        <v>1</v>
      </c>
      <c r="I280" s="279"/>
      <c r="J280" s="280" t="str">
        <f t="shared" si="5"/>
        <v>INCLUDED</v>
      </c>
    </row>
    <row r="281" spans="1:10" ht="46.8">
      <c r="A281" s="331">
        <f>'Sch-1'!A292</f>
        <v>108</v>
      </c>
      <c r="B281" s="275">
        <f>'Sch-1'!B292</f>
        <v>7000026628</v>
      </c>
      <c r="C281" s="275">
        <f>'Sch-1'!C292</f>
        <v>1070</v>
      </c>
      <c r="D281" s="275" t="str">
        <f>'Sch-1'!D292</f>
        <v xml:space="preserve">GIS Portion-Mandatory Spares-220kV GIS  </v>
      </c>
      <c r="E281" s="275">
        <f>'Sch-1'!E292</f>
        <v>1000058284</v>
      </c>
      <c r="F281" s="278" t="str">
        <f>'Sch-1'!J292</f>
        <v>220KV GIS-ONE POLE OF 1600A CIRCUIT BREAKER WITH INTERRUPTER, MAINCIRCUIT, ENCLOSURE AND OPERATING MECHANISM COMPLETE IN ALL RESPECT</v>
      </c>
      <c r="G281" s="275" t="str">
        <f>'Sch-1'!K292</f>
        <v>SET</v>
      </c>
      <c r="H281" s="275">
        <f>'Sch-1'!L292</f>
        <v>1</v>
      </c>
      <c r="I281" s="279"/>
      <c r="J281" s="280" t="str">
        <f t="shared" si="5"/>
        <v>INCLUDED</v>
      </c>
    </row>
    <row r="282" spans="1:10" ht="31.2">
      <c r="A282" s="331">
        <f>'Sch-1'!A293</f>
        <v>109</v>
      </c>
      <c r="B282" s="275">
        <f>'Sch-1'!B293</f>
        <v>7000026628</v>
      </c>
      <c r="C282" s="275">
        <f>'Sch-1'!C293</f>
        <v>1080</v>
      </c>
      <c r="D282" s="275" t="str">
        <f>'Sch-1'!D293</f>
        <v xml:space="preserve">GIS Portion-Mandatory Spares-220kV GIS  </v>
      </c>
      <c r="E282" s="275">
        <f>'Sch-1'!E293</f>
        <v>1000021871</v>
      </c>
      <c r="F282" s="278" t="str">
        <f>'Sch-1'!J293</f>
        <v>Trip coil assembly with resistor for245kV GIS Circuit Breaker (asapplicable)</v>
      </c>
      <c r="G282" s="275" t="str">
        <f>'Sch-1'!K293</f>
        <v>SET</v>
      </c>
      <c r="H282" s="275">
        <f>'Sch-1'!L293</f>
        <v>3</v>
      </c>
      <c r="I282" s="279"/>
      <c r="J282" s="280" t="str">
        <f t="shared" si="5"/>
        <v>INCLUDED</v>
      </c>
    </row>
    <row r="283" spans="1:10" ht="31.2">
      <c r="A283" s="331">
        <f>'Sch-1'!A294</f>
        <v>110</v>
      </c>
      <c r="B283" s="275">
        <f>'Sch-1'!B294</f>
        <v>7000026628</v>
      </c>
      <c r="C283" s="275">
        <f>'Sch-1'!C294</f>
        <v>1090</v>
      </c>
      <c r="D283" s="275" t="str">
        <f>'Sch-1'!D294</f>
        <v xml:space="preserve">GIS Portion-Mandatory Spares-220kV GIS  </v>
      </c>
      <c r="E283" s="275">
        <f>'Sch-1'!E294</f>
        <v>1000009185</v>
      </c>
      <c r="F283" s="278" t="str">
        <f>'Sch-1'!J294</f>
        <v>Closing coil assembly with resistor for245kV GIS Circuit Breaker (asapplicable)</v>
      </c>
      <c r="G283" s="275" t="str">
        <f>'Sch-1'!K294</f>
        <v>SET</v>
      </c>
      <c r="H283" s="275">
        <f>'Sch-1'!L294</f>
        <v>3</v>
      </c>
      <c r="I283" s="279"/>
      <c r="J283" s="280" t="str">
        <f t="shared" si="5"/>
        <v>INCLUDED</v>
      </c>
    </row>
    <row r="284" spans="1:10" ht="46.8">
      <c r="A284" s="331">
        <f>'Sch-1'!A295</f>
        <v>111</v>
      </c>
      <c r="B284" s="275">
        <f>'Sch-1'!B295</f>
        <v>7000026628</v>
      </c>
      <c r="C284" s="275">
        <f>'Sch-1'!C295</f>
        <v>1100</v>
      </c>
      <c r="D284" s="275" t="str">
        <f>'Sch-1'!D295</f>
        <v xml:space="preserve">GIS Portion-Mandatory Spares-220kV GIS  </v>
      </c>
      <c r="E284" s="275">
        <f>'Sch-1'!E295</f>
        <v>1000058292</v>
      </c>
      <c r="F284" s="278" t="str">
        <f>'Sch-1'!J295</f>
        <v>RELAYS, POWER CONTACTORS, PUSH BUTTONS, TIMERS &amp; MCBS ETC. (ASAPPLICABLE) OF EACH TYPE FOR 220KV GIS CIRCUIT BREAKER</v>
      </c>
      <c r="G284" s="275" t="str">
        <f>'Sch-1'!K295</f>
        <v>SET</v>
      </c>
      <c r="H284" s="275">
        <f>'Sch-1'!L295</f>
        <v>1</v>
      </c>
      <c r="I284" s="279"/>
      <c r="J284" s="280" t="str">
        <f t="shared" si="4"/>
        <v>INCLUDED</v>
      </c>
    </row>
    <row r="285" spans="1:10" ht="31.2">
      <c r="A285" s="331">
        <f>'Sch-1'!A296</f>
        <v>112</v>
      </c>
      <c r="B285" s="275">
        <f>'Sch-1'!B296</f>
        <v>7000026628</v>
      </c>
      <c r="C285" s="275">
        <f>'Sch-1'!C296</f>
        <v>1110</v>
      </c>
      <c r="D285" s="275" t="str">
        <f>'Sch-1'!D296</f>
        <v xml:space="preserve">GIS Portion-Mandatory Spares-220kV GIS  </v>
      </c>
      <c r="E285" s="275">
        <f>'Sch-1'!E296</f>
        <v>1000007066</v>
      </c>
      <c r="F285" s="278" t="str">
        <f>'Sch-1'!J296</f>
        <v>Auxiliary switch assembly of each type for 245kV GIS Circuit Breaker</v>
      </c>
      <c r="G285" s="275" t="str">
        <f>'Sch-1'!K296</f>
        <v>SET</v>
      </c>
      <c r="H285" s="275">
        <f>'Sch-1'!L296</f>
        <v>1</v>
      </c>
      <c r="I285" s="279"/>
      <c r="J285" s="280" t="str">
        <f t="shared" ref="J285:J311" si="6">IF(I285=0, "INCLUDED", IF(ISERROR(I285*H285), I285, I285*H285))</f>
        <v>INCLUDED</v>
      </c>
    </row>
    <row r="286" spans="1:10" ht="31.2">
      <c r="A286" s="331">
        <f>'Sch-1'!A297</f>
        <v>113</v>
      </c>
      <c r="B286" s="275">
        <f>'Sch-1'!B297</f>
        <v>7000026628</v>
      </c>
      <c r="C286" s="275">
        <f>'Sch-1'!C297</f>
        <v>1120</v>
      </c>
      <c r="D286" s="275" t="str">
        <f>'Sch-1'!D297</f>
        <v xml:space="preserve">GIS Portion-Mandatory Spares-220kV GIS  </v>
      </c>
      <c r="E286" s="275">
        <f>'Sch-1'!E297</f>
        <v>1000058291</v>
      </c>
      <c r="F286" s="278" t="str">
        <f>'Sch-1'!J297</f>
        <v>220KV GIS CIRCUIT BREAKER-OPERATION COUNTER</v>
      </c>
      <c r="G286" s="275" t="str">
        <f>'Sch-1'!K297</f>
        <v xml:space="preserve">EA </v>
      </c>
      <c r="H286" s="275">
        <f>'Sch-1'!L297</f>
        <v>1</v>
      </c>
      <c r="I286" s="279"/>
      <c r="J286" s="280" t="str">
        <f t="shared" si="6"/>
        <v>INCLUDED</v>
      </c>
    </row>
    <row r="287" spans="1:10" ht="46.8">
      <c r="A287" s="331">
        <f>'Sch-1'!A298</f>
        <v>114</v>
      </c>
      <c r="B287" s="275">
        <f>'Sch-1'!B298</f>
        <v>7000026628</v>
      </c>
      <c r="C287" s="275">
        <f>'Sch-1'!C298</f>
        <v>1130</v>
      </c>
      <c r="D287" s="275" t="str">
        <f>'Sch-1'!D298</f>
        <v xml:space="preserve">GIS Portion-Mandatory Spares-220kV GIS  </v>
      </c>
      <c r="E287" s="275">
        <f>'Sch-1'!E298</f>
        <v>1000058288</v>
      </c>
      <c r="F287" s="278" t="str">
        <f>'Sch-1'!J298</f>
        <v>220KV GIS CIRCUIT BREAKER-HYDRAULIC OPERATING MECHANISM WITH DRIVEMOTOR (FOR HYDRAULIC OPERATED MECHANISM, IF APPLICABLE)</v>
      </c>
      <c r="G287" s="275" t="str">
        <f>'Sch-1'!K298</f>
        <v>SET</v>
      </c>
      <c r="H287" s="275">
        <f>'Sch-1'!L298</f>
        <v>1</v>
      </c>
      <c r="I287" s="279"/>
      <c r="J287" s="280" t="str">
        <f t="shared" si="6"/>
        <v>INCLUDED</v>
      </c>
    </row>
    <row r="288" spans="1:10" ht="46.8">
      <c r="A288" s="331">
        <f>'Sch-1'!A299</f>
        <v>115</v>
      </c>
      <c r="B288" s="275">
        <f>'Sch-1'!B299</f>
        <v>7000026628</v>
      </c>
      <c r="C288" s="275">
        <f>'Sch-1'!C299</f>
        <v>1140</v>
      </c>
      <c r="D288" s="275" t="str">
        <f>'Sch-1'!D299</f>
        <v xml:space="preserve">GIS Portion-Mandatory Spares-220kV GIS  </v>
      </c>
      <c r="E288" s="275">
        <f>'Sch-1'!E299</f>
        <v>1000049758</v>
      </c>
      <c r="F288" s="278" t="str">
        <f>'Sch-1'!J299</f>
        <v>HYDRAULIC FILTER OF EACH TYPE (FOR HYDRAULIC OPERATED MECHANISM, IFPPLICABLE)-220KV GIS CIRCUIT BREKAER</v>
      </c>
      <c r="G288" s="275" t="str">
        <f>'Sch-1'!K299</f>
        <v>SET</v>
      </c>
      <c r="H288" s="275">
        <f>'Sch-1'!L299</f>
        <v>1</v>
      </c>
      <c r="I288" s="279"/>
      <c r="J288" s="280" t="str">
        <f t="shared" si="6"/>
        <v>INCLUDED</v>
      </c>
    </row>
    <row r="289" spans="1:10" ht="46.8">
      <c r="A289" s="331">
        <f>'Sch-1'!A300</f>
        <v>116</v>
      </c>
      <c r="B289" s="275">
        <f>'Sch-1'!B300</f>
        <v>7000026628</v>
      </c>
      <c r="C289" s="275">
        <f>'Sch-1'!C300</f>
        <v>1150</v>
      </c>
      <c r="D289" s="275" t="str">
        <f>'Sch-1'!D300</f>
        <v xml:space="preserve">GIS Portion-Mandatory Spares-220kV GIS  </v>
      </c>
      <c r="E289" s="275">
        <f>'Sch-1'!E300</f>
        <v>1000058272</v>
      </c>
      <c r="F289" s="278" t="str">
        <f>'Sch-1'!J300</f>
        <v>220KV GIS CIRCUIT BREAKER- HOSE PIPE OF EACH TYPE (AS APPLICABLE) (FORHYDRAULIC OPERATED MECHANISM, IF APPLICABLE)</v>
      </c>
      <c r="G289" s="275" t="str">
        <f>'Sch-1'!K300</f>
        <v>SET</v>
      </c>
      <c r="H289" s="275">
        <f>'Sch-1'!L300</f>
        <v>1</v>
      </c>
      <c r="I289" s="279"/>
      <c r="J289" s="280" t="str">
        <f t="shared" si="6"/>
        <v>INCLUDED</v>
      </c>
    </row>
    <row r="290" spans="1:10" ht="31.2">
      <c r="A290" s="331">
        <f>'Sch-1'!A301</f>
        <v>117</v>
      </c>
      <c r="B290" s="275">
        <f>'Sch-1'!B301</f>
        <v>7000026628</v>
      </c>
      <c r="C290" s="275">
        <f>'Sch-1'!C301</f>
        <v>1160</v>
      </c>
      <c r="D290" s="275" t="str">
        <f>'Sch-1'!D301</f>
        <v xml:space="preserve">GIS Portion-Mandatory Spares-220kV GIS  </v>
      </c>
      <c r="E290" s="275">
        <f>'Sch-1'!E301</f>
        <v>1000058290</v>
      </c>
      <c r="F290" s="278" t="str">
        <f>'Sch-1'!J301</f>
        <v>220KV GIS CIRCUIT BREAKER - N2 ACCUMULATOR (FOR HYDRAULIC OPERATEDMECHANISM, IF APPLICABLE)</v>
      </c>
      <c r="G290" s="275" t="str">
        <f>'Sch-1'!K301</f>
        <v>SET</v>
      </c>
      <c r="H290" s="275">
        <f>'Sch-1'!L301</f>
        <v>1</v>
      </c>
      <c r="I290" s="279"/>
      <c r="J290" s="280" t="str">
        <f t="shared" si="6"/>
        <v>INCLUDED</v>
      </c>
    </row>
    <row r="291" spans="1:10" ht="31.2">
      <c r="A291" s="331">
        <f>'Sch-1'!A302</f>
        <v>118</v>
      </c>
      <c r="B291" s="275">
        <f>'Sch-1'!B302</f>
        <v>7000026628</v>
      </c>
      <c r="C291" s="275">
        <f>'Sch-1'!C302</f>
        <v>1170</v>
      </c>
      <c r="D291" s="275" t="str">
        <f>'Sch-1'!D302</f>
        <v xml:space="preserve">GIS Portion-Mandatory Spares-220kV GIS  </v>
      </c>
      <c r="E291" s="275">
        <f>'Sch-1'!E302</f>
        <v>1000049834</v>
      </c>
      <c r="F291" s="278" t="str">
        <f>'Sch-1'!J302</f>
        <v>VALVES OF EACH TYPE (FOR HYDRAULIC OPERATED MECHANISM, IFAPPLICABLE)-220KV GIS CIRCUIT BREKAER</v>
      </c>
      <c r="G291" s="275" t="str">
        <f>'Sch-1'!K302</f>
        <v>SET</v>
      </c>
      <c r="H291" s="275">
        <f>'Sch-1'!L302</f>
        <v>1</v>
      </c>
      <c r="I291" s="279"/>
      <c r="J291" s="280" t="str">
        <f t="shared" si="6"/>
        <v>INCLUDED</v>
      </c>
    </row>
    <row r="292" spans="1:10" ht="46.8">
      <c r="A292" s="331">
        <f>'Sch-1'!A303</f>
        <v>119</v>
      </c>
      <c r="B292" s="275">
        <f>'Sch-1'!B303</f>
        <v>7000026628</v>
      </c>
      <c r="C292" s="275">
        <f>'Sch-1'!C303</f>
        <v>1180</v>
      </c>
      <c r="D292" s="275" t="str">
        <f>'Sch-1'!D303</f>
        <v xml:space="preserve">GIS Portion-Mandatory Spares-220kV GIS  </v>
      </c>
      <c r="E292" s="275">
        <f>'Sch-1'!E303</f>
        <v>1000049794</v>
      </c>
      <c r="F292" s="278" t="str">
        <f>'Sch-1'!J303</f>
        <v>PIPE LENGTH (COPPER &amp; STEEL) OF EACH SIZE &amp; TYPE (FOR HYDRAULICOPERATED MECHANISM, IF APPLICABLE)-220KV GIS CIRCUIT BREKAER</v>
      </c>
      <c r="G292" s="275" t="str">
        <f>'Sch-1'!K303</f>
        <v>SET</v>
      </c>
      <c r="H292" s="275">
        <f>'Sch-1'!L303</f>
        <v>1</v>
      </c>
      <c r="I292" s="279"/>
      <c r="J292" s="280" t="str">
        <f t="shared" si="6"/>
        <v>INCLUDED</v>
      </c>
    </row>
    <row r="293" spans="1:10" ht="46.8">
      <c r="A293" s="331">
        <f>'Sch-1'!A304</f>
        <v>120</v>
      </c>
      <c r="B293" s="275">
        <f>'Sch-1'!B304</f>
        <v>7000026628</v>
      </c>
      <c r="C293" s="275">
        <f>'Sch-1'!C304</f>
        <v>1190</v>
      </c>
      <c r="D293" s="275" t="str">
        <f>'Sch-1'!D304</f>
        <v xml:space="preserve">GIS Portion-Mandatory Spares-220kV GIS  </v>
      </c>
      <c r="E293" s="275">
        <f>'Sch-1'!E304</f>
        <v>1000049807</v>
      </c>
      <c r="F293" s="278" t="str">
        <f>'Sch-1'!J304</f>
        <v>PRESSURE SWITCHES OF EACH TYPE (FOR HYDRAULIC OPERATED MECHANISM, IFAPPLICABLE)-220KV GIS CIRCUIT BREKAER</v>
      </c>
      <c r="G293" s="275" t="str">
        <f>'Sch-1'!K304</f>
        <v>SET</v>
      </c>
      <c r="H293" s="275">
        <f>'Sch-1'!L304</f>
        <v>1</v>
      </c>
      <c r="I293" s="279"/>
      <c r="J293" s="280" t="str">
        <f t="shared" si="6"/>
        <v>INCLUDED</v>
      </c>
    </row>
    <row r="294" spans="1:10" ht="46.8">
      <c r="A294" s="331">
        <f>'Sch-1'!A305</f>
        <v>121</v>
      </c>
      <c r="B294" s="275">
        <f>'Sch-1'!B305</f>
        <v>7000026628</v>
      </c>
      <c r="C294" s="275">
        <f>'Sch-1'!C305</f>
        <v>1200</v>
      </c>
      <c r="D294" s="275" t="str">
        <f>'Sch-1'!D305</f>
        <v xml:space="preserve">GIS Portion-Mandatory Spares-220kV GIS  </v>
      </c>
      <c r="E294" s="275">
        <f>'Sch-1'!E305</f>
        <v>1000049804</v>
      </c>
      <c r="F294" s="278" t="str">
        <f>'Sch-1'!J305</f>
        <v>PRESSURE GAUGE WITH COUPLING DEVICE OF EACH TYPE (FOR HYDRAULICOPERATED MECHANISM, IF APPLICABLE)-220KV GIS CIRCUIT BREKAER</v>
      </c>
      <c r="G294" s="275" t="str">
        <f>'Sch-1'!K305</f>
        <v>SET</v>
      </c>
      <c r="H294" s="275">
        <f>'Sch-1'!L305</f>
        <v>1</v>
      </c>
      <c r="I294" s="279"/>
      <c r="J294" s="280" t="str">
        <f t="shared" si="6"/>
        <v>INCLUDED</v>
      </c>
    </row>
    <row r="295" spans="1:10" ht="46.8">
      <c r="A295" s="331">
        <f>'Sch-1'!A306</f>
        <v>122</v>
      </c>
      <c r="B295" s="275">
        <f>'Sch-1'!B306</f>
        <v>7000026628</v>
      </c>
      <c r="C295" s="275">
        <f>'Sch-1'!C306</f>
        <v>1210</v>
      </c>
      <c r="D295" s="275" t="str">
        <f>'Sch-1'!D306</f>
        <v xml:space="preserve">GIS Portion-Mandatory Spares-220kV GIS  </v>
      </c>
      <c r="E295" s="275">
        <f>'Sch-1'!E306</f>
        <v>1000058289</v>
      </c>
      <c r="F295" s="278" t="str">
        <f>'Sch-1'!J306</f>
        <v>220KV GIS CIRCUIT BREAKER-HYDRAULIC OIL (5% OF TOTAL OIL QUANTITY)(FOR HYDRAULIC OPERATED MECHANISM, IF APPLICABLE)</v>
      </c>
      <c r="G295" s="275" t="str">
        <f>'Sch-1'!K306</f>
        <v>SET</v>
      </c>
      <c r="H295" s="275">
        <f>'Sch-1'!L306</f>
        <v>1</v>
      </c>
      <c r="I295" s="279"/>
      <c r="J295" s="280" t="str">
        <f t="shared" si="6"/>
        <v>INCLUDED</v>
      </c>
    </row>
    <row r="296" spans="1:10" ht="46.8">
      <c r="A296" s="331">
        <f>'Sch-1'!A307</f>
        <v>123</v>
      </c>
      <c r="B296" s="275">
        <f>'Sch-1'!B307</f>
        <v>7000026628</v>
      </c>
      <c r="C296" s="275">
        <f>'Sch-1'!C307</f>
        <v>1220</v>
      </c>
      <c r="D296" s="275" t="str">
        <f>'Sch-1'!D307</f>
        <v xml:space="preserve">GIS Portion-Mandatory Spares-220kV GIS  </v>
      </c>
      <c r="E296" s="275">
        <f>'Sch-1'!E307</f>
        <v>1000049798</v>
      </c>
      <c r="F296" s="278" t="str">
        <f>'Sch-1'!J307</f>
        <v>PRESSURE RELIEF DEVICE OF EACH TYPE (FOR HYDRAULIC OPERATED MECHANISM,IF APPLICABLE)-220KV GIS CIRCUIT BREKAER</v>
      </c>
      <c r="G296" s="275" t="str">
        <f>'Sch-1'!K307</f>
        <v>SET</v>
      </c>
      <c r="H296" s="275">
        <f>'Sch-1'!L307</f>
        <v>1</v>
      </c>
      <c r="I296" s="279"/>
      <c r="J296" s="280" t="str">
        <f t="shared" si="6"/>
        <v>INCLUDED</v>
      </c>
    </row>
    <row r="297" spans="1:10" ht="62.4">
      <c r="A297" s="331">
        <f>'Sch-1'!A308</f>
        <v>124</v>
      </c>
      <c r="B297" s="275">
        <f>'Sch-1'!B308</f>
        <v>7000026628</v>
      </c>
      <c r="C297" s="275">
        <f>'Sch-1'!C308</f>
        <v>1230</v>
      </c>
      <c r="D297" s="275" t="str">
        <f>'Sch-1'!D308</f>
        <v xml:space="preserve">GIS Portion-Mandatory Spares-220kV GIS  </v>
      </c>
      <c r="E297" s="275">
        <f>'Sch-1'!E308</f>
        <v>1000058293</v>
      </c>
      <c r="F297" s="278" t="str">
        <f>'Sch-1'!J308</f>
        <v>220KV GIS CIRCUIT BREAKER-COMPLETE SPRING OPERATING MECHANISMINCLUDING CHARGING MECHANISM ETC. (FOR SPRING OPERATED MECHANISM, IFAPPLICABLE)</v>
      </c>
      <c r="G297" s="275" t="str">
        <f>'Sch-1'!K308</f>
        <v>SET</v>
      </c>
      <c r="H297" s="275">
        <f>'Sch-1'!L308</f>
        <v>1</v>
      </c>
      <c r="I297" s="279"/>
      <c r="J297" s="280" t="str">
        <f t="shared" si="6"/>
        <v>INCLUDED</v>
      </c>
    </row>
    <row r="298" spans="1:10" ht="62.4">
      <c r="A298" s="331">
        <f>'Sch-1'!A309</f>
        <v>125</v>
      </c>
      <c r="B298" s="275">
        <f>'Sch-1'!B309</f>
        <v>7000026628</v>
      </c>
      <c r="C298" s="275">
        <f>'Sch-1'!C309</f>
        <v>1240</v>
      </c>
      <c r="D298" s="275" t="str">
        <f>'Sch-1'!D309</f>
        <v xml:space="preserve">GIS Portion-Mandatory Spares-220kV GIS  </v>
      </c>
      <c r="E298" s="275">
        <f>'Sch-1'!E309</f>
        <v>1000058287</v>
      </c>
      <c r="F298" s="278" t="str">
        <f>'Sch-1'!J309</f>
        <v>220KV GIS CIRCUIT BREAKER- COMPLETE HYDRAULIC-SPRING OPERATINGMECHANISM INCLUDING CHARGING MECHANISM ETC. (FOR HYDRAULIC-SPRINGOPERATED MECHANISM, IF APPLICABLE)</v>
      </c>
      <c r="G298" s="275" t="str">
        <f>'Sch-1'!K309</f>
        <v>SET</v>
      </c>
      <c r="H298" s="275">
        <f>'Sch-1'!L309</f>
        <v>1</v>
      </c>
      <c r="I298" s="279"/>
      <c r="J298" s="280" t="str">
        <f t="shared" si="6"/>
        <v>INCLUDED</v>
      </c>
    </row>
    <row r="299" spans="1:10" ht="46.8">
      <c r="A299" s="331">
        <f>'Sch-1'!A310</f>
        <v>126</v>
      </c>
      <c r="B299" s="275">
        <f>'Sch-1'!B310</f>
        <v>7000026628</v>
      </c>
      <c r="C299" s="275">
        <f>'Sch-1'!C310</f>
        <v>1250</v>
      </c>
      <c r="D299" s="275" t="str">
        <f>'Sch-1'!D310</f>
        <v xml:space="preserve">GIS Portion-Mandatory Spares-220kV GIS  </v>
      </c>
      <c r="E299" s="275">
        <f>'Sch-1'!E310</f>
        <v>1000049797</v>
      </c>
      <c r="F299" s="278" t="str">
        <f>'Sch-1'!J310</f>
        <v>PRESSURE SWITCHES OF EACH TYPE (FOR HYDRAULIC-SPRING OPERATEDMECHANISM, IF APPLICABLE)-220KV GIS CIRCUIT BREAKER</v>
      </c>
      <c r="G299" s="275" t="str">
        <f>'Sch-1'!K310</f>
        <v>SET</v>
      </c>
      <c r="H299" s="275">
        <f>'Sch-1'!L310</f>
        <v>1</v>
      </c>
      <c r="I299" s="279"/>
      <c r="J299" s="280" t="str">
        <f t="shared" si="6"/>
        <v>INCLUDED</v>
      </c>
    </row>
    <row r="300" spans="1:10" ht="46.8">
      <c r="A300" s="331">
        <f>'Sch-1'!A311</f>
        <v>127</v>
      </c>
      <c r="B300" s="275">
        <f>'Sch-1'!B311</f>
        <v>7000026628</v>
      </c>
      <c r="C300" s="275">
        <f>'Sch-1'!C311</f>
        <v>1260</v>
      </c>
      <c r="D300" s="275" t="str">
        <f>'Sch-1'!D311</f>
        <v xml:space="preserve">GIS Portion-Mandatory Spares-220kV GIS  </v>
      </c>
      <c r="E300" s="275">
        <f>'Sch-1'!E311</f>
        <v>1000049801</v>
      </c>
      <c r="F300" s="278" t="str">
        <f>'Sch-1'!J311</f>
        <v>PRESSURE GAUGE WITH COUPLING DEVICE OF EACH TYPE (FOR HYDRAULIC-SPRINGOPERATED MECHANISM, IF APPLICABLE)-220KV GIS CIRCUIT BREKAER</v>
      </c>
      <c r="G300" s="275" t="str">
        <f>'Sch-1'!K311</f>
        <v>SET</v>
      </c>
      <c r="H300" s="275">
        <f>'Sch-1'!L311</f>
        <v>1</v>
      </c>
      <c r="I300" s="279"/>
      <c r="J300" s="280" t="str">
        <f t="shared" si="6"/>
        <v>INCLUDED</v>
      </c>
    </row>
    <row r="301" spans="1:10" ht="405.6">
      <c r="A301" s="331">
        <f>'Sch-1'!A312</f>
        <v>128</v>
      </c>
      <c r="B301" s="275">
        <f>'Sch-1'!B312</f>
        <v>7000026628</v>
      </c>
      <c r="C301" s="275">
        <f>'Sch-1'!C312</f>
        <v>1270</v>
      </c>
      <c r="D301" s="275" t="str">
        <f>'Sch-1'!D312</f>
        <v xml:space="preserve">GIS Portion-Mandatory Spares-220kV GIS  </v>
      </c>
      <c r="E301" s="275">
        <f>'Sch-1'!E312</f>
        <v>1000058371</v>
      </c>
      <c r="F301" s="278" t="str">
        <f>'Sch-1'!J312</f>
        <v>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301" s="275" t="str">
        <f>'Sch-1'!K312</f>
        <v xml:space="preserve">EA </v>
      </c>
      <c r="H301" s="275">
        <f>'Sch-1'!L312</f>
        <v>2</v>
      </c>
      <c r="I301" s="279"/>
      <c r="J301" s="280" t="str">
        <f t="shared" si="6"/>
        <v>INCLUDED</v>
      </c>
    </row>
    <row r="302" spans="1:10" ht="265.2">
      <c r="A302" s="331">
        <f>'Sch-1'!A313</f>
        <v>129</v>
      </c>
      <c r="B302" s="275">
        <f>'Sch-1'!B313</f>
        <v>7000026628</v>
      </c>
      <c r="C302" s="275">
        <f>'Sch-1'!C313</f>
        <v>1280</v>
      </c>
      <c r="D302" s="275" t="str">
        <f>'Sch-1'!D313</f>
        <v xml:space="preserve">GIS Portion-Mandatory Spares-220kV GIS  </v>
      </c>
      <c r="E302" s="275">
        <f>'Sch-1'!E313</f>
        <v>1000058282</v>
      </c>
      <c r="F302" s="278" t="str">
        <f>'Sch-1'!J313</f>
        <v>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302" s="275" t="str">
        <f>'Sch-1'!K313</f>
        <v xml:space="preserve">EA </v>
      </c>
      <c r="H302" s="275">
        <f>'Sch-1'!L313</f>
        <v>1</v>
      </c>
      <c r="I302" s="279"/>
      <c r="J302" s="280" t="str">
        <f t="shared" si="6"/>
        <v>INCLUDED</v>
      </c>
    </row>
    <row r="303" spans="1:10" ht="109.2">
      <c r="A303" s="331">
        <f>'Sch-1'!A314</f>
        <v>130</v>
      </c>
      <c r="B303" s="275">
        <f>'Sch-1'!B314</f>
        <v>7000026628</v>
      </c>
      <c r="C303" s="275">
        <f>'Sch-1'!C314</f>
        <v>1290</v>
      </c>
      <c r="D303" s="275" t="str">
        <f>'Sch-1'!D314</f>
        <v xml:space="preserve">GIS Portion-Mandatory Spares-220kV GIS  </v>
      </c>
      <c r="E303" s="275">
        <f>'Sch-1'!E314</f>
        <v>1000058273</v>
      </c>
      <c r="F303" s="278" t="str">
        <f>'Sch-1'!J314</f>
        <v>OPEN/CLOSE CONTACTOR ASSEMBLY, TIMERS, KEY INTERLOCK, INTERLOCKINGCOILS, RELAYS, PUSH BUTTONS, INDICATING LAMPS, POWER CONTACTORS,RESISTORS, FUSES, MCBS &amp; DRIVE CONTROL CARDS ETC. (AS APPLICABLE) ONEOF EACH TYPE FOR ONE COMPLETE MOM BOX FOR 220KV GIS DISCONNECTORSWITCH</v>
      </c>
      <c r="G303" s="275" t="str">
        <f>'Sch-1'!K314</f>
        <v>SET</v>
      </c>
      <c r="H303" s="275">
        <f>'Sch-1'!L314</f>
        <v>1</v>
      </c>
      <c r="I303" s="279"/>
      <c r="J303" s="280" t="str">
        <f t="shared" si="6"/>
        <v>INCLUDED</v>
      </c>
    </row>
    <row r="304" spans="1:10" ht="109.2">
      <c r="A304" s="331">
        <f>'Sch-1'!A315</f>
        <v>131</v>
      </c>
      <c r="B304" s="275">
        <f>'Sch-1'!B315</f>
        <v>7000026628</v>
      </c>
      <c r="C304" s="275">
        <f>'Sch-1'!C315</f>
        <v>1300</v>
      </c>
      <c r="D304" s="275" t="str">
        <f>'Sch-1'!D315</f>
        <v xml:space="preserve">GIS Portion-Mandatory Spares-220kV GIS  </v>
      </c>
      <c r="E304" s="275">
        <f>'Sch-1'!E315</f>
        <v>1000058280</v>
      </c>
      <c r="F304" s="278" t="str">
        <f>'Sch-1'!J315</f>
        <v>OPEN/CLOSE CONTACTOR ASSEMBLY, TIMERS, KEY INTERLOCK, INTERLOCKINGCOILS, RELAYS, PUSH BUTTONS, INDICATING LAMPS, POWER CONTACTORS,RESISTORS, FUSES, MCBS &amp; DRIVE CONTROL CARDS ETC. (AS APPLICABLE) ONEOF EACH TYPE FOR ONE COMPLETE MOM BOX FOR 220KV GIS MAINTENANCE EARTHSWITCH</v>
      </c>
      <c r="G304" s="275" t="str">
        <f>'Sch-1'!K315</f>
        <v>SET</v>
      </c>
      <c r="H304" s="275">
        <f>'Sch-1'!L315</f>
        <v>1</v>
      </c>
      <c r="I304" s="279"/>
      <c r="J304" s="280" t="str">
        <f t="shared" si="6"/>
        <v>INCLUDED</v>
      </c>
    </row>
    <row r="305" spans="1:11" ht="31.2">
      <c r="A305" s="331">
        <f>'Sch-1'!A316</f>
        <v>132</v>
      </c>
      <c r="B305" s="275">
        <f>'Sch-1'!B316</f>
        <v>7000026628</v>
      </c>
      <c r="C305" s="275">
        <f>'Sch-1'!C316</f>
        <v>1310</v>
      </c>
      <c r="D305" s="275" t="str">
        <f>'Sch-1'!D316</f>
        <v xml:space="preserve">GIS Portion-Mandatory Spares-220kV GIS  </v>
      </c>
      <c r="E305" s="275">
        <f>'Sch-1'!E316</f>
        <v>1000049773</v>
      </c>
      <c r="F305" s="278" t="str">
        <f>'Sch-1'!J316</f>
        <v>LIMIT SWITCHES AND AUX. SWITCHES FOR ONE COMPLETE MOM BOX FORDISCONNECTOR-220KV GIS</v>
      </c>
      <c r="G305" s="275" t="str">
        <f>'Sch-1'!K316</f>
        <v>SET</v>
      </c>
      <c r="H305" s="275">
        <f>'Sch-1'!L316</f>
        <v>1</v>
      </c>
      <c r="I305" s="279"/>
      <c r="J305" s="280" t="str">
        <f t="shared" si="6"/>
        <v>INCLUDED</v>
      </c>
    </row>
    <row r="306" spans="1:11" ht="31.2">
      <c r="A306" s="331">
        <f>'Sch-1'!A317</f>
        <v>133</v>
      </c>
      <c r="B306" s="275">
        <f>'Sch-1'!B317</f>
        <v>7000026628</v>
      </c>
      <c r="C306" s="275">
        <f>'Sch-1'!C317</f>
        <v>1320</v>
      </c>
      <c r="D306" s="275" t="str">
        <f>'Sch-1'!D317</f>
        <v xml:space="preserve">GIS Portion-Mandatory Spares-220kV GIS  </v>
      </c>
      <c r="E306" s="275">
        <f>'Sch-1'!E317</f>
        <v>1000049775</v>
      </c>
      <c r="F306" s="278" t="str">
        <f>'Sch-1'!J317</f>
        <v>LIMIT SWITCHES AND AUX. SWITCHES FOR ONE COMPLETE MOM BOX FORMAINTENANCE EARTHING SWITCH-220KV GIS</v>
      </c>
      <c r="G306" s="275" t="str">
        <f>'Sch-1'!K317</f>
        <v>SET</v>
      </c>
      <c r="H306" s="275">
        <f>'Sch-1'!L317</f>
        <v>1</v>
      </c>
      <c r="I306" s="279"/>
      <c r="J306" s="280" t="str">
        <f t="shared" si="6"/>
        <v>INCLUDED</v>
      </c>
    </row>
    <row r="307" spans="1:11" ht="31.2">
      <c r="A307" s="331">
        <f>'Sch-1'!A318</f>
        <v>134</v>
      </c>
      <c r="B307" s="275">
        <f>'Sch-1'!B318</f>
        <v>7000026628</v>
      </c>
      <c r="C307" s="275">
        <f>'Sch-1'!C318</f>
        <v>1330</v>
      </c>
      <c r="D307" s="275" t="str">
        <f>'Sch-1'!D318</f>
        <v xml:space="preserve">GIS Portion-Mandatory Spares-220kV GIS  </v>
      </c>
      <c r="E307" s="275">
        <f>'Sch-1'!E318</f>
        <v>1000058274</v>
      </c>
      <c r="F307" s="278" t="str">
        <f>'Sch-1'!J318</f>
        <v>DRIVE MECHANISM FOR 220KV GIS DISCONNECTOR SWITCH</v>
      </c>
      <c r="G307" s="275" t="str">
        <f>'Sch-1'!K318</f>
        <v>SET</v>
      </c>
      <c r="H307" s="275">
        <f>'Sch-1'!L318</f>
        <v>1</v>
      </c>
      <c r="I307" s="279"/>
      <c r="J307" s="280" t="str">
        <f t="shared" si="6"/>
        <v>INCLUDED</v>
      </c>
    </row>
    <row r="308" spans="1:11" ht="31.2">
      <c r="A308" s="331">
        <f>'Sch-1'!A319</f>
        <v>135</v>
      </c>
      <c r="B308" s="275">
        <f>'Sch-1'!B319</f>
        <v>7000026628</v>
      </c>
      <c r="C308" s="275">
        <f>'Sch-1'!C319</f>
        <v>1340</v>
      </c>
      <c r="D308" s="275" t="str">
        <f>'Sch-1'!D319</f>
        <v xml:space="preserve">GIS Portion-Mandatory Spares-220kV GIS  </v>
      </c>
      <c r="E308" s="275">
        <f>'Sch-1'!E319</f>
        <v>1000058281</v>
      </c>
      <c r="F308" s="278" t="str">
        <f>'Sch-1'!J319</f>
        <v>DRIVE MECHANISM FOR 220KV GIS MAINTENANCE EARTH SWITCH</v>
      </c>
      <c r="G308" s="275" t="str">
        <f>'Sch-1'!K319</f>
        <v>SET</v>
      </c>
      <c r="H308" s="275">
        <f>'Sch-1'!L319</f>
        <v>1</v>
      </c>
      <c r="I308" s="279"/>
      <c r="J308" s="280" t="str">
        <f t="shared" si="6"/>
        <v>INCLUDED</v>
      </c>
    </row>
    <row r="309" spans="1:11" ht="31.2">
      <c r="A309" s="331">
        <f>'Sch-1'!A320</f>
        <v>136</v>
      </c>
      <c r="B309" s="275">
        <f>'Sch-1'!B320</f>
        <v>7000026628</v>
      </c>
      <c r="C309" s="275">
        <f>'Sch-1'!C320</f>
        <v>1350</v>
      </c>
      <c r="D309" s="275" t="str">
        <f>'Sch-1'!D320</f>
        <v xml:space="preserve">GIS Portion-Mandatory Spares-220kV GIS  </v>
      </c>
      <c r="E309" s="275">
        <f>'Sch-1'!E320</f>
        <v>1000058275</v>
      </c>
      <c r="F309" s="278" t="str">
        <f>'Sch-1'!J320</f>
        <v>MOTOR FOR DRIVE MECHANISM FOR 220KV GIS DISCONNECTOR SWITCH</v>
      </c>
      <c r="G309" s="275" t="str">
        <f>'Sch-1'!K320</f>
        <v xml:space="preserve">EA </v>
      </c>
      <c r="H309" s="275">
        <f>'Sch-1'!L320</f>
        <v>1</v>
      </c>
      <c r="I309" s="279"/>
      <c r="J309" s="280" t="str">
        <f t="shared" si="6"/>
        <v>INCLUDED</v>
      </c>
    </row>
    <row r="310" spans="1:11" ht="31.2">
      <c r="A310" s="331">
        <f>'Sch-1'!A321</f>
        <v>137</v>
      </c>
      <c r="B310" s="275">
        <f>'Sch-1'!B321</f>
        <v>7000026628</v>
      </c>
      <c r="C310" s="275">
        <f>'Sch-1'!C321</f>
        <v>1360</v>
      </c>
      <c r="D310" s="275" t="str">
        <f>'Sch-1'!D321</f>
        <v xml:space="preserve">GIS Portion-Mandatory Spares-220kV GIS  </v>
      </c>
      <c r="E310" s="275">
        <f>'Sch-1'!E321</f>
        <v>1000058283</v>
      </c>
      <c r="F310" s="278" t="str">
        <f>'Sch-1'!J321</f>
        <v>MOTOR FOR DRIVE MECHANISM FOR 220KVGIS MAINTENANCE EARTH SWITCH</v>
      </c>
      <c r="G310" s="275" t="str">
        <f>'Sch-1'!K321</f>
        <v xml:space="preserve">EA </v>
      </c>
      <c r="H310" s="275">
        <f>'Sch-1'!L321</f>
        <v>1</v>
      </c>
      <c r="I310" s="279"/>
      <c r="J310" s="280" t="str">
        <f t="shared" si="6"/>
        <v>INCLUDED</v>
      </c>
    </row>
    <row r="311" spans="1:11" ht="46.8">
      <c r="A311" s="331">
        <f>'Sch-1'!A322</f>
        <v>138</v>
      </c>
      <c r="B311" s="275">
        <f>'Sch-1'!B322</f>
        <v>7000026628</v>
      </c>
      <c r="C311" s="275">
        <f>'Sch-1'!C322</f>
        <v>1370</v>
      </c>
      <c r="D311" s="275" t="str">
        <f>'Sch-1'!D322</f>
        <v xml:space="preserve">GIS Portion-Mandatory Spares-220kV GIS  </v>
      </c>
      <c r="E311" s="275">
        <f>'Sch-1'!E322</f>
        <v>1000058294</v>
      </c>
      <c r="F311" s="278" t="str">
        <f>'Sch-1'!J322</f>
        <v>220KV GIS- SINGLE PHASE OF CURRENT TRANSFORMER (4 CORES) WITHASSOCIATED ENCLOSURE AND PRIMARY CONDUCTOR COMPLETE IN ALL RESPECT</v>
      </c>
      <c r="G311" s="275" t="str">
        <f>'Sch-1'!K322</f>
        <v xml:space="preserve">EA </v>
      </c>
      <c r="H311" s="275">
        <f>'Sch-1'!L322</f>
        <v>1</v>
      </c>
      <c r="I311" s="279"/>
      <c r="J311" s="280" t="str">
        <f t="shared" si="6"/>
        <v>INCLUDED</v>
      </c>
    </row>
    <row r="312" spans="1:11" ht="78">
      <c r="A312" s="331">
        <f>'Sch-1'!A323</f>
        <v>139</v>
      </c>
      <c r="B312" s="275">
        <f>'Sch-1'!B323</f>
        <v>7000026628</v>
      </c>
      <c r="C312" s="275">
        <f>'Sch-1'!C323</f>
        <v>1540</v>
      </c>
      <c r="D312" s="275" t="str">
        <f>'Sch-1'!D323</f>
        <v xml:space="preserve">NON STANDARD STRUCTURES (SUPPLY)        </v>
      </c>
      <c r="E312" s="275">
        <f>'Sch-1'!E323</f>
        <v>1000015954</v>
      </c>
      <c r="F312" s="278" t="str">
        <f>'Sch-1'!J323</f>
        <v>Fabrication, galvanising and supply of  Lattice Structures (MS Steel),to be designed during detailed engineering, for towers, beams andequipment support structure  including pack plates / packwashers andgusset plates excluding fasteners and foundation bolts</v>
      </c>
      <c r="G312" s="275" t="str">
        <f>'Sch-1'!K323</f>
        <v xml:space="preserve">MT </v>
      </c>
      <c r="H312" s="275">
        <f>'Sch-1'!L323</f>
        <v>13</v>
      </c>
      <c r="I312" s="279"/>
      <c r="J312" s="280" t="str">
        <f t="shared" si="4"/>
        <v>INCLUDED</v>
      </c>
    </row>
    <row r="313" spans="1:11" ht="46.8">
      <c r="A313" s="331">
        <f>'Sch-1'!A324</f>
        <v>140</v>
      </c>
      <c r="B313" s="275">
        <f>'Sch-1'!B324</f>
        <v>7000026628</v>
      </c>
      <c r="C313" s="275">
        <f>'Sch-1'!C324</f>
        <v>1550</v>
      </c>
      <c r="D313" s="275" t="str">
        <f>'Sch-1'!D324</f>
        <v xml:space="preserve">NON STANDARD STRUCTURES (SUPPLY)        </v>
      </c>
      <c r="E313" s="275">
        <f>'Sch-1'!E324</f>
        <v>1000011713</v>
      </c>
      <c r="F313" s="278" t="str">
        <f>'Sch-1'!J324</f>
        <v>Fabrication, galvanising and supply of fasteners ( nuts, bolts andwashers ) including step bolts for lattice and pipe structures to bedesigned during detailed engineering</v>
      </c>
      <c r="G313" s="275" t="str">
        <f>'Sch-1'!K324</f>
        <v xml:space="preserve">MT </v>
      </c>
      <c r="H313" s="275">
        <f>'Sch-1'!L324</f>
        <v>0.5</v>
      </c>
      <c r="I313" s="279"/>
      <c r="J313" s="280" t="str">
        <f t="shared" si="4"/>
        <v>INCLUDED</v>
      </c>
    </row>
    <row r="314" spans="1:11" ht="46.8">
      <c r="A314" s="331">
        <f>'Sch-1'!A325</f>
        <v>141</v>
      </c>
      <c r="B314" s="275">
        <f>'Sch-1'!B325</f>
        <v>7000026628</v>
      </c>
      <c r="C314" s="275">
        <f>'Sch-1'!C325</f>
        <v>1560</v>
      </c>
      <c r="D314" s="275" t="str">
        <f>'Sch-1'!D325</f>
        <v xml:space="preserve">NON STANDARD STRUCTURES (SUPPLY)        </v>
      </c>
      <c r="E314" s="275">
        <f>'Sch-1'!E325</f>
        <v>1000012373</v>
      </c>
      <c r="F314" s="278" t="str">
        <f>'Sch-1'!J325</f>
        <v>Fabrication, galvanising and supply of foundation bolts including nuts,checknut and washers for lattice and pipe structures to be designedduring detailed engineering</v>
      </c>
      <c r="G314" s="275" t="str">
        <f>'Sch-1'!K325</f>
        <v xml:space="preserve">MT </v>
      </c>
      <c r="H314" s="275">
        <f>'Sch-1'!L325</f>
        <v>1.1000000000000001</v>
      </c>
      <c r="I314" s="279"/>
      <c r="J314" s="280" t="str">
        <f t="shared" si="4"/>
        <v>INCLUDED</v>
      </c>
    </row>
    <row r="315" spans="1:11" ht="46.8">
      <c r="A315" s="331">
        <f>'Sch-1'!A326</f>
        <v>142</v>
      </c>
      <c r="B315" s="275">
        <f>'Sch-1'!B326</f>
        <v>7000026628</v>
      </c>
      <c r="C315" s="275">
        <f>'Sch-1'!C326</f>
        <v>1570</v>
      </c>
      <c r="D315" s="275" t="str">
        <f>'Sch-1'!D326</f>
        <v xml:space="preserve">NON STANDARD STRUCTURES (SUPPLY)        </v>
      </c>
      <c r="E315" s="275">
        <f>'Sch-1'!E326</f>
        <v>1000015952</v>
      </c>
      <c r="F315" s="278" t="str">
        <f>'Sch-1'!J326</f>
        <v>Fabrication, galvanising and supply of  Equipment Support (Pipe)Structures to be designed during detailed engineering</v>
      </c>
      <c r="G315" s="275" t="str">
        <f>'Sch-1'!K326</f>
        <v xml:space="preserve">MT </v>
      </c>
      <c r="H315" s="275">
        <f>'Sch-1'!L326</f>
        <v>4.0999999999999996</v>
      </c>
      <c r="I315" s="279"/>
      <c r="J315" s="280" t="str">
        <f t="shared" ref="J315" si="7">IF(I315=0, "INCLUDED", IF(ISERROR(I315*H315), I315, I315*H315))</f>
        <v>INCLUDED</v>
      </c>
    </row>
    <row r="316" spans="1:11" ht="33" customHeight="1">
      <c r="A316" s="333"/>
      <c r="B316" s="830" t="s">
        <v>312</v>
      </c>
      <c r="C316" s="830"/>
      <c r="D316" s="830"/>
      <c r="E316" s="334"/>
      <c r="F316" s="335"/>
      <c r="G316" s="336"/>
      <c r="H316" s="336"/>
      <c r="I316" s="334"/>
      <c r="J316" s="337">
        <f>SUM(J18:J315)</f>
        <v>0</v>
      </c>
      <c r="K316" s="338"/>
    </row>
    <row r="317" spans="1:11" ht="57.75" customHeight="1">
      <c r="A317" s="339"/>
      <c r="B317" s="831" t="s">
        <v>345</v>
      </c>
      <c r="C317" s="831"/>
      <c r="D317" s="831"/>
      <c r="E317" s="831"/>
      <c r="F317" s="831"/>
      <c r="G317" s="831"/>
      <c r="H317" s="831"/>
      <c r="I317" s="831"/>
      <c r="J317" s="831"/>
      <c r="K317" s="338"/>
    </row>
    <row r="318" spans="1:11" ht="24.75" customHeight="1">
      <c r="B318" s="309"/>
      <c r="C318" s="309"/>
      <c r="D318" s="309"/>
      <c r="E318" s="309"/>
      <c r="F318" s="309"/>
      <c r="G318" s="309"/>
      <c r="H318" s="243"/>
      <c r="I318" s="309"/>
      <c r="J318" s="243"/>
      <c r="K318" s="338"/>
    </row>
    <row r="319" spans="1:11" s="241" customFormat="1">
      <c r="B319" s="253" t="s">
        <v>313</v>
      </c>
      <c r="C319" s="827" t="str">
        <f>'Sch-1'!C332:D332</f>
        <v xml:space="preserve">  </v>
      </c>
      <c r="D319" s="824"/>
      <c r="G319" s="834" t="s">
        <v>315</v>
      </c>
      <c r="H319" s="834"/>
      <c r="I319" s="826" t="str">
        <f>'Sch-1'!K332</f>
        <v/>
      </c>
      <c r="J319" s="826"/>
    </row>
    <row r="320" spans="1:11" s="241" customFormat="1">
      <c r="B320" s="253" t="s">
        <v>314</v>
      </c>
      <c r="C320" s="824" t="str">
        <f>'Sch-1'!C333:D333</f>
        <v/>
      </c>
      <c r="D320" s="824"/>
      <c r="G320" s="834" t="s">
        <v>123</v>
      </c>
      <c r="H320" s="834"/>
      <c r="I320" s="826" t="str">
        <f>'Sch-1'!K333</f>
        <v/>
      </c>
      <c r="J320" s="826"/>
    </row>
    <row r="321" spans="2:11">
      <c r="B321" s="340"/>
      <c r="C321" s="341"/>
      <c r="D321" s="243"/>
      <c r="E321" s="342"/>
      <c r="F321" s="255"/>
      <c r="G321" s="243"/>
      <c r="H321" s="300"/>
      <c r="I321" s="338"/>
      <c r="J321" s="300"/>
      <c r="K321" s="338"/>
    </row>
    <row r="322" spans="2:11">
      <c r="B322" s="311"/>
      <c r="C322" s="343"/>
      <c r="D322" s="311"/>
      <c r="E322" s="342"/>
      <c r="F322" s="255"/>
      <c r="G322" s="311"/>
      <c r="H322" s="300"/>
      <c r="I322" s="338"/>
      <c r="J322" s="300"/>
      <c r="K322" s="338"/>
    </row>
  </sheetData>
  <sheetProtection algorithmName="SHA-512" hashValue="FfofOzPh8BfohzvYoku9qCJT0kVcLs2cJV3UZdOHpaeKavDfaa0xW7MbXY0xt8T8VCbH+1LDIIFNp0W+DKgt6g==" saltValue="IJAJGBF+2NGcZ88SCHXo0w==" spinCount="100000" sheet="1" formatColumns="0" formatRows="0" selectLockedCells="1"/>
  <customSheetViews>
    <customSheetView guid="{B85D7887-A299-45C0-BD97-6C28577A6A5C}" scale="80" showPageBreaks="1" printArea="1" view="pageBreakPreview" topLeftCell="A403">
      <selection activeCell="I412" sqref="I412"/>
      <pageMargins left="0.45" right="0.45" top="0.75" bottom="0.5" header="0.3" footer="0.3"/>
      <printOptions horizontalCentered="1"/>
      <pageSetup paperSize="9" scale="62" orientation="landscape" r:id="rId1"/>
      <headerFooter>
        <oddHeader>&amp;RSchedule-2
Page &amp;P of &amp;N</oddHeader>
      </headerFooter>
    </customSheetView>
    <customSheetView guid="{CA9345C4-09FE-4F27-BFD9-3D9BCD2DED09}" scale="80" showPageBreaks="1" printArea="1" view="pageBreakPreview" topLeftCell="A278">
      <selection activeCell="I287" sqref="I287"/>
      <pageMargins left="0.45" right="0.45" top="0.75" bottom="0.5" header="0.3" footer="0.3"/>
      <printOptions horizontalCentered="1"/>
      <pageSetup paperSize="9" scale="62" orientation="landscape" r:id="rId2"/>
      <headerFooter>
        <oddHeader>&amp;RSchedule-2
Page &amp;P of &amp;N</oddHeader>
      </headerFooter>
    </customSheetView>
    <customSheetView guid="{7AB1F867-F01E-4EB9-A93D-DDCFDB9AA444}" scale="80" showPageBreaks="1" printArea="1" view="pageBreakPreview" topLeftCell="A125">
      <selection activeCell="A134" sqref="A134"/>
      <pageMargins left="0.45" right="0.45" top="0.75" bottom="0.5" header="0.3" footer="0.3"/>
      <printOptions horizontalCentered="1"/>
      <pageSetup paperSize="9" scale="62" orientation="landscape" r:id="rId3"/>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4"/>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
Page &amp;P of &amp;N</oddHeader>
      </headerFooter>
    </customSheetView>
    <customSheetView guid="{497EA202-A8B8-45C5-9E6C-C3CD104F3979}" scale="80" showPageBreaks="1" printArea="1" view="pageBreakPreview" topLeftCell="A4">
      <selection activeCell="I21" sqref="I21"/>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cale="80"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D5521983-A70D-48A3-9506-C0263CBBC57D}" scale="80" showPageBreaks="1" printArea="1" view="pageBreakPreview" topLeftCell="A125">
      <selection activeCell="A134" sqref="A134"/>
      <pageMargins left="0.45" right="0.45" top="0.75" bottom="0.5" header="0.3" footer="0.3"/>
      <printOptions horizontalCentered="1"/>
      <pageSetup paperSize="9" scale="62" orientation="landscape" r:id="rId10"/>
      <headerFooter>
        <oddHeader>&amp;RSchedule-2
Page &amp;P of &amp;N</oddHeader>
      </headerFooter>
    </customSheetView>
    <customSheetView guid="{12A89170-4F84-482D-A3C5-7890082E7B73}" scale="80" showPageBreaks="1" printArea="1" view="pageBreakPreview" topLeftCell="A18">
      <selection activeCell="I18" sqref="I18"/>
      <pageMargins left="0.45" right="0.45" top="0.75" bottom="0.5" header="0.3" footer="0.3"/>
      <printOptions horizontalCentered="1"/>
      <pageSetup paperSize="9" scale="62" orientation="landscape" r:id="rId11"/>
      <headerFooter>
        <oddHeader>&amp;RSchedule-2
Page &amp;P of &amp;N</oddHeader>
      </headerFooter>
    </customSheetView>
    <customSheetView guid="{CCA37BAE-906F-43D5-9FD9-B13563E4B9D7}" scale="80" showPageBreaks="1" printArea="1" view="pageBreakPreview" topLeftCell="A403">
      <selection activeCell="I412" sqref="I412"/>
      <pageMargins left="0.45" right="0.45" top="0.75" bottom="0.5" header="0.3" footer="0.3"/>
      <printOptions horizontalCentered="1"/>
      <pageSetup paperSize="9" scale="62" orientation="landscape" r:id="rId12"/>
      <headerFooter>
        <oddHeader>&amp;RSchedule-2
Page &amp;P of &amp;N</oddHeader>
      </headerFooter>
    </customSheetView>
  </customSheetViews>
  <mergeCells count="20">
    <mergeCell ref="A13:J13"/>
    <mergeCell ref="G320:H320"/>
    <mergeCell ref="G319:H319"/>
    <mergeCell ref="I320:J320"/>
    <mergeCell ref="N3:O3"/>
    <mergeCell ref="A4:J4"/>
    <mergeCell ref="A3:J3"/>
    <mergeCell ref="C320:D320"/>
    <mergeCell ref="B316:D316"/>
    <mergeCell ref="B317:J317"/>
    <mergeCell ref="C319:D319"/>
    <mergeCell ref="I319:J319"/>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899:I64900" xr:uid="{00000000-0002-0000-0500-000000000000}">
      <formula1>0</formula1>
    </dataValidation>
    <dataValidation type="decimal" operator="greaterThanOrEqual" allowBlank="1" showInputMessage="1" showErrorMessage="1" sqref="I18:I172 I174:I315" xr:uid="{022775CE-8023-498E-9BC1-62C0D048982C}">
      <formula1>0</formula1>
    </dataValidation>
  </dataValidations>
  <printOptions horizontalCentered="1"/>
  <pageMargins left="0.45" right="0.45" top="0.75" bottom="0.5" header="0.3" footer="0.3"/>
  <pageSetup paperSize="9" scale="66" fitToHeight="0" orientation="landscape" r:id="rId13"/>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167"/>
  <sheetViews>
    <sheetView view="pageBreakPreview" topLeftCell="A24" zoomScale="70" zoomScaleNormal="80" zoomScaleSheetLayoutView="70" workbookViewId="0">
      <selection activeCell="O93" sqref="O93"/>
    </sheetView>
  </sheetViews>
  <sheetFormatPr defaultColWidth="9.109375" defaultRowHeight="15.6"/>
  <cols>
    <col min="1" max="1" width="5.5546875" style="398" customWidth="1"/>
    <col min="2" max="2" width="16.109375" style="398" customWidth="1"/>
    <col min="3" max="3" width="9.6640625" style="398" customWidth="1"/>
    <col min="4" max="4" width="9.109375" style="398" customWidth="1"/>
    <col min="5" max="5" width="9.33203125" style="398" customWidth="1"/>
    <col min="6" max="6" width="26.44140625" style="354" customWidth="1"/>
    <col min="7" max="7" width="19.88671875" style="354" bestFit="1" customWidth="1"/>
    <col min="8" max="8" width="13.88671875" style="354" customWidth="1"/>
    <col min="9" max="9" width="20.44140625" style="354" customWidth="1"/>
    <col min="10" max="10" width="13.88671875" style="354" customWidth="1"/>
    <col min="11" max="11" width="21.44140625" style="354" customWidth="1"/>
    <col min="12" max="12" width="68.5546875" style="314" customWidth="1"/>
    <col min="13" max="13" width="8.6640625" style="355" customWidth="1"/>
    <col min="14" max="14" width="10.5546875" style="356" customWidth="1"/>
    <col min="15" max="15" width="16.109375" style="355" customWidth="1"/>
    <col min="16" max="16" width="24" style="355" customWidth="1"/>
    <col min="17" max="17" width="9.109375" style="349" hidden="1" customWidth="1"/>
    <col min="18" max="18" width="16.44140625" style="350" hidden="1" customWidth="1"/>
    <col min="19" max="19" width="26.88671875" style="350" hidden="1" customWidth="1"/>
    <col min="20" max="20" width="15.109375" style="242" hidden="1" customWidth="1"/>
    <col min="21" max="21" width="38" style="350" hidden="1" customWidth="1"/>
    <col min="22" max="22" width="8" style="349" hidden="1" customWidth="1"/>
    <col min="23" max="31" width="9.109375" style="349" customWidth="1"/>
    <col min="32" max="243" width="9.109375" style="350" customWidth="1"/>
    <col min="244" max="244" width="12.5546875" style="350" customWidth="1"/>
    <col min="245" max="245" width="73.44140625" style="350" customWidth="1"/>
    <col min="246" max="246" width="8.6640625" style="350" customWidth="1"/>
    <col min="247" max="247" width="10.5546875" style="350" customWidth="1"/>
    <col min="248" max="248" width="14.5546875" style="350" customWidth="1"/>
    <col min="249" max="16384" width="9.109375" style="350"/>
  </cols>
  <sheetData>
    <row r="1" spans="1:31" ht="24.75" customHeight="1">
      <c r="A1" s="345" t="str">
        <f>Cover!B3</f>
        <v>Spec. No.:CC/NT/W-GIS/DOM/A04/24/01196</v>
      </c>
      <c r="B1" s="345"/>
      <c r="C1" s="345"/>
      <c r="D1" s="345"/>
      <c r="E1" s="345"/>
      <c r="F1" s="346"/>
      <c r="G1" s="346"/>
      <c r="H1" s="346"/>
      <c r="I1" s="346"/>
      <c r="J1" s="346"/>
      <c r="K1" s="346"/>
      <c r="L1" s="347"/>
      <c r="M1" s="237"/>
      <c r="N1" s="237"/>
      <c r="O1" s="303"/>
      <c r="P1" s="348" t="s">
        <v>698</v>
      </c>
    </row>
    <row r="2" spans="1:31">
      <c r="A2" s="351"/>
      <c r="B2" s="351"/>
      <c r="C2" s="351"/>
      <c r="D2" s="351"/>
      <c r="E2" s="351"/>
      <c r="F2" s="352"/>
      <c r="G2" s="352"/>
      <c r="H2" s="352"/>
      <c r="I2" s="352"/>
      <c r="J2" s="352"/>
      <c r="K2" s="352"/>
      <c r="L2" s="353"/>
      <c r="M2" s="242"/>
      <c r="N2" s="242"/>
      <c r="O2" s="350"/>
      <c r="P2" s="350"/>
    </row>
    <row r="3" spans="1:31" ht="110.25" customHeight="1">
      <c r="A3" s="840"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40"/>
      <c r="C3" s="840"/>
      <c r="D3" s="840"/>
      <c r="E3" s="840"/>
      <c r="F3" s="840"/>
      <c r="G3" s="840"/>
      <c r="H3" s="840"/>
      <c r="I3" s="840"/>
      <c r="J3" s="840"/>
      <c r="K3" s="840"/>
      <c r="L3" s="840"/>
      <c r="M3" s="840"/>
      <c r="N3" s="840"/>
      <c r="O3" s="840"/>
      <c r="P3" s="840"/>
    </row>
    <row r="4" spans="1:31">
      <c r="A4" s="815" t="s">
        <v>17</v>
      </c>
      <c r="B4" s="815"/>
      <c r="C4" s="815"/>
      <c r="D4" s="815"/>
      <c r="E4" s="815"/>
      <c r="F4" s="815"/>
      <c r="G4" s="815"/>
      <c r="H4" s="815"/>
      <c r="I4" s="815"/>
      <c r="J4" s="815"/>
      <c r="K4" s="815"/>
      <c r="L4" s="815"/>
      <c r="M4" s="815"/>
      <c r="N4" s="815"/>
      <c r="O4" s="815"/>
      <c r="P4" s="815"/>
    </row>
    <row r="6" spans="1:31" ht="21.75" customHeight="1">
      <c r="A6" s="816" t="s">
        <v>346</v>
      </c>
      <c r="B6" s="816"/>
      <c r="C6" s="242"/>
      <c r="D6" s="243"/>
      <c r="E6" s="242"/>
      <c r="F6" s="242"/>
      <c r="G6" s="242"/>
      <c r="H6" s="242"/>
      <c r="I6" s="242"/>
    </row>
    <row r="7" spans="1:31" ht="21" customHeight="1">
      <c r="A7" s="820">
        <f>'Sch-1'!A7</f>
        <v>0</v>
      </c>
      <c r="B7" s="820"/>
      <c r="C7" s="820"/>
      <c r="D7" s="820"/>
      <c r="E7" s="820"/>
      <c r="F7" s="820"/>
      <c r="G7" s="820"/>
      <c r="H7" s="820"/>
      <c r="I7" s="820"/>
      <c r="J7" s="357"/>
      <c r="K7" s="357"/>
      <c r="L7" s="318"/>
      <c r="M7" s="358" t="s">
        <v>1</v>
      </c>
      <c r="N7" s="359"/>
      <c r="O7" s="350"/>
      <c r="P7" s="350"/>
    </row>
    <row r="8" spans="1:31" ht="22.5" customHeight="1">
      <c r="A8" s="817" t="str">
        <f>"Bidder’s Name and Address  (" &amp; MID('Names of Bidder'!B9,9, 20) &amp; ") :"</f>
        <v>Bidder’s Name and Address  (Sole Bidder) :</v>
      </c>
      <c r="B8" s="817"/>
      <c r="C8" s="817"/>
      <c r="D8" s="817"/>
      <c r="E8" s="817"/>
      <c r="F8" s="817"/>
      <c r="G8" s="817"/>
      <c r="H8" s="250"/>
      <c r="I8" s="250"/>
      <c r="J8" s="360"/>
      <c r="K8" s="360"/>
      <c r="L8" s="360"/>
      <c r="M8" s="361" t="str">
        <f>'Sch-1'!K8</f>
        <v>Contract Services</v>
      </c>
      <c r="N8" s="360"/>
      <c r="O8" s="350"/>
      <c r="P8" s="350"/>
    </row>
    <row r="9" spans="1:31" ht="24.75" customHeight="1">
      <c r="A9" s="245" t="s">
        <v>12</v>
      </c>
      <c r="B9" s="248"/>
      <c r="C9" s="820" t="str">
        <f>IF('Names of Bidder'!D9=0, "", 'Names of Bidder'!D9)</f>
        <v/>
      </c>
      <c r="D9" s="820"/>
      <c r="E9" s="820"/>
      <c r="F9" s="820"/>
      <c r="G9" s="820"/>
      <c r="H9" s="254"/>
      <c r="I9" s="254"/>
      <c r="J9" s="362"/>
      <c r="K9" s="362"/>
      <c r="L9" s="362"/>
      <c r="M9" s="361" t="str">
        <f>'Sch-1'!K9</f>
        <v>Power Grid Corporation of India Ltd.,</v>
      </c>
      <c r="N9" s="242"/>
      <c r="O9" s="350"/>
      <c r="P9" s="350"/>
    </row>
    <row r="10" spans="1:31" ht="21" customHeight="1">
      <c r="A10" s="245" t="s">
        <v>11</v>
      </c>
      <c r="B10" s="248"/>
      <c r="C10" s="819" t="str">
        <f>IF('Names of Bidder'!D10=0, "", 'Names of Bidder'!D10)</f>
        <v/>
      </c>
      <c r="D10" s="819"/>
      <c r="E10" s="819"/>
      <c r="F10" s="819"/>
      <c r="G10" s="819"/>
      <c r="H10" s="254"/>
      <c r="I10" s="254"/>
      <c r="J10" s="362"/>
      <c r="K10" s="362"/>
      <c r="L10" s="362"/>
      <c r="M10" s="361" t="str">
        <f>'Sch-1'!K10</f>
        <v>"Saudamini", Plot No.-2</v>
      </c>
      <c r="N10" s="242"/>
      <c r="O10" s="350"/>
      <c r="P10" s="350"/>
    </row>
    <row r="11" spans="1:31" ht="20.25" customHeight="1">
      <c r="A11" s="254"/>
      <c r="B11" s="254"/>
      <c r="C11" s="819" t="str">
        <f>IF('Names of Bidder'!D11=0, "", 'Names of Bidder'!D11)</f>
        <v/>
      </c>
      <c r="D11" s="819"/>
      <c r="E11" s="819"/>
      <c r="F11" s="819"/>
      <c r="G11" s="819"/>
      <c r="H11" s="254"/>
      <c r="I11" s="254"/>
      <c r="J11" s="362"/>
      <c r="K11" s="362"/>
      <c r="L11" s="362"/>
      <c r="M11" s="361" t="str">
        <f>'Sch-1'!K11</f>
        <v xml:space="preserve">Sector-29, </v>
      </c>
      <c r="N11" s="242"/>
      <c r="O11" s="350"/>
      <c r="P11" s="350"/>
    </row>
    <row r="12" spans="1:31" ht="21" customHeight="1">
      <c r="A12" s="254"/>
      <c r="B12" s="254"/>
      <c r="C12" s="819" t="str">
        <f>IF('Names of Bidder'!D12=0, "", 'Names of Bidder'!D12)</f>
        <v/>
      </c>
      <c r="D12" s="819"/>
      <c r="E12" s="819"/>
      <c r="F12" s="819"/>
      <c r="G12" s="819"/>
      <c r="H12" s="254"/>
      <c r="I12" s="254"/>
      <c r="J12" s="362"/>
      <c r="K12" s="362"/>
      <c r="L12" s="362"/>
      <c r="M12" s="361" t="str">
        <f>'Sch-1'!K12</f>
        <v>Gurgaon (Haryana) - 122001</v>
      </c>
      <c r="N12" s="242"/>
      <c r="O12" s="350"/>
      <c r="P12" s="350"/>
    </row>
    <row r="13" spans="1:31">
      <c r="A13" s="363"/>
      <c r="B13" s="363"/>
      <c r="C13" s="363"/>
      <c r="D13" s="363"/>
      <c r="E13" s="363"/>
      <c r="F13" s="364"/>
      <c r="G13" s="364"/>
      <c r="H13" s="364"/>
      <c r="I13" s="364"/>
      <c r="J13" s="364"/>
      <c r="K13" s="364"/>
      <c r="L13" s="362"/>
      <c r="M13" s="251"/>
      <c r="N13" s="254"/>
      <c r="O13" s="361"/>
      <c r="P13" s="350"/>
    </row>
    <row r="14" spans="1:31" ht="24.75" customHeight="1">
      <c r="A14" s="841" t="s">
        <v>19</v>
      </c>
      <c r="B14" s="841"/>
      <c r="C14" s="841"/>
      <c r="D14" s="841"/>
      <c r="E14" s="841"/>
      <c r="F14" s="841"/>
      <c r="G14" s="841"/>
      <c r="H14" s="841"/>
      <c r="I14" s="841"/>
      <c r="J14" s="841"/>
      <c r="K14" s="841"/>
      <c r="L14" s="841"/>
      <c r="M14" s="841"/>
      <c r="N14" s="841"/>
      <c r="O14" s="841"/>
      <c r="P14" s="841"/>
    </row>
    <row r="15" spans="1:31" s="374" customFormat="1" ht="125.25" customHeight="1">
      <c r="A15" s="365" t="s">
        <v>7</v>
      </c>
      <c r="B15" s="366" t="s">
        <v>262</v>
      </c>
      <c r="C15" s="366" t="s">
        <v>274</v>
      </c>
      <c r="D15" s="366" t="s">
        <v>273</v>
      </c>
      <c r="E15" s="366" t="s">
        <v>275</v>
      </c>
      <c r="F15" s="366" t="s">
        <v>276</v>
      </c>
      <c r="G15" s="365" t="s">
        <v>23</v>
      </c>
      <c r="H15" s="367" t="s">
        <v>317</v>
      </c>
      <c r="I15" s="368" t="s">
        <v>488</v>
      </c>
      <c r="J15" s="368" t="s">
        <v>308</v>
      </c>
      <c r="K15" s="368" t="s">
        <v>489</v>
      </c>
      <c r="L15" s="369" t="s">
        <v>14</v>
      </c>
      <c r="M15" s="370" t="s">
        <v>9</v>
      </c>
      <c r="N15" s="370" t="s">
        <v>15</v>
      </c>
      <c r="O15" s="369" t="s">
        <v>21</v>
      </c>
      <c r="P15" s="369" t="s">
        <v>22</v>
      </c>
      <c r="Q15" s="371"/>
      <c r="R15" s="372" t="s">
        <v>341</v>
      </c>
      <c r="S15" s="373" t="s">
        <v>342</v>
      </c>
      <c r="T15" s="372" t="s">
        <v>339</v>
      </c>
      <c r="U15" s="372" t="s">
        <v>340</v>
      </c>
      <c r="V15" s="371"/>
      <c r="W15" s="371"/>
      <c r="X15" s="371"/>
      <c r="Y15" s="371"/>
      <c r="Z15" s="371"/>
      <c r="AA15" s="371"/>
      <c r="AB15" s="371"/>
      <c r="AC15" s="371"/>
      <c r="AD15" s="371"/>
      <c r="AE15" s="371"/>
    </row>
    <row r="16" spans="1:31" s="374" customFormat="1">
      <c r="A16" s="260">
        <v>1</v>
      </c>
      <c r="B16" s="260">
        <v>2</v>
      </c>
      <c r="C16" s="260">
        <v>3</v>
      </c>
      <c r="D16" s="260">
        <v>4</v>
      </c>
      <c r="E16" s="260">
        <v>5</v>
      </c>
      <c r="F16" s="257">
        <v>6</v>
      </c>
      <c r="G16" s="257">
        <v>7</v>
      </c>
      <c r="H16" s="367">
        <v>8</v>
      </c>
      <c r="I16" s="367">
        <v>9</v>
      </c>
      <c r="J16" s="367">
        <v>10</v>
      </c>
      <c r="K16" s="367">
        <v>11</v>
      </c>
      <c r="L16" s="257">
        <v>12</v>
      </c>
      <c r="M16" s="260">
        <v>13</v>
      </c>
      <c r="N16" s="260">
        <v>14</v>
      </c>
      <c r="O16" s="260">
        <v>15</v>
      </c>
      <c r="P16" s="260" t="s">
        <v>318</v>
      </c>
      <c r="Q16" s="371"/>
      <c r="V16" s="371"/>
      <c r="W16" s="371"/>
      <c r="X16" s="371"/>
      <c r="Y16" s="371"/>
      <c r="Z16" s="371"/>
      <c r="AA16" s="371"/>
      <c r="AB16" s="371"/>
      <c r="AC16" s="371"/>
      <c r="AD16" s="371"/>
      <c r="AE16" s="371"/>
    </row>
    <row r="17" spans="1:31" s="379" customFormat="1" ht="18">
      <c r="A17" s="375" t="s">
        <v>52</v>
      </c>
      <c r="B17" s="267" t="s">
        <v>770</v>
      </c>
      <c r="C17" s="375"/>
      <c r="D17" s="375"/>
      <c r="E17" s="375"/>
      <c r="F17" s="376"/>
      <c r="G17" s="376"/>
      <c r="H17" s="377"/>
      <c r="I17" s="377"/>
      <c r="J17" s="377"/>
      <c r="K17" s="377"/>
      <c r="L17" s="376"/>
      <c r="M17" s="375"/>
      <c r="N17" s="375"/>
      <c r="O17" s="375"/>
      <c r="P17" s="375"/>
      <c r="Q17" s="378"/>
      <c r="V17" s="378"/>
      <c r="W17" s="378"/>
      <c r="X17" s="378"/>
      <c r="Y17" s="378"/>
      <c r="Z17" s="378"/>
      <c r="AA17" s="378"/>
      <c r="AB17" s="378"/>
      <c r="AC17" s="378"/>
      <c r="AD17" s="378"/>
      <c r="AE17" s="378"/>
    </row>
    <row r="18" spans="1:31" ht="31.2">
      <c r="A18" s="380">
        <v>1</v>
      </c>
      <c r="B18" s="286">
        <v>7000026628</v>
      </c>
      <c r="C18" s="286">
        <v>1380</v>
      </c>
      <c r="D18" s="286">
        <v>190</v>
      </c>
      <c r="E18" s="286">
        <v>10</v>
      </c>
      <c r="F18" s="286" t="s">
        <v>771</v>
      </c>
      <c r="G18" s="286">
        <v>100003557</v>
      </c>
      <c r="H18" s="286">
        <v>998736</v>
      </c>
      <c r="I18" s="381"/>
      <c r="J18" s="275">
        <v>18</v>
      </c>
      <c r="K18" s="382"/>
      <c r="L18" s="287" t="s">
        <v>679</v>
      </c>
      <c r="M18" s="286" t="s">
        <v>297</v>
      </c>
      <c r="N18" s="286">
        <v>2</v>
      </c>
      <c r="O18" s="279"/>
      <c r="P18" s="383" t="str">
        <f t="shared" ref="P18:P81" si="0">IF(O18=0, "INCLUDED", IF(ISERROR(N18*O18), O18, N18*O18))</f>
        <v>INCLUDED</v>
      </c>
      <c r="Q18" s="299">
        <f t="shared" ref="Q18:Q81" si="1">IF(P18="Included",0,P18)</f>
        <v>0</v>
      </c>
      <c r="R18" s="384">
        <f>IF( K18="",J18*(IF(P18="Included",0,P18))/100,K18*(IF(P18="Included",0,P18)))</f>
        <v>0</v>
      </c>
      <c r="S18" s="385">
        <f>Discount!$J$36</f>
        <v>0</v>
      </c>
      <c r="T18" s="384">
        <f>S18*Q18</f>
        <v>0</v>
      </c>
      <c r="U18" s="386">
        <f>IF(K18="",J18*T18/100,K18*T18)</f>
        <v>0</v>
      </c>
      <c r="V18" s="387">
        <f>O18*N18</f>
        <v>0</v>
      </c>
      <c r="W18" s="388"/>
      <c r="X18" s="388"/>
      <c r="Y18" s="388"/>
      <c r="Z18" s="388"/>
      <c r="AA18" s="388"/>
    </row>
    <row r="19" spans="1:31" ht="31.2">
      <c r="A19" s="380">
        <v>2</v>
      </c>
      <c r="B19" s="286">
        <v>7000026628</v>
      </c>
      <c r="C19" s="286">
        <v>1380</v>
      </c>
      <c r="D19" s="286">
        <v>190</v>
      </c>
      <c r="E19" s="286">
        <v>20</v>
      </c>
      <c r="F19" s="286" t="s">
        <v>771</v>
      </c>
      <c r="G19" s="286">
        <v>100001826</v>
      </c>
      <c r="H19" s="286">
        <v>998736</v>
      </c>
      <c r="I19" s="381"/>
      <c r="J19" s="275">
        <v>18</v>
      </c>
      <c r="K19" s="382"/>
      <c r="L19" s="287" t="s">
        <v>676</v>
      </c>
      <c r="M19" s="286" t="s">
        <v>297</v>
      </c>
      <c r="N19" s="286">
        <v>1</v>
      </c>
      <c r="O19" s="279"/>
      <c r="P19" s="383" t="str">
        <f t="shared" si="0"/>
        <v>INCLUDED</v>
      </c>
      <c r="Q19" s="299">
        <f t="shared" si="1"/>
        <v>0</v>
      </c>
      <c r="R19" s="384">
        <f t="shared" ref="R19:R85" si="2">IF( K19="",J19*(IF(P19="Included",0,P19))/100,K19*(IF(P19="Included",0,P19)))</f>
        <v>0</v>
      </c>
      <c r="S19" s="385">
        <f>Discount!$J$36</f>
        <v>0</v>
      </c>
      <c r="T19" s="384">
        <f t="shared" ref="T19:T85" si="3">S19*Q19</f>
        <v>0</v>
      </c>
      <c r="U19" s="386">
        <f t="shared" ref="U19:U85" si="4">IF(K19="",J19*T19/100,K19*T19)</f>
        <v>0</v>
      </c>
      <c r="V19" s="387">
        <f t="shared" ref="V19:V85" si="5">O19*N19</f>
        <v>0</v>
      </c>
      <c r="W19" s="388"/>
      <c r="X19" s="388"/>
      <c r="Y19" s="388"/>
      <c r="Z19" s="388"/>
      <c r="AA19" s="388"/>
    </row>
    <row r="20" spans="1:31" ht="31.2">
      <c r="A20" s="380">
        <v>3</v>
      </c>
      <c r="B20" s="286">
        <v>7000026628</v>
      </c>
      <c r="C20" s="286">
        <v>1380</v>
      </c>
      <c r="D20" s="286">
        <v>190</v>
      </c>
      <c r="E20" s="286">
        <v>30</v>
      </c>
      <c r="F20" s="286" t="s">
        <v>771</v>
      </c>
      <c r="G20" s="286">
        <v>100002392</v>
      </c>
      <c r="H20" s="286">
        <v>998736</v>
      </c>
      <c r="I20" s="381"/>
      <c r="J20" s="275">
        <v>18</v>
      </c>
      <c r="K20" s="382"/>
      <c r="L20" s="287" t="s">
        <v>678</v>
      </c>
      <c r="M20" s="286" t="s">
        <v>296</v>
      </c>
      <c r="N20" s="286">
        <v>3</v>
      </c>
      <c r="O20" s="279"/>
      <c r="P20" s="383" t="str">
        <f t="shared" si="0"/>
        <v>INCLUDED</v>
      </c>
      <c r="Q20" s="299">
        <f t="shared" si="1"/>
        <v>0</v>
      </c>
      <c r="R20" s="384">
        <f t="shared" si="2"/>
        <v>0</v>
      </c>
      <c r="S20" s="385">
        <f>Discount!$J$36</f>
        <v>0</v>
      </c>
      <c r="T20" s="384">
        <f t="shared" si="3"/>
        <v>0</v>
      </c>
      <c r="U20" s="386">
        <f t="shared" si="4"/>
        <v>0</v>
      </c>
      <c r="V20" s="387">
        <f t="shared" si="5"/>
        <v>0</v>
      </c>
      <c r="W20" s="388"/>
      <c r="X20" s="388"/>
      <c r="Y20" s="388"/>
      <c r="Z20" s="388"/>
      <c r="AA20" s="388"/>
    </row>
    <row r="21" spans="1:31" ht="31.2">
      <c r="A21" s="380">
        <v>4</v>
      </c>
      <c r="B21" s="286">
        <v>7000026628</v>
      </c>
      <c r="C21" s="286">
        <v>1380</v>
      </c>
      <c r="D21" s="286">
        <v>190</v>
      </c>
      <c r="E21" s="286">
        <v>40</v>
      </c>
      <c r="F21" s="286" t="s">
        <v>771</v>
      </c>
      <c r="G21" s="286">
        <v>100002140</v>
      </c>
      <c r="H21" s="286">
        <v>998736</v>
      </c>
      <c r="I21" s="381"/>
      <c r="J21" s="275">
        <v>18</v>
      </c>
      <c r="K21" s="382"/>
      <c r="L21" s="287" t="s">
        <v>677</v>
      </c>
      <c r="M21" s="286" t="s">
        <v>469</v>
      </c>
      <c r="N21" s="286">
        <v>275</v>
      </c>
      <c r="O21" s="279"/>
      <c r="P21" s="383" t="str">
        <f t="shared" si="0"/>
        <v>INCLUDED</v>
      </c>
      <c r="Q21" s="299">
        <f t="shared" si="1"/>
        <v>0</v>
      </c>
      <c r="R21" s="384">
        <f t="shared" si="2"/>
        <v>0</v>
      </c>
      <c r="S21" s="385">
        <f>Discount!$J$36</f>
        <v>0</v>
      </c>
      <c r="T21" s="384">
        <f t="shared" si="3"/>
        <v>0</v>
      </c>
      <c r="U21" s="386">
        <f t="shared" si="4"/>
        <v>0</v>
      </c>
      <c r="V21" s="387">
        <f t="shared" si="5"/>
        <v>0</v>
      </c>
      <c r="W21" s="388"/>
      <c r="X21" s="388"/>
      <c r="Y21" s="388"/>
      <c r="Z21" s="388"/>
      <c r="AA21" s="388"/>
    </row>
    <row r="22" spans="1:31" ht="31.2">
      <c r="A22" s="380">
        <v>5</v>
      </c>
      <c r="B22" s="286">
        <v>7000026628</v>
      </c>
      <c r="C22" s="286">
        <v>1390</v>
      </c>
      <c r="D22" s="286">
        <v>200</v>
      </c>
      <c r="E22" s="286">
        <v>10</v>
      </c>
      <c r="F22" s="286" t="s">
        <v>772</v>
      </c>
      <c r="G22" s="286">
        <v>100003578</v>
      </c>
      <c r="H22" s="286">
        <v>998736</v>
      </c>
      <c r="I22" s="381"/>
      <c r="J22" s="275">
        <v>18</v>
      </c>
      <c r="K22" s="382"/>
      <c r="L22" s="287" t="s">
        <v>786</v>
      </c>
      <c r="M22" s="286" t="s">
        <v>297</v>
      </c>
      <c r="N22" s="286">
        <v>2</v>
      </c>
      <c r="O22" s="279"/>
      <c r="P22" s="383" t="str">
        <f t="shared" si="0"/>
        <v>INCLUDED</v>
      </c>
      <c r="Q22" s="299">
        <f t="shared" si="1"/>
        <v>0</v>
      </c>
      <c r="R22" s="384">
        <f t="shared" si="2"/>
        <v>0</v>
      </c>
      <c r="S22" s="385">
        <f>Discount!$J$36</f>
        <v>0</v>
      </c>
      <c r="T22" s="384">
        <f t="shared" si="3"/>
        <v>0</v>
      </c>
      <c r="U22" s="386">
        <f t="shared" si="4"/>
        <v>0</v>
      </c>
      <c r="V22" s="387">
        <f t="shared" si="5"/>
        <v>0</v>
      </c>
      <c r="W22" s="388"/>
      <c r="X22" s="388"/>
      <c r="Y22" s="388"/>
      <c r="Z22" s="388"/>
      <c r="AA22" s="388"/>
    </row>
    <row r="23" spans="1:31" ht="31.2">
      <c r="A23" s="380">
        <v>6</v>
      </c>
      <c r="B23" s="286">
        <v>7000026628</v>
      </c>
      <c r="C23" s="286">
        <v>1390</v>
      </c>
      <c r="D23" s="286">
        <v>200</v>
      </c>
      <c r="E23" s="286">
        <v>20</v>
      </c>
      <c r="F23" s="286" t="s">
        <v>772</v>
      </c>
      <c r="G23" s="286">
        <v>100000367</v>
      </c>
      <c r="H23" s="286">
        <v>998736</v>
      </c>
      <c r="I23" s="381"/>
      <c r="J23" s="275">
        <v>18</v>
      </c>
      <c r="K23" s="382"/>
      <c r="L23" s="287" t="s">
        <v>787</v>
      </c>
      <c r="M23" s="286" t="s">
        <v>297</v>
      </c>
      <c r="N23" s="286">
        <v>1</v>
      </c>
      <c r="O23" s="279"/>
      <c r="P23" s="383" t="str">
        <f t="shared" si="0"/>
        <v>INCLUDED</v>
      </c>
      <c r="Q23" s="299">
        <f t="shared" si="1"/>
        <v>0</v>
      </c>
      <c r="R23" s="384">
        <f t="shared" si="2"/>
        <v>0</v>
      </c>
      <c r="S23" s="385">
        <f>Discount!$J$36</f>
        <v>0</v>
      </c>
      <c r="T23" s="384">
        <f t="shared" si="3"/>
        <v>0</v>
      </c>
      <c r="U23" s="386">
        <f t="shared" si="4"/>
        <v>0</v>
      </c>
      <c r="V23" s="387">
        <f t="shared" si="5"/>
        <v>0</v>
      </c>
      <c r="W23" s="388"/>
      <c r="X23" s="388"/>
      <c r="Y23" s="388"/>
      <c r="Z23" s="388"/>
      <c r="AA23" s="388"/>
    </row>
    <row r="24" spans="1:31" ht="31.2">
      <c r="A24" s="380">
        <v>7</v>
      </c>
      <c r="B24" s="286">
        <v>7000026628</v>
      </c>
      <c r="C24" s="286">
        <v>1390</v>
      </c>
      <c r="D24" s="286">
        <v>200</v>
      </c>
      <c r="E24" s="286">
        <v>30</v>
      </c>
      <c r="F24" s="286" t="s">
        <v>772</v>
      </c>
      <c r="G24" s="286">
        <v>100002390</v>
      </c>
      <c r="H24" s="286">
        <v>998736</v>
      </c>
      <c r="I24" s="381"/>
      <c r="J24" s="275">
        <v>18</v>
      </c>
      <c r="K24" s="382"/>
      <c r="L24" s="287" t="s">
        <v>691</v>
      </c>
      <c r="M24" s="286" t="s">
        <v>296</v>
      </c>
      <c r="N24" s="286">
        <v>3</v>
      </c>
      <c r="O24" s="279"/>
      <c r="P24" s="383" t="str">
        <f t="shared" si="0"/>
        <v>INCLUDED</v>
      </c>
      <c r="Q24" s="299">
        <f t="shared" si="1"/>
        <v>0</v>
      </c>
      <c r="R24" s="384">
        <f t="shared" si="2"/>
        <v>0</v>
      </c>
      <c r="S24" s="385">
        <f>Discount!$J$36</f>
        <v>0</v>
      </c>
      <c r="T24" s="384">
        <f t="shared" si="3"/>
        <v>0</v>
      </c>
      <c r="U24" s="386">
        <f t="shared" si="4"/>
        <v>0</v>
      </c>
      <c r="V24" s="387">
        <f t="shared" si="5"/>
        <v>0</v>
      </c>
      <c r="W24" s="388"/>
      <c r="X24" s="388"/>
      <c r="Y24" s="388"/>
      <c r="Z24" s="388"/>
      <c r="AA24" s="388"/>
    </row>
    <row r="25" spans="1:31" ht="46.8">
      <c r="A25" s="380">
        <v>8</v>
      </c>
      <c r="B25" s="286">
        <v>7000026628</v>
      </c>
      <c r="C25" s="286">
        <v>1390</v>
      </c>
      <c r="D25" s="286">
        <v>200</v>
      </c>
      <c r="E25" s="286">
        <v>40</v>
      </c>
      <c r="F25" s="286" t="s">
        <v>772</v>
      </c>
      <c r="G25" s="286">
        <v>100002153</v>
      </c>
      <c r="H25" s="286">
        <v>998736</v>
      </c>
      <c r="I25" s="381"/>
      <c r="J25" s="275">
        <v>18</v>
      </c>
      <c r="K25" s="382"/>
      <c r="L25" s="287" t="s">
        <v>692</v>
      </c>
      <c r="M25" s="286" t="s">
        <v>469</v>
      </c>
      <c r="N25" s="286">
        <v>60</v>
      </c>
      <c r="O25" s="279"/>
      <c r="P25" s="383" t="str">
        <f t="shared" si="0"/>
        <v>INCLUDED</v>
      </c>
      <c r="Q25" s="299">
        <f t="shared" si="1"/>
        <v>0</v>
      </c>
      <c r="R25" s="384">
        <f t="shared" si="2"/>
        <v>0</v>
      </c>
      <c r="S25" s="385">
        <f>Discount!$J$36</f>
        <v>0</v>
      </c>
      <c r="T25" s="384">
        <f t="shared" si="3"/>
        <v>0</v>
      </c>
      <c r="U25" s="386">
        <f t="shared" si="4"/>
        <v>0</v>
      </c>
      <c r="V25" s="387">
        <f t="shared" si="5"/>
        <v>0</v>
      </c>
      <c r="W25" s="388"/>
      <c r="X25" s="388"/>
      <c r="Y25" s="388"/>
      <c r="Z25" s="388"/>
      <c r="AA25" s="388"/>
    </row>
    <row r="26" spans="1:31" ht="31.2">
      <c r="A26" s="380">
        <v>9</v>
      </c>
      <c r="B26" s="286">
        <v>7000026628</v>
      </c>
      <c r="C26" s="286">
        <v>1400</v>
      </c>
      <c r="D26" s="286">
        <v>210</v>
      </c>
      <c r="E26" s="286">
        <v>10</v>
      </c>
      <c r="F26" s="286" t="s">
        <v>773</v>
      </c>
      <c r="G26" s="286">
        <v>100000328</v>
      </c>
      <c r="H26" s="286">
        <v>998736</v>
      </c>
      <c r="I26" s="381"/>
      <c r="J26" s="275">
        <v>18</v>
      </c>
      <c r="K26" s="382"/>
      <c r="L26" s="287" t="s">
        <v>501</v>
      </c>
      <c r="M26" s="286" t="s">
        <v>296</v>
      </c>
      <c r="N26" s="286">
        <v>3</v>
      </c>
      <c r="O26" s="279"/>
      <c r="P26" s="383" t="str">
        <f t="shared" si="0"/>
        <v>INCLUDED</v>
      </c>
      <c r="Q26" s="299">
        <f t="shared" si="1"/>
        <v>0</v>
      </c>
      <c r="R26" s="384">
        <f t="shared" si="2"/>
        <v>0</v>
      </c>
      <c r="S26" s="385">
        <f>Discount!$J$36</f>
        <v>0</v>
      </c>
      <c r="T26" s="384">
        <f t="shared" si="3"/>
        <v>0</v>
      </c>
      <c r="U26" s="386">
        <f t="shared" si="4"/>
        <v>0</v>
      </c>
      <c r="V26" s="387">
        <f t="shared" si="5"/>
        <v>0</v>
      </c>
      <c r="W26" s="388"/>
      <c r="X26" s="388"/>
      <c r="Y26" s="388"/>
      <c r="Z26" s="388"/>
      <c r="AA26" s="388"/>
    </row>
    <row r="27" spans="1:31" ht="31.2">
      <c r="A27" s="380">
        <v>10</v>
      </c>
      <c r="B27" s="286">
        <v>7000026628</v>
      </c>
      <c r="C27" s="286">
        <v>1400</v>
      </c>
      <c r="D27" s="286">
        <v>210</v>
      </c>
      <c r="E27" s="286">
        <v>20</v>
      </c>
      <c r="F27" s="286" t="s">
        <v>773</v>
      </c>
      <c r="G27" s="286">
        <v>100000340</v>
      </c>
      <c r="H27" s="286">
        <v>998736</v>
      </c>
      <c r="I27" s="381"/>
      <c r="J27" s="275">
        <v>18</v>
      </c>
      <c r="K27" s="382"/>
      <c r="L27" s="287" t="s">
        <v>675</v>
      </c>
      <c r="M27" s="286" t="s">
        <v>296</v>
      </c>
      <c r="N27" s="286">
        <v>3</v>
      </c>
      <c r="O27" s="279"/>
      <c r="P27" s="383" t="str">
        <f t="shared" si="0"/>
        <v>INCLUDED</v>
      </c>
      <c r="Q27" s="299">
        <f t="shared" si="1"/>
        <v>0</v>
      </c>
      <c r="R27" s="384">
        <f t="shared" si="2"/>
        <v>0</v>
      </c>
      <c r="S27" s="385">
        <f>Discount!$J$36</f>
        <v>0</v>
      </c>
      <c r="T27" s="384">
        <f t="shared" si="3"/>
        <v>0</v>
      </c>
      <c r="U27" s="386">
        <f t="shared" si="4"/>
        <v>0</v>
      </c>
      <c r="V27" s="387">
        <f t="shared" si="5"/>
        <v>0</v>
      </c>
      <c r="W27" s="388"/>
      <c r="X27" s="388"/>
      <c r="Y27" s="388"/>
      <c r="Z27" s="388"/>
      <c r="AA27" s="388"/>
    </row>
    <row r="28" spans="1:31" ht="31.2">
      <c r="A28" s="380">
        <v>11</v>
      </c>
      <c r="B28" s="286">
        <v>7000026628</v>
      </c>
      <c r="C28" s="286">
        <v>1410</v>
      </c>
      <c r="D28" s="286">
        <v>220</v>
      </c>
      <c r="E28" s="286">
        <v>10</v>
      </c>
      <c r="F28" s="286" t="s">
        <v>774</v>
      </c>
      <c r="G28" s="286">
        <v>100000484</v>
      </c>
      <c r="H28" s="286">
        <v>998736</v>
      </c>
      <c r="I28" s="381"/>
      <c r="J28" s="275">
        <v>18</v>
      </c>
      <c r="K28" s="382"/>
      <c r="L28" s="287" t="s">
        <v>554</v>
      </c>
      <c r="M28" s="286" t="s">
        <v>296</v>
      </c>
      <c r="N28" s="286">
        <v>3</v>
      </c>
      <c r="O28" s="279"/>
      <c r="P28" s="383" t="str">
        <f t="shared" si="0"/>
        <v>INCLUDED</v>
      </c>
      <c r="Q28" s="299">
        <f t="shared" si="1"/>
        <v>0</v>
      </c>
      <c r="R28" s="384">
        <f t="shared" si="2"/>
        <v>0</v>
      </c>
      <c r="S28" s="385">
        <f>Discount!$J$36</f>
        <v>0</v>
      </c>
      <c r="T28" s="384">
        <f t="shared" si="3"/>
        <v>0</v>
      </c>
      <c r="U28" s="386">
        <f t="shared" si="4"/>
        <v>0</v>
      </c>
      <c r="V28" s="387">
        <f t="shared" si="5"/>
        <v>0</v>
      </c>
      <c r="W28" s="388"/>
      <c r="X28" s="388"/>
      <c r="Y28" s="388"/>
      <c r="Z28" s="388"/>
      <c r="AA28" s="388"/>
    </row>
    <row r="29" spans="1:31" ht="31.2">
      <c r="A29" s="380">
        <v>12</v>
      </c>
      <c r="B29" s="286">
        <v>7000026628</v>
      </c>
      <c r="C29" s="286">
        <v>1420</v>
      </c>
      <c r="D29" s="286">
        <v>230</v>
      </c>
      <c r="E29" s="286">
        <v>10</v>
      </c>
      <c r="F29" s="286" t="s">
        <v>775</v>
      </c>
      <c r="G29" s="286">
        <v>100016779</v>
      </c>
      <c r="H29" s="286">
        <v>998736</v>
      </c>
      <c r="I29" s="381"/>
      <c r="J29" s="275">
        <v>18</v>
      </c>
      <c r="K29" s="382"/>
      <c r="L29" s="287" t="s">
        <v>689</v>
      </c>
      <c r="M29" s="286" t="s">
        <v>296</v>
      </c>
      <c r="N29" s="286">
        <v>1</v>
      </c>
      <c r="O29" s="279"/>
      <c r="P29" s="383" t="str">
        <f t="shared" si="0"/>
        <v>INCLUDED</v>
      </c>
      <c r="Q29" s="299">
        <f t="shared" si="1"/>
        <v>0</v>
      </c>
      <c r="R29" s="384">
        <f t="shared" si="2"/>
        <v>0</v>
      </c>
      <c r="S29" s="385">
        <f>Discount!$J$36</f>
        <v>0</v>
      </c>
      <c r="T29" s="384">
        <f t="shared" si="3"/>
        <v>0</v>
      </c>
      <c r="U29" s="386">
        <f t="shared" si="4"/>
        <v>0</v>
      </c>
      <c r="V29" s="387">
        <f t="shared" si="5"/>
        <v>0</v>
      </c>
      <c r="W29" s="388"/>
      <c r="X29" s="388"/>
      <c r="Y29" s="388"/>
      <c r="Z29" s="388"/>
      <c r="AA29" s="388"/>
    </row>
    <row r="30" spans="1:31" ht="31.2">
      <c r="A30" s="380">
        <v>13</v>
      </c>
      <c r="B30" s="286">
        <v>7000026628</v>
      </c>
      <c r="C30" s="286">
        <v>1420</v>
      </c>
      <c r="D30" s="286">
        <v>230</v>
      </c>
      <c r="E30" s="286">
        <v>20</v>
      </c>
      <c r="F30" s="286" t="s">
        <v>775</v>
      </c>
      <c r="G30" s="286">
        <v>100016778</v>
      </c>
      <c r="H30" s="286">
        <v>998736</v>
      </c>
      <c r="I30" s="381"/>
      <c r="J30" s="275">
        <v>18</v>
      </c>
      <c r="K30" s="382"/>
      <c r="L30" s="287" t="s">
        <v>788</v>
      </c>
      <c r="M30" s="286" t="s">
        <v>296</v>
      </c>
      <c r="N30" s="286">
        <v>1</v>
      </c>
      <c r="O30" s="279"/>
      <c r="P30" s="383" t="str">
        <f t="shared" si="0"/>
        <v>INCLUDED</v>
      </c>
      <c r="Q30" s="299">
        <f t="shared" si="1"/>
        <v>0</v>
      </c>
      <c r="R30" s="384">
        <f t="shared" si="2"/>
        <v>0</v>
      </c>
      <c r="S30" s="385">
        <f>Discount!$J$36</f>
        <v>0</v>
      </c>
      <c r="T30" s="384">
        <f t="shared" si="3"/>
        <v>0</v>
      </c>
      <c r="U30" s="386">
        <f t="shared" si="4"/>
        <v>0</v>
      </c>
      <c r="V30" s="387">
        <f t="shared" si="5"/>
        <v>0</v>
      </c>
      <c r="W30" s="388"/>
      <c r="X30" s="388"/>
      <c r="Y30" s="388"/>
      <c r="Z30" s="388"/>
      <c r="AA30" s="388"/>
    </row>
    <row r="31" spans="1:31" ht="31.2">
      <c r="A31" s="380">
        <v>14</v>
      </c>
      <c r="B31" s="286">
        <v>7000026628</v>
      </c>
      <c r="C31" s="286">
        <v>1420</v>
      </c>
      <c r="D31" s="286">
        <v>230</v>
      </c>
      <c r="E31" s="286">
        <v>30</v>
      </c>
      <c r="F31" s="286" t="s">
        <v>775</v>
      </c>
      <c r="G31" s="286">
        <v>100000731</v>
      </c>
      <c r="H31" s="286">
        <v>998736</v>
      </c>
      <c r="I31" s="381"/>
      <c r="J31" s="275">
        <v>18</v>
      </c>
      <c r="K31" s="382"/>
      <c r="L31" s="287" t="s">
        <v>789</v>
      </c>
      <c r="M31" s="286" t="s">
        <v>296</v>
      </c>
      <c r="N31" s="286">
        <v>1</v>
      </c>
      <c r="O31" s="279"/>
      <c r="P31" s="383" t="str">
        <f t="shared" si="0"/>
        <v>INCLUDED</v>
      </c>
      <c r="Q31" s="299">
        <f t="shared" si="1"/>
        <v>0</v>
      </c>
      <c r="R31" s="384">
        <f t="shared" si="2"/>
        <v>0</v>
      </c>
      <c r="S31" s="385">
        <f>Discount!$J$36</f>
        <v>0</v>
      </c>
      <c r="T31" s="384">
        <f t="shared" si="3"/>
        <v>0</v>
      </c>
      <c r="U31" s="386">
        <f t="shared" si="4"/>
        <v>0</v>
      </c>
      <c r="V31" s="387">
        <f t="shared" si="5"/>
        <v>0</v>
      </c>
      <c r="W31" s="388"/>
      <c r="X31" s="388"/>
      <c r="Y31" s="388"/>
      <c r="Z31" s="388"/>
      <c r="AA31" s="388"/>
    </row>
    <row r="32" spans="1:31" ht="31.2">
      <c r="A32" s="380">
        <v>15</v>
      </c>
      <c r="B32" s="286">
        <v>7000026628</v>
      </c>
      <c r="C32" s="286">
        <v>1420</v>
      </c>
      <c r="D32" s="286">
        <v>230</v>
      </c>
      <c r="E32" s="286">
        <v>40</v>
      </c>
      <c r="F32" s="286" t="s">
        <v>775</v>
      </c>
      <c r="G32" s="286">
        <v>100000735</v>
      </c>
      <c r="H32" s="286">
        <v>998736</v>
      </c>
      <c r="I32" s="381"/>
      <c r="J32" s="275">
        <v>18</v>
      </c>
      <c r="K32" s="382"/>
      <c r="L32" s="287" t="s">
        <v>686</v>
      </c>
      <c r="M32" s="286" t="s">
        <v>297</v>
      </c>
      <c r="N32" s="286">
        <v>1</v>
      </c>
      <c r="O32" s="279"/>
      <c r="P32" s="383" t="str">
        <f t="shared" si="0"/>
        <v>INCLUDED</v>
      </c>
      <c r="Q32" s="299">
        <f t="shared" si="1"/>
        <v>0</v>
      </c>
      <c r="R32" s="384">
        <f t="shared" si="2"/>
        <v>0</v>
      </c>
      <c r="S32" s="385">
        <f>Discount!$J$36</f>
        <v>0</v>
      </c>
      <c r="T32" s="384">
        <f t="shared" si="3"/>
        <v>0</v>
      </c>
      <c r="U32" s="386">
        <f t="shared" si="4"/>
        <v>0</v>
      </c>
      <c r="V32" s="387">
        <f t="shared" si="5"/>
        <v>0</v>
      </c>
      <c r="W32" s="388"/>
      <c r="X32" s="388"/>
      <c r="Y32" s="388"/>
      <c r="Z32" s="388"/>
      <c r="AA32" s="388"/>
    </row>
    <row r="33" spans="1:27" ht="31.2">
      <c r="A33" s="380">
        <v>16</v>
      </c>
      <c r="B33" s="286">
        <v>7000026628</v>
      </c>
      <c r="C33" s="286">
        <v>1420</v>
      </c>
      <c r="D33" s="286">
        <v>230</v>
      </c>
      <c r="E33" s="286">
        <v>50</v>
      </c>
      <c r="F33" s="286" t="s">
        <v>775</v>
      </c>
      <c r="G33" s="286">
        <v>100000743</v>
      </c>
      <c r="H33" s="286">
        <v>998736</v>
      </c>
      <c r="I33" s="381"/>
      <c r="J33" s="275">
        <v>18</v>
      </c>
      <c r="K33" s="382"/>
      <c r="L33" s="287" t="s">
        <v>693</v>
      </c>
      <c r="M33" s="286" t="s">
        <v>297</v>
      </c>
      <c r="N33" s="286">
        <v>1</v>
      </c>
      <c r="O33" s="279"/>
      <c r="P33" s="383" t="str">
        <f t="shared" si="0"/>
        <v>INCLUDED</v>
      </c>
      <c r="Q33" s="299">
        <f t="shared" si="1"/>
        <v>0</v>
      </c>
      <c r="R33" s="384">
        <f t="shared" si="2"/>
        <v>0</v>
      </c>
      <c r="S33" s="385">
        <f>Discount!$J$36</f>
        <v>0</v>
      </c>
      <c r="T33" s="384">
        <f t="shared" si="3"/>
        <v>0</v>
      </c>
      <c r="U33" s="386">
        <f t="shared" si="4"/>
        <v>0</v>
      </c>
      <c r="V33" s="387">
        <f t="shared" si="5"/>
        <v>0</v>
      </c>
      <c r="W33" s="388"/>
      <c r="X33" s="388"/>
      <c r="Y33" s="388"/>
      <c r="Z33" s="388"/>
      <c r="AA33" s="388"/>
    </row>
    <row r="34" spans="1:27" ht="31.2">
      <c r="A34" s="380">
        <v>17</v>
      </c>
      <c r="B34" s="286">
        <v>7000026628</v>
      </c>
      <c r="C34" s="286">
        <v>1430</v>
      </c>
      <c r="D34" s="286">
        <v>240</v>
      </c>
      <c r="E34" s="286">
        <v>10</v>
      </c>
      <c r="F34" s="286" t="s">
        <v>776</v>
      </c>
      <c r="G34" s="286">
        <v>100002069</v>
      </c>
      <c r="H34" s="286">
        <v>998736</v>
      </c>
      <c r="I34" s="381"/>
      <c r="J34" s="275">
        <v>18</v>
      </c>
      <c r="K34" s="382"/>
      <c r="L34" s="287" t="s">
        <v>680</v>
      </c>
      <c r="M34" s="286" t="s">
        <v>296</v>
      </c>
      <c r="N34" s="286">
        <v>1</v>
      </c>
      <c r="O34" s="279"/>
      <c r="P34" s="383" t="str">
        <f t="shared" si="0"/>
        <v>INCLUDED</v>
      </c>
      <c r="Q34" s="299">
        <f t="shared" si="1"/>
        <v>0</v>
      </c>
      <c r="R34" s="384">
        <f t="shared" si="2"/>
        <v>0</v>
      </c>
      <c r="S34" s="385">
        <f>Discount!$J$36</f>
        <v>0</v>
      </c>
      <c r="T34" s="384">
        <f t="shared" si="3"/>
        <v>0</v>
      </c>
      <c r="U34" s="386">
        <f t="shared" si="4"/>
        <v>0</v>
      </c>
      <c r="V34" s="387">
        <f t="shared" si="5"/>
        <v>0</v>
      </c>
      <c r="W34" s="388"/>
      <c r="X34" s="388"/>
      <c r="Y34" s="388"/>
      <c r="Z34" s="388"/>
      <c r="AA34" s="388"/>
    </row>
    <row r="35" spans="1:27" ht="31.2">
      <c r="A35" s="380">
        <v>18</v>
      </c>
      <c r="B35" s="286">
        <v>7000026628</v>
      </c>
      <c r="C35" s="286">
        <v>1430</v>
      </c>
      <c r="D35" s="286">
        <v>240</v>
      </c>
      <c r="E35" s="286">
        <v>20</v>
      </c>
      <c r="F35" s="286" t="s">
        <v>776</v>
      </c>
      <c r="G35" s="286">
        <v>100002070</v>
      </c>
      <c r="H35" s="286">
        <v>998736</v>
      </c>
      <c r="I35" s="381"/>
      <c r="J35" s="275">
        <v>18</v>
      </c>
      <c r="K35" s="382"/>
      <c r="L35" s="287" t="s">
        <v>694</v>
      </c>
      <c r="M35" s="286" t="s">
        <v>296</v>
      </c>
      <c r="N35" s="286">
        <v>1</v>
      </c>
      <c r="O35" s="279"/>
      <c r="P35" s="383" t="str">
        <f t="shared" si="0"/>
        <v>INCLUDED</v>
      </c>
      <c r="Q35" s="299">
        <f t="shared" si="1"/>
        <v>0</v>
      </c>
      <c r="R35" s="384">
        <f t="shared" si="2"/>
        <v>0</v>
      </c>
      <c r="S35" s="385">
        <f>Discount!$J$36</f>
        <v>0</v>
      </c>
      <c r="T35" s="384">
        <f t="shared" si="3"/>
        <v>0</v>
      </c>
      <c r="U35" s="386">
        <f t="shared" si="4"/>
        <v>0</v>
      </c>
      <c r="V35" s="387">
        <f t="shared" si="5"/>
        <v>0</v>
      </c>
      <c r="W35" s="388"/>
      <c r="X35" s="388"/>
      <c r="Y35" s="388"/>
      <c r="Z35" s="388"/>
      <c r="AA35" s="388"/>
    </row>
    <row r="36" spans="1:27" ht="31.2">
      <c r="A36" s="380">
        <v>19</v>
      </c>
      <c r="B36" s="286">
        <v>7000026628</v>
      </c>
      <c r="C36" s="286">
        <v>1440</v>
      </c>
      <c r="D36" s="286">
        <v>250</v>
      </c>
      <c r="E36" s="286">
        <v>10</v>
      </c>
      <c r="F36" s="286" t="s">
        <v>777</v>
      </c>
      <c r="G36" s="286">
        <v>100002162</v>
      </c>
      <c r="H36" s="286">
        <v>998731</v>
      </c>
      <c r="I36" s="381"/>
      <c r="J36" s="275">
        <v>18</v>
      </c>
      <c r="K36" s="382"/>
      <c r="L36" s="287" t="s">
        <v>790</v>
      </c>
      <c r="M36" s="286" t="s">
        <v>297</v>
      </c>
      <c r="N36" s="286">
        <v>1</v>
      </c>
      <c r="O36" s="279"/>
      <c r="P36" s="383" t="str">
        <f t="shared" si="0"/>
        <v>INCLUDED</v>
      </c>
      <c r="Q36" s="299">
        <f t="shared" si="1"/>
        <v>0</v>
      </c>
      <c r="R36" s="384">
        <f t="shared" si="2"/>
        <v>0</v>
      </c>
      <c r="S36" s="385">
        <f>Discount!$J$36</f>
        <v>0</v>
      </c>
      <c r="T36" s="384">
        <f t="shared" si="3"/>
        <v>0</v>
      </c>
      <c r="U36" s="386">
        <f t="shared" si="4"/>
        <v>0</v>
      </c>
      <c r="V36" s="387">
        <f t="shared" si="5"/>
        <v>0</v>
      </c>
      <c r="W36" s="388"/>
      <c r="X36" s="388"/>
      <c r="Y36" s="388"/>
      <c r="Z36" s="388"/>
      <c r="AA36" s="388"/>
    </row>
    <row r="37" spans="1:27" ht="31.2">
      <c r="A37" s="380">
        <v>20</v>
      </c>
      <c r="B37" s="286">
        <v>7000026628</v>
      </c>
      <c r="C37" s="286">
        <v>1440</v>
      </c>
      <c r="D37" s="286">
        <v>250</v>
      </c>
      <c r="E37" s="286">
        <v>20</v>
      </c>
      <c r="F37" s="286" t="s">
        <v>777</v>
      </c>
      <c r="G37" s="286">
        <v>100000513</v>
      </c>
      <c r="H37" s="286">
        <v>998731</v>
      </c>
      <c r="I37" s="381"/>
      <c r="J37" s="275">
        <v>18</v>
      </c>
      <c r="K37" s="382"/>
      <c r="L37" s="287" t="s">
        <v>791</v>
      </c>
      <c r="M37" s="286" t="s">
        <v>297</v>
      </c>
      <c r="N37" s="286">
        <v>1</v>
      </c>
      <c r="O37" s="279"/>
      <c r="P37" s="383" t="str">
        <f t="shared" si="0"/>
        <v>INCLUDED</v>
      </c>
      <c r="Q37" s="299">
        <f t="shared" si="1"/>
        <v>0</v>
      </c>
      <c r="R37" s="384">
        <f t="shared" si="2"/>
        <v>0</v>
      </c>
      <c r="S37" s="385">
        <f>Discount!$J$36</f>
        <v>0</v>
      </c>
      <c r="T37" s="384">
        <f t="shared" si="3"/>
        <v>0</v>
      </c>
      <c r="U37" s="386">
        <f t="shared" si="4"/>
        <v>0</v>
      </c>
      <c r="V37" s="387">
        <f t="shared" si="5"/>
        <v>0</v>
      </c>
      <c r="W37" s="388"/>
      <c r="X37" s="388"/>
      <c r="Y37" s="388"/>
      <c r="Z37" s="388"/>
      <c r="AA37" s="388"/>
    </row>
    <row r="38" spans="1:27" ht="31.2">
      <c r="A38" s="380">
        <v>21</v>
      </c>
      <c r="B38" s="286">
        <v>7000026628</v>
      </c>
      <c r="C38" s="286">
        <v>1450</v>
      </c>
      <c r="D38" s="286">
        <v>260</v>
      </c>
      <c r="E38" s="286">
        <v>10</v>
      </c>
      <c r="F38" s="286" t="s">
        <v>778</v>
      </c>
      <c r="G38" s="286">
        <v>100001879</v>
      </c>
      <c r="H38" s="286">
        <v>995463</v>
      </c>
      <c r="I38" s="381"/>
      <c r="J38" s="275">
        <v>18</v>
      </c>
      <c r="K38" s="382"/>
      <c r="L38" s="287" t="s">
        <v>765</v>
      </c>
      <c r="M38" s="286" t="s">
        <v>297</v>
      </c>
      <c r="N38" s="286">
        <v>1</v>
      </c>
      <c r="O38" s="279"/>
      <c r="P38" s="383" t="str">
        <f t="shared" si="0"/>
        <v>INCLUDED</v>
      </c>
      <c r="Q38" s="299">
        <f t="shared" si="1"/>
        <v>0</v>
      </c>
      <c r="R38" s="384">
        <f t="shared" si="2"/>
        <v>0</v>
      </c>
      <c r="S38" s="385">
        <f>Discount!$J$36</f>
        <v>0</v>
      </c>
      <c r="T38" s="384">
        <f t="shared" si="3"/>
        <v>0</v>
      </c>
      <c r="U38" s="386">
        <f t="shared" si="4"/>
        <v>0</v>
      </c>
      <c r="V38" s="387">
        <f t="shared" si="5"/>
        <v>0</v>
      </c>
      <c r="W38" s="388"/>
      <c r="X38" s="388"/>
      <c r="Y38" s="388"/>
      <c r="Z38" s="388"/>
      <c r="AA38" s="388"/>
    </row>
    <row r="39" spans="1:27" ht="31.2">
      <c r="A39" s="380">
        <v>22</v>
      </c>
      <c r="B39" s="286">
        <v>7000026628</v>
      </c>
      <c r="C39" s="286">
        <v>1460</v>
      </c>
      <c r="D39" s="286">
        <v>270</v>
      </c>
      <c r="E39" s="286">
        <v>10</v>
      </c>
      <c r="F39" s="286" t="s">
        <v>779</v>
      </c>
      <c r="G39" s="286">
        <v>100002181</v>
      </c>
      <c r="H39" s="286">
        <v>998736</v>
      </c>
      <c r="I39" s="381"/>
      <c r="J39" s="275">
        <v>18</v>
      </c>
      <c r="K39" s="382"/>
      <c r="L39" s="287" t="s">
        <v>473</v>
      </c>
      <c r="M39" s="286" t="s">
        <v>472</v>
      </c>
      <c r="N39" s="286">
        <v>1</v>
      </c>
      <c r="O39" s="279"/>
      <c r="P39" s="383" t="str">
        <f t="shared" si="0"/>
        <v>INCLUDED</v>
      </c>
      <c r="Q39" s="299">
        <f t="shared" si="1"/>
        <v>0</v>
      </c>
      <c r="R39" s="384">
        <f t="shared" si="2"/>
        <v>0</v>
      </c>
      <c r="S39" s="385">
        <f>Discount!$J$36</f>
        <v>0</v>
      </c>
      <c r="T39" s="384">
        <f t="shared" si="3"/>
        <v>0</v>
      </c>
      <c r="U39" s="386">
        <f t="shared" si="4"/>
        <v>0</v>
      </c>
      <c r="V39" s="387">
        <f t="shared" si="5"/>
        <v>0</v>
      </c>
      <c r="W39" s="388"/>
      <c r="X39" s="388"/>
      <c r="Y39" s="388"/>
      <c r="Z39" s="388"/>
      <c r="AA39" s="388"/>
    </row>
    <row r="40" spans="1:27" ht="31.2">
      <c r="A40" s="380">
        <v>23</v>
      </c>
      <c r="B40" s="286">
        <v>7000026628</v>
      </c>
      <c r="C40" s="286">
        <v>1460</v>
      </c>
      <c r="D40" s="286">
        <v>270</v>
      </c>
      <c r="E40" s="286">
        <v>20</v>
      </c>
      <c r="F40" s="286" t="s">
        <v>779</v>
      </c>
      <c r="G40" s="286">
        <v>100002182</v>
      </c>
      <c r="H40" s="286">
        <v>998736</v>
      </c>
      <c r="I40" s="381"/>
      <c r="J40" s="275">
        <v>18</v>
      </c>
      <c r="K40" s="382"/>
      <c r="L40" s="287" t="s">
        <v>474</v>
      </c>
      <c r="M40" s="286" t="s">
        <v>472</v>
      </c>
      <c r="N40" s="286">
        <v>1</v>
      </c>
      <c r="O40" s="279"/>
      <c r="P40" s="383" t="str">
        <f t="shared" si="0"/>
        <v>INCLUDED</v>
      </c>
      <c r="Q40" s="299">
        <f t="shared" si="1"/>
        <v>0</v>
      </c>
      <c r="R40" s="384">
        <f t="shared" si="2"/>
        <v>0</v>
      </c>
      <c r="S40" s="385">
        <f>Discount!$J$36</f>
        <v>0</v>
      </c>
      <c r="T40" s="384">
        <f t="shared" si="3"/>
        <v>0</v>
      </c>
      <c r="U40" s="386">
        <f t="shared" si="4"/>
        <v>0</v>
      </c>
      <c r="V40" s="387">
        <f t="shared" si="5"/>
        <v>0</v>
      </c>
      <c r="W40" s="388"/>
      <c r="X40" s="388"/>
      <c r="Y40" s="388"/>
      <c r="Z40" s="388"/>
      <c r="AA40" s="388"/>
    </row>
    <row r="41" spans="1:27" ht="31.2">
      <c r="A41" s="380">
        <v>24</v>
      </c>
      <c r="B41" s="286">
        <v>7000026628</v>
      </c>
      <c r="C41" s="286">
        <v>1460</v>
      </c>
      <c r="D41" s="286">
        <v>270</v>
      </c>
      <c r="E41" s="286">
        <v>30</v>
      </c>
      <c r="F41" s="286" t="s">
        <v>779</v>
      </c>
      <c r="G41" s="286">
        <v>100002180</v>
      </c>
      <c r="H41" s="286">
        <v>998736</v>
      </c>
      <c r="I41" s="381"/>
      <c r="J41" s="275">
        <v>18</v>
      </c>
      <c r="K41" s="382"/>
      <c r="L41" s="287" t="s">
        <v>518</v>
      </c>
      <c r="M41" s="286" t="s">
        <v>472</v>
      </c>
      <c r="N41" s="286">
        <v>1</v>
      </c>
      <c r="O41" s="279"/>
      <c r="P41" s="383" t="str">
        <f t="shared" si="0"/>
        <v>INCLUDED</v>
      </c>
      <c r="Q41" s="299">
        <f t="shared" si="1"/>
        <v>0</v>
      </c>
      <c r="R41" s="384">
        <f t="shared" si="2"/>
        <v>0</v>
      </c>
      <c r="S41" s="385">
        <f>Discount!$J$36</f>
        <v>0</v>
      </c>
      <c r="T41" s="384">
        <f t="shared" si="3"/>
        <v>0</v>
      </c>
      <c r="U41" s="386">
        <f t="shared" si="4"/>
        <v>0</v>
      </c>
      <c r="V41" s="387">
        <f t="shared" si="5"/>
        <v>0</v>
      </c>
      <c r="W41" s="388"/>
      <c r="X41" s="388"/>
      <c r="Y41" s="388"/>
      <c r="Z41" s="388"/>
      <c r="AA41" s="388"/>
    </row>
    <row r="42" spans="1:27" ht="31.2">
      <c r="A42" s="380">
        <v>25</v>
      </c>
      <c r="B42" s="286">
        <v>7000026628</v>
      </c>
      <c r="C42" s="286">
        <v>1470</v>
      </c>
      <c r="D42" s="286">
        <v>280</v>
      </c>
      <c r="E42" s="286">
        <v>10</v>
      </c>
      <c r="F42" s="286" t="s">
        <v>780</v>
      </c>
      <c r="G42" s="286">
        <v>100008185</v>
      </c>
      <c r="H42" s="286">
        <v>998736</v>
      </c>
      <c r="I42" s="381"/>
      <c r="J42" s="275">
        <v>18</v>
      </c>
      <c r="K42" s="382"/>
      <c r="L42" s="287" t="s">
        <v>538</v>
      </c>
      <c r="M42" s="286" t="s">
        <v>297</v>
      </c>
      <c r="N42" s="286">
        <v>1</v>
      </c>
      <c r="O42" s="279"/>
      <c r="P42" s="383" t="str">
        <f t="shared" si="0"/>
        <v>INCLUDED</v>
      </c>
      <c r="Q42" s="299">
        <f t="shared" si="1"/>
        <v>0</v>
      </c>
      <c r="R42" s="384">
        <f t="shared" si="2"/>
        <v>0</v>
      </c>
      <c r="S42" s="385">
        <f>Discount!$J$36</f>
        <v>0</v>
      </c>
      <c r="T42" s="384">
        <f t="shared" si="3"/>
        <v>0</v>
      </c>
      <c r="U42" s="386">
        <f t="shared" si="4"/>
        <v>0</v>
      </c>
      <c r="V42" s="387">
        <f t="shared" si="5"/>
        <v>0</v>
      </c>
      <c r="W42" s="388"/>
      <c r="X42" s="388"/>
      <c r="Y42" s="388"/>
      <c r="Z42" s="388"/>
      <c r="AA42" s="388"/>
    </row>
    <row r="43" spans="1:27" ht="31.2">
      <c r="A43" s="380">
        <v>26</v>
      </c>
      <c r="B43" s="286">
        <v>7000026628</v>
      </c>
      <c r="C43" s="286">
        <v>1480</v>
      </c>
      <c r="D43" s="286">
        <v>290</v>
      </c>
      <c r="E43" s="286">
        <v>10</v>
      </c>
      <c r="F43" s="286" t="s">
        <v>781</v>
      </c>
      <c r="G43" s="286">
        <v>100001021</v>
      </c>
      <c r="H43" s="286">
        <v>995461</v>
      </c>
      <c r="I43" s="381"/>
      <c r="J43" s="275">
        <v>18</v>
      </c>
      <c r="K43" s="382"/>
      <c r="L43" s="287" t="s">
        <v>497</v>
      </c>
      <c r="M43" s="286" t="s">
        <v>296</v>
      </c>
      <c r="N43" s="286">
        <v>2</v>
      </c>
      <c r="O43" s="279"/>
      <c r="P43" s="383" t="str">
        <f t="shared" si="0"/>
        <v>INCLUDED</v>
      </c>
      <c r="Q43" s="299">
        <f t="shared" si="1"/>
        <v>0</v>
      </c>
      <c r="R43" s="384">
        <f t="shared" si="2"/>
        <v>0</v>
      </c>
      <c r="S43" s="385">
        <f>Discount!$J$36</f>
        <v>0</v>
      </c>
      <c r="T43" s="384">
        <f t="shared" si="3"/>
        <v>0</v>
      </c>
      <c r="U43" s="386">
        <f t="shared" si="4"/>
        <v>0</v>
      </c>
      <c r="V43" s="387">
        <f t="shared" si="5"/>
        <v>0</v>
      </c>
      <c r="W43" s="388"/>
      <c r="X43" s="388"/>
      <c r="Y43" s="388"/>
      <c r="Z43" s="388"/>
      <c r="AA43" s="388"/>
    </row>
    <row r="44" spans="1:27" ht="31.2">
      <c r="A44" s="380">
        <v>27</v>
      </c>
      <c r="B44" s="286">
        <v>7000026628</v>
      </c>
      <c r="C44" s="286">
        <v>1480</v>
      </c>
      <c r="D44" s="286">
        <v>290</v>
      </c>
      <c r="E44" s="286">
        <v>20</v>
      </c>
      <c r="F44" s="286" t="s">
        <v>781</v>
      </c>
      <c r="G44" s="286">
        <v>100004926</v>
      </c>
      <c r="H44" s="286">
        <v>998731</v>
      </c>
      <c r="I44" s="381"/>
      <c r="J44" s="275">
        <v>18</v>
      </c>
      <c r="K44" s="382"/>
      <c r="L44" s="287" t="s">
        <v>682</v>
      </c>
      <c r="M44" s="286" t="s">
        <v>296</v>
      </c>
      <c r="N44" s="286">
        <v>8</v>
      </c>
      <c r="O44" s="279"/>
      <c r="P44" s="383" t="str">
        <f t="shared" si="0"/>
        <v>INCLUDED</v>
      </c>
      <c r="Q44" s="299">
        <f t="shared" si="1"/>
        <v>0</v>
      </c>
      <c r="R44" s="384">
        <f t="shared" si="2"/>
        <v>0</v>
      </c>
      <c r="S44" s="385">
        <f>Discount!$J$36</f>
        <v>0</v>
      </c>
      <c r="T44" s="384">
        <f t="shared" si="3"/>
        <v>0</v>
      </c>
      <c r="U44" s="386">
        <f t="shared" si="4"/>
        <v>0</v>
      </c>
      <c r="V44" s="387">
        <f t="shared" si="5"/>
        <v>0</v>
      </c>
      <c r="W44" s="388"/>
      <c r="X44" s="388"/>
      <c r="Y44" s="388"/>
      <c r="Z44" s="388"/>
      <c r="AA44" s="388"/>
    </row>
    <row r="45" spans="1:27" ht="31.2">
      <c r="A45" s="380">
        <v>28</v>
      </c>
      <c r="B45" s="286">
        <v>7000026628</v>
      </c>
      <c r="C45" s="286">
        <v>1480</v>
      </c>
      <c r="D45" s="286">
        <v>290</v>
      </c>
      <c r="E45" s="286">
        <v>30</v>
      </c>
      <c r="F45" s="286" t="s">
        <v>781</v>
      </c>
      <c r="G45" s="286">
        <v>100004852</v>
      </c>
      <c r="H45" s="286">
        <v>998731</v>
      </c>
      <c r="I45" s="381"/>
      <c r="J45" s="275">
        <v>18</v>
      </c>
      <c r="K45" s="382"/>
      <c r="L45" s="287" t="s">
        <v>690</v>
      </c>
      <c r="M45" s="286" t="s">
        <v>296</v>
      </c>
      <c r="N45" s="286">
        <v>6</v>
      </c>
      <c r="O45" s="279"/>
      <c r="P45" s="383" t="str">
        <f t="shared" si="0"/>
        <v>INCLUDED</v>
      </c>
      <c r="Q45" s="299">
        <f t="shared" si="1"/>
        <v>0</v>
      </c>
      <c r="R45" s="384">
        <f t="shared" si="2"/>
        <v>0</v>
      </c>
      <c r="S45" s="385">
        <f>Discount!$J$36</f>
        <v>0</v>
      </c>
      <c r="T45" s="384">
        <f t="shared" si="3"/>
        <v>0</v>
      </c>
      <c r="U45" s="386">
        <f t="shared" si="4"/>
        <v>0</v>
      </c>
      <c r="V45" s="387">
        <f t="shared" si="5"/>
        <v>0</v>
      </c>
      <c r="W45" s="388"/>
      <c r="X45" s="388"/>
      <c r="Y45" s="388"/>
      <c r="Z45" s="388"/>
      <c r="AA45" s="388"/>
    </row>
    <row r="46" spans="1:27" ht="31.2">
      <c r="A46" s="380">
        <v>29</v>
      </c>
      <c r="B46" s="286">
        <v>7000026628</v>
      </c>
      <c r="C46" s="286">
        <v>1480</v>
      </c>
      <c r="D46" s="286">
        <v>290</v>
      </c>
      <c r="E46" s="286">
        <v>40</v>
      </c>
      <c r="F46" s="286" t="s">
        <v>781</v>
      </c>
      <c r="G46" s="286">
        <v>100001885</v>
      </c>
      <c r="H46" s="286">
        <v>998739</v>
      </c>
      <c r="I46" s="381"/>
      <c r="J46" s="275">
        <v>18</v>
      </c>
      <c r="K46" s="382"/>
      <c r="L46" s="287" t="s">
        <v>619</v>
      </c>
      <c r="M46" s="286" t="s">
        <v>296</v>
      </c>
      <c r="N46" s="286">
        <v>1</v>
      </c>
      <c r="O46" s="279"/>
      <c r="P46" s="383" t="str">
        <f t="shared" si="0"/>
        <v>INCLUDED</v>
      </c>
      <c r="Q46" s="299">
        <f t="shared" si="1"/>
        <v>0</v>
      </c>
      <c r="R46" s="384">
        <f t="shared" si="2"/>
        <v>0</v>
      </c>
      <c r="S46" s="385">
        <f>Discount!$J$36</f>
        <v>0</v>
      </c>
      <c r="T46" s="384">
        <f t="shared" si="3"/>
        <v>0</v>
      </c>
      <c r="U46" s="386">
        <f t="shared" si="4"/>
        <v>0</v>
      </c>
      <c r="V46" s="387">
        <f t="shared" si="5"/>
        <v>0</v>
      </c>
      <c r="W46" s="388"/>
      <c r="X46" s="388"/>
      <c r="Y46" s="388"/>
      <c r="Z46" s="388"/>
      <c r="AA46" s="388"/>
    </row>
    <row r="47" spans="1:27" ht="31.2">
      <c r="A47" s="380">
        <v>30</v>
      </c>
      <c r="B47" s="286">
        <v>7000026628</v>
      </c>
      <c r="C47" s="286">
        <v>1480</v>
      </c>
      <c r="D47" s="286">
        <v>290</v>
      </c>
      <c r="E47" s="286">
        <v>50</v>
      </c>
      <c r="F47" s="286" t="s">
        <v>781</v>
      </c>
      <c r="G47" s="286">
        <v>100004937</v>
      </c>
      <c r="H47" s="286">
        <v>998731</v>
      </c>
      <c r="I47" s="381"/>
      <c r="J47" s="275">
        <v>18</v>
      </c>
      <c r="K47" s="382"/>
      <c r="L47" s="287" t="s">
        <v>522</v>
      </c>
      <c r="M47" s="286" t="s">
        <v>296</v>
      </c>
      <c r="N47" s="286">
        <v>2</v>
      </c>
      <c r="O47" s="279"/>
      <c r="P47" s="383" t="str">
        <f t="shared" si="0"/>
        <v>INCLUDED</v>
      </c>
      <c r="Q47" s="299">
        <f t="shared" si="1"/>
        <v>0</v>
      </c>
      <c r="R47" s="384">
        <f t="shared" si="2"/>
        <v>0</v>
      </c>
      <c r="S47" s="385">
        <f>Discount!$J$36</f>
        <v>0</v>
      </c>
      <c r="T47" s="384">
        <f t="shared" si="3"/>
        <v>0</v>
      </c>
      <c r="U47" s="386">
        <f t="shared" si="4"/>
        <v>0</v>
      </c>
      <c r="V47" s="387">
        <f t="shared" si="5"/>
        <v>0</v>
      </c>
      <c r="W47" s="388"/>
      <c r="X47" s="388"/>
      <c r="Y47" s="388"/>
      <c r="Z47" s="388"/>
      <c r="AA47" s="388"/>
    </row>
    <row r="48" spans="1:27" ht="46.8">
      <c r="A48" s="380">
        <v>31</v>
      </c>
      <c r="B48" s="286">
        <v>7000026628</v>
      </c>
      <c r="C48" s="286">
        <v>1490</v>
      </c>
      <c r="D48" s="286">
        <v>300</v>
      </c>
      <c r="E48" s="286">
        <v>10</v>
      </c>
      <c r="F48" s="286" t="s">
        <v>782</v>
      </c>
      <c r="G48" s="286">
        <v>100016783</v>
      </c>
      <c r="H48" s="286">
        <v>998736</v>
      </c>
      <c r="I48" s="381"/>
      <c r="J48" s="275">
        <v>18</v>
      </c>
      <c r="K48" s="382"/>
      <c r="L48" s="287" t="s">
        <v>792</v>
      </c>
      <c r="M48" s="286" t="s">
        <v>297</v>
      </c>
      <c r="N48" s="286">
        <v>1</v>
      </c>
      <c r="O48" s="279"/>
      <c r="P48" s="383" t="str">
        <f t="shared" si="0"/>
        <v>INCLUDED</v>
      </c>
      <c r="Q48" s="299">
        <f t="shared" si="1"/>
        <v>0</v>
      </c>
      <c r="R48" s="384">
        <f t="shared" si="2"/>
        <v>0</v>
      </c>
      <c r="S48" s="385">
        <f>Discount!$J$36</f>
        <v>0</v>
      </c>
      <c r="T48" s="384">
        <f t="shared" si="3"/>
        <v>0</v>
      </c>
      <c r="U48" s="386">
        <f t="shared" si="4"/>
        <v>0</v>
      </c>
      <c r="V48" s="387">
        <f t="shared" si="5"/>
        <v>0</v>
      </c>
      <c r="W48" s="388"/>
      <c r="X48" s="388"/>
      <c r="Y48" s="388"/>
      <c r="Z48" s="388"/>
      <c r="AA48" s="388"/>
    </row>
    <row r="49" spans="1:27" ht="31.2">
      <c r="A49" s="380">
        <v>32</v>
      </c>
      <c r="B49" s="286">
        <v>7000026628</v>
      </c>
      <c r="C49" s="286">
        <v>1490</v>
      </c>
      <c r="D49" s="286">
        <v>300</v>
      </c>
      <c r="E49" s="286">
        <v>20</v>
      </c>
      <c r="F49" s="286" t="s">
        <v>782</v>
      </c>
      <c r="G49" s="286">
        <v>100000975</v>
      </c>
      <c r="H49" s="286">
        <v>995461</v>
      </c>
      <c r="I49" s="381"/>
      <c r="J49" s="275">
        <v>18</v>
      </c>
      <c r="K49" s="382"/>
      <c r="L49" s="287" t="s">
        <v>502</v>
      </c>
      <c r="M49" s="286" t="s">
        <v>296</v>
      </c>
      <c r="N49" s="286">
        <v>4</v>
      </c>
      <c r="O49" s="279"/>
      <c r="P49" s="383" t="str">
        <f t="shared" si="0"/>
        <v>INCLUDED</v>
      </c>
      <c r="Q49" s="299">
        <f t="shared" si="1"/>
        <v>0</v>
      </c>
      <c r="R49" s="384">
        <f t="shared" si="2"/>
        <v>0</v>
      </c>
      <c r="S49" s="385">
        <f>Discount!$J$36</f>
        <v>0</v>
      </c>
      <c r="T49" s="384">
        <f t="shared" si="3"/>
        <v>0</v>
      </c>
      <c r="U49" s="386">
        <f t="shared" si="4"/>
        <v>0</v>
      </c>
      <c r="V49" s="387">
        <f t="shared" si="5"/>
        <v>0</v>
      </c>
      <c r="W49" s="388"/>
      <c r="X49" s="388"/>
      <c r="Y49" s="388"/>
      <c r="Z49" s="388"/>
      <c r="AA49" s="388"/>
    </row>
    <row r="50" spans="1:27" ht="31.2">
      <c r="A50" s="380">
        <v>33</v>
      </c>
      <c r="B50" s="286">
        <v>7000026628</v>
      </c>
      <c r="C50" s="286">
        <v>1490</v>
      </c>
      <c r="D50" s="286">
        <v>300</v>
      </c>
      <c r="E50" s="286">
        <v>30</v>
      </c>
      <c r="F50" s="286" t="s">
        <v>782</v>
      </c>
      <c r="G50" s="286">
        <v>100000976</v>
      </c>
      <c r="H50" s="286">
        <v>998736</v>
      </c>
      <c r="I50" s="381"/>
      <c r="J50" s="275">
        <v>18</v>
      </c>
      <c r="K50" s="382"/>
      <c r="L50" s="287" t="s">
        <v>767</v>
      </c>
      <c r="M50" s="286" t="s">
        <v>296</v>
      </c>
      <c r="N50" s="286">
        <v>2</v>
      </c>
      <c r="O50" s="279"/>
      <c r="P50" s="383" t="str">
        <f t="shared" si="0"/>
        <v>INCLUDED</v>
      </c>
      <c r="Q50" s="299">
        <f t="shared" si="1"/>
        <v>0</v>
      </c>
      <c r="R50" s="384">
        <f t="shared" si="2"/>
        <v>0</v>
      </c>
      <c r="S50" s="385">
        <f>Discount!$J$36</f>
        <v>0</v>
      </c>
      <c r="T50" s="384">
        <f t="shared" si="3"/>
        <v>0</v>
      </c>
      <c r="U50" s="386">
        <f t="shared" si="4"/>
        <v>0</v>
      </c>
      <c r="V50" s="387">
        <f t="shared" si="5"/>
        <v>0</v>
      </c>
      <c r="W50" s="388"/>
      <c r="X50" s="388"/>
      <c r="Y50" s="388"/>
      <c r="Z50" s="388"/>
      <c r="AA50" s="388"/>
    </row>
    <row r="51" spans="1:27" ht="31.2">
      <c r="A51" s="380">
        <v>34</v>
      </c>
      <c r="B51" s="286">
        <v>7000026628</v>
      </c>
      <c r="C51" s="286">
        <v>1490</v>
      </c>
      <c r="D51" s="286">
        <v>300</v>
      </c>
      <c r="E51" s="286">
        <v>70</v>
      </c>
      <c r="F51" s="286" t="s">
        <v>782</v>
      </c>
      <c r="G51" s="286">
        <v>100002374</v>
      </c>
      <c r="H51" s="286">
        <v>998736</v>
      </c>
      <c r="I51" s="381"/>
      <c r="J51" s="275">
        <v>18</v>
      </c>
      <c r="K51" s="382"/>
      <c r="L51" s="287" t="s">
        <v>695</v>
      </c>
      <c r="M51" s="286" t="s">
        <v>297</v>
      </c>
      <c r="N51" s="286">
        <v>1</v>
      </c>
      <c r="O51" s="279"/>
      <c r="P51" s="383" t="str">
        <f t="shared" si="0"/>
        <v>INCLUDED</v>
      </c>
      <c r="Q51" s="299">
        <f t="shared" si="1"/>
        <v>0</v>
      </c>
      <c r="R51" s="384">
        <f t="shared" si="2"/>
        <v>0</v>
      </c>
      <c r="S51" s="385">
        <f>Discount!$J$36</f>
        <v>0</v>
      </c>
      <c r="T51" s="384">
        <f t="shared" si="3"/>
        <v>0</v>
      </c>
      <c r="U51" s="386">
        <f t="shared" si="4"/>
        <v>0</v>
      </c>
      <c r="V51" s="387">
        <f t="shared" si="5"/>
        <v>0</v>
      </c>
      <c r="W51" s="388"/>
      <c r="X51" s="388"/>
      <c r="Y51" s="388"/>
      <c r="Z51" s="388"/>
      <c r="AA51" s="388"/>
    </row>
    <row r="52" spans="1:27" ht="31.2">
      <c r="A52" s="380">
        <v>35</v>
      </c>
      <c r="B52" s="286">
        <v>7000026628</v>
      </c>
      <c r="C52" s="286">
        <v>1490</v>
      </c>
      <c r="D52" s="286">
        <v>300</v>
      </c>
      <c r="E52" s="286">
        <v>80</v>
      </c>
      <c r="F52" s="286" t="s">
        <v>782</v>
      </c>
      <c r="G52" s="286">
        <v>100002060</v>
      </c>
      <c r="H52" s="286">
        <v>995461</v>
      </c>
      <c r="I52" s="381"/>
      <c r="J52" s="275">
        <v>18</v>
      </c>
      <c r="K52" s="382"/>
      <c r="L52" s="287" t="s">
        <v>558</v>
      </c>
      <c r="M52" s="286" t="s">
        <v>297</v>
      </c>
      <c r="N52" s="286">
        <v>1</v>
      </c>
      <c r="O52" s="279"/>
      <c r="P52" s="383" t="str">
        <f t="shared" si="0"/>
        <v>INCLUDED</v>
      </c>
      <c r="Q52" s="299">
        <f t="shared" si="1"/>
        <v>0</v>
      </c>
      <c r="R52" s="384">
        <f t="shared" si="2"/>
        <v>0</v>
      </c>
      <c r="S52" s="385">
        <f>Discount!$J$36</f>
        <v>0</v>
      </c>
      <c r="T52" s="384">
        <f t="shared" si="3"/>
        <v>0</v>
      </c>
      <c r="U52" s="386">
        <f t="shared" si="4"/>
        <v>0</v>
      </c>
      <c r="V52" s="387">
        <f t="shared" si="5"/>
        <v>0</v>
      </c>
      <c r="W52" s="388"/>
      <c r="X52" s="388"/>
      <c r="Y52" s="388"/>
      <c r="Z52" s="388"/>
      <c r="AA52" s="388"/>
    </row>
    <row r="53" spans="1:27" ht="31.2">
      <c r="A53" s="380">
        <v>36</v>
      </c>
      <c r="B53" s="286">
        <v>7000026628</v>
      </c>
      <c r="C53" s="286">
        <v>1500</v>
      </c>
      <c r="D53" s="286">
        <v>310</v>
      </c>
      <c r="E53" s="286">
        <v>10</v>
      </c>
      <c r="F53" s="286" t="s">
        <v>783</v>
      </c>
      <c r="G53" s="286">
        <v>100016772</v>
      </c>
      <c r="H53" s="286">
        <v>998736</v>
      </c>
      <c r="I53" s="381"/>
      <c r="J53" s="275">
        <v>18</v>
      </c>
      <c r="K53" s="382"/>
      <c r="L53" s="287" t="s">
        <v>793</v>
      </c>
      <c r="M53" s="286" t="s">
        <v>297</v>
      </c>
      <c r="N53" s="286">
        <v>1</v>
      </c>
      <c r="O53" s="279"/>
      <c r="P53" s="383" t="str">
        <f t="shared" si="0"/>
        <v>INCLUDED</v>
      </c>
      <c r="Q53" s="299">
        <f t="shared" si="1"/>
        <v>0</v>
      </c>
      <c r="R53" s="384">
        <f t="shared" si="2"/>
        <v>0</v>
      </c>
      <c r="S53" s="385">
        <f>Discount!$J$36</f>
        <v>0</v>
      </c>
      <c r="T53" s="384">
        <f t="shared" si="3"/>
        <v>0</v>
      </c>
      <c r="U53" s="386">
        <f t="shared" si="4"/>
        <v>0</v>
      </c>
      <c r="V53" s="387">
        <f t="shared" si="5"/>
        <v>0</v>
      </c>
      <c r="W53" s="388"/>
      <c r="X53" s="388"/>
      <c r="Y53" s="388"/>
      <c r="Z53" s="388"/>
      <c r="AA53" s="388"/>
    </row>
    <row r="54" spans="1:27" ht="93.6">
      <c r="A54" s="380">
        <v>37</v>
      </c>
      <c r="B54" s="286">
        <v>7000026628</v>
      </c>
      <c r="C54" s="286">
        <v>1510</v>
      </c>
      <c r="D54" s="286">
        <v>320</v>
      </c>
      <c r="E54" s="286">
        <v>10</v>
      </c>
      <c r="F54" s="286" t="s">
        <v>784</v>
      </c>
      <c r="G54" s="286">
        <v>100002500</v>
      </c>
      <c r="H54" s="286">
        <v>998731</v>
      </c>
      <c r="I54" s="381"/>
      <c r="J54" s="275">
        <v>18</v>
      </c>
      <c r="K54" s="382"/>
      <c r="L54" s="287" t="s">
        <v>519</v>
      </c>
      <c r="M54" s="286" t="s">
        <v>297</v>
      </c>
      <c r="N54" s="286">
        <v>1</v>
      </c>
      <c r="O54" s="279"/>
      <c r="P54" s="383" t="str">
        <f t="shared" si="0"/>
        <v>INCLUDED</v>
      </c>
      <c r="Q54" s="299">
        <f t="shared" si="1"/>
        <v>0</v>
      </c>
      <c r="R54" s="384">
        <f t="shared" si="2"/>
        <v>0</v>
      </c>
      <c r="S54" s="385">
        <f>Discount!$J$36</f>
        <v>0</v>
      </c>
      <c r="T54" s="384">
        <f t="shared" si="3"/>
        <v>0</v>
      </c>
      <c r="U54" s="386">
        <f t="shared" si="4"/>
        <v>0</v>
      </c>
      <c r="V54" s="387">
        <f t="shared" si="5"/>
        <v>0</v>
      </c>
      <c r="W54" s="388"/>
      <c r="X54" s="388"/>
      <c r="Y54" s="388"/>
      <c r="Z54" s="388"/>
      <c r="AA54" s="388"/>
    </row>
    <row r="55" spans="1:27" ht="46.8">
      <c r="A55" s="380">
        <v>38</v>
      </c>
      <c r="B55" s="286">
        <v>7000026628</v>
      </c>
      <c r="C55" s="286">
        <v>1520</v>
      </c>
      <c r="D55" s="286">
        <v>370</v>
      </c>
      <c r="E55" s="286">
        <v>10</v>
      </c>
      <c r="F55" s="286" t="s">
        <v>688</v>
      </c>
      <c r="G55" s="286">
        <v>100004518</v>
      </c>
      <c r="H55" s="286">
        <v>995433</v>
      </c>
      <c r="I55" s="381"/>
      <c r="J55" s="275">
        <v>18</v>
      </c>
      <c r="K55" s="382"/>
      <c r="L55" s="287" t="s">
        <v>475</v>
      </c>
      <c r="M55" s="286" t="s">
        <v>299</v>
      </c>
      <c r="N55" s="286">
        <v>1765</v>
      </c>
      <c r="O55" s="279"/>
      <c r="P55" s="383" t="str">
        <f t="shared" si="0"/>
        <v>INCLUDED</v>
      </c>
      <c r="Q55" s="299">
        <f t="shared" si="1"/>
        <v>0</v>
      </c>
      <c r="R55" s="384">
        <f t="shared" si="2"/>
        <v>0</v>
      </c>
      <c r="S55" s="385">
        <f>Discount!$J$36</f>
        <v>0</v>
      </c>
      <c r="T55" s="384">
        <f t="shared" si="3"/>
        <v>0</v>
      </c>
      <c r="U55" s="386">
        <f t="shared" si="4"/>
        <v>0</v>
      </c>
      <c r="V55" s="387">
        <f t="shared" si="5"/>
        <v>0</v>
      </c>
      <c r="W55" s="388"/>
      <c r="X55" s="388"/>
      <c r="Y55" s="388"/>
      <c r="Z55" s="388"/>
      <c r="AA55" s="388"/>
    </row>
    <row r="56" spans="1:27">
      <c r="A56" s="380">
        <v>39</v>
      </c>
      <c r="B56" s="286">
        <v>7000026628</v>
      </c>
      <c r="C56" s="286">
        <v>1520</v>
      </c>
      <c r="D56" s="286">
        <v>370</v>
      </c>
      <c r="E56" s="286">
        <v>20</v>
      </c>
      <c r="F56" s="286" t="s">
        <v>688</v>
      </c>
      <c r="G56" s="286">
        <v>100001325</v>
      </c>
      <c r="H56" s="286">
        <v>995454</v>
      </c>
      <c r="I56" s="381"/>
      <c r="J56" s="275">
        <v>18</v>
      </c>
      <c r="K56" s="382"/>
      <c r="L56" s="287" t="s">
        <v>476</v>
      </c>
      <c r="M56" s="286" t="s">
        <v>299</v>
      </c>
      <c r="N56" s="286">
        <v>95</v>
      </c>
      <c r="O56" s="279"/>
      <c r="P56" s="383" t="str">
        <f t="shared" si="0"/>
        <v>INCLUDED</v>
      </c>
      <c r="Q56" s="299">
        <f t="shared" si="1"/>
        <v>0</v>
      </c>
      <c r="R56" s="384">
        <f t="shared" si="2"/>
        <v>0</v>
      </c>
      <c r="S56" s="385">
        <f>Discount!$J$36</f>
        <v>0</v>
      </c>
      <c r="T56" s="384">
        <f t="shared" si="3"/>
        <v>0</v>
      </c>
      <c r="U56" s="386">
        <f t="shared" si="4"/>
        <v>0</v>
      </c>
      <c r="V56" s="387">
        <f t="shared" si="5"/>
        <v>0</v>
      </c>
      <c r="W56" s="388"/>
      <c r="X56" s="388"/>
      <c r="Y56" s="388"/>
      <c r="Z56" s="388"/>
      <c r="AA56" s="388"/>
    </row>
    <row r="57" spans="1:27">
      <c r="A57" s="380">
        <v>40</v>
      </c>
      <c r="B57" s="286">
        <v>7000026628</v>
      </c>
      <c r="C57" s="286">
        <v>1520</v>
      </c>
      <c r="D57" s="286">
        <v>370</v>
      </c>
      <c r="E57" s="286">
        <v>30</v>
      </c>
      <c r="F57" s="286" t="s">
        <v>688</v>
      </c>
      <c r="G57" s="286">
        <v>100001326</v>
      </c>
      <c r="H57" s="286">
        <v>995454</v>
      </c>
      <c r="I57" s="381"/>
      <c r="J57" s="275">
        <v>18</v>
      </c>
      <c r="K57" s="382"/>
      <c r="L57" s="287" t="s">
        <v>477</v>
      </c>
      <c r="M57" s="286" t="s">
        <v>299</v>
      </c>
      <c r="N57" s="286">
        <v>2</v>
      </c>
      <c r="O57" s="279"/>
      <c r="P57" s="383" t="str">
        <f t="shared" si="0"/>
        <v>INCLUDED</v>
      </c>
      <c r="Q57" s="299">
        <f t="shared" si="1"/>
        <v>0</v>
      </c>
      <c r="R57" s="384">
        <f t="shared" si="2"/>
        <v>0</v>
      </c>
      <c r="S57" s="385">
        <f>Discount!$J$36</f>
        <v>0</v>
      </c>
      <c r="T57" s="384">
        <f t="shared" si="3"/>
        <v>0</v>
      </c>
      <c r="U57" s="386">
        <f t="shared" si="4"/>
        <v>0</v>
      </c>
      <c r="V57" s="387">
        <f t="shared" si="5"/>
        <v>0</v>
      </c>
      <c r="W57" s="388"/>
      <c r="X57" s="388"/>
      <c r="Y57" s="388"/>
      <c r="Z57" s="388"/>
      <c r="AA57" s="388"/>
    </row>
    <row r="58" spans="1:27" ht="31.2">
      <c r="A58" s="380">
        <v>41</v>
      </c>
      <c r="B58" s="286">
        <v>7000026628</v>
      </c>
      <c r="C58" s="286">
        <v>1520</v>
      </c>
      <c r="D58" s="286">
        <v>370</v>
      </c>
      <c r="E58" s="286">
        <v>40</v>
      </c>
      <c r="F58" s="286" t="s">
        <v>688</v>
      </c>
      <c r="G58" s="286">
        <v>100001328</v>
      </c>
      <c r="H58" s="286">
        <v>995454</v>
      </c>
      <c r="I58" s="381"/>
      <c r="J58" s="275">
        <v>18</v>
      </c>
      <c r="K58" s="382"/>
      <c r="L58" s="287" t="s">
        <v>490</v>
      </c>
      <c r="M58" s="286" t="s">
        <v>299</v>
      </c>
      <c r="N58" s="286">
        <v>94</v>
      </c>
      <c r="O58" s="279"/>
      <c r="P58" s="383" t="str">
        <f t="shared" si="0"/>
        <v>INCLUDED</v>
      </c>
      <c r="Q58" s="299">
        <f t="shared" si="1"/>
        <v>0</v>
      </c>
      <c r="R58" s="384">
        <f t="shared" si="2"/>
        <v>0</v>
      </c>
      <c r="S58" s="385">
        <f>Discount!$J$36</f>
        <v>0</v>
      </c>
      <c r="T58" s="384">
        <f t="shared" si="3"/>
        <v>0</v>
      </c>
      <c r="U58" s="386">
        <f t="shared" si="4"/>
        <v>0</v>
      </c>
      <c r="V58" s="387">
        <f t="shared" si="5"/>
        <v>0</v>
      </c>
      <c r="W58" s="388"/>
      <c r="X58" s="388"/>
      <c r="Y58" s="388"/>
      <c r="Z58" s="388"/>
      <c r="AA58" s="388"/>
    </row>
    <row r="59" spans="1:27" ht="46.8">
      <c r="A59" s="380">
        <v>42</v>
      </c>
      <c r="B59" s="286">
        <v>7000026628</v>
      </c>
      <c r="C59" s="286">
        <v>1520</v>
      </c>
      <c r="D59" s="286">
        <v>370</v>
      </c>
      <c r="E59" s="286">
        <v>50</v>
      </c>
      <c r="F59" s="286" t="s">
        <v>688</v>
      </c>
      <c r="G59" s="286">
        <v>100016607</v>
      </c>
      <c r="H59" s="286">
        <v>995451</v>
      </c>
      <c r="I59" s="381"/>
      <c r="J59" s="275">
        <v>18</v>
      </c>
      <c r="K59" s="382"/>
      <c r="L59" s="287" t="s">
        <v>520</v>
      </c>
      <c r="M59" s="286" t="s">
        <v>299</v>
      </c>
      <c r="N59" s="286">
        <v>691</v>
      </c>
      <c r="O59" s="279"/>
      <c r="P59" s="383" t="str">
        <f t="shared" si="0"/>
        <v>INCLUDED</v>
      </c>
      <c r="Q59" s="299">
        <f t="shared" si="1"/>
        <v>0</v>
      </c>
      <c r="R59" s="384">
        <f t="shared" si="2"/>
        <v>0</v>
      </c>
      <c r="S59" s="385">
        <f>Discount!$J$36</f>
        <v>0</v>
      </c>
      <c r="T59" s="384">
        <f t="shared" si="3"/>
        <v>0</v>
      </c>
      <c r="U59" s="386">
        <f t="shared" si="4"/>
        <v>0</v>
      </c>
      <c r="V59" s="387">
        <f t="shared" si="5"/>
        <v>0</v>
      </c>
      <c r="W59" s="388"/>
      <c r="X59" s="388"/>
      <c r="Y59" s="388"/>
      <c r="Z59" s="388"/>
      <c r="AA59" s="388"/>
    </row>
    <row r="60" spans="1:27" ht="31.2">
      <c r="A60" s="380">
        <v>43</v>
      </c>
      <c r="B60" s="286">
        <v>7000026628</v>
      </c>
      <c r="C60" s="286">
        <v>1520</v>
      </c>
      <c r="D60" s="286">
        <v>370</v>
      </c>
      <c r="E60" s="286">
        <v>60</v>
      </c>
      <c r="F60" s="286" t="s">
        <v>688</v>
      </c>
      <c r="G60" s="286">
        <v>100016681</v>
      </c>
      <c r="H60" s="286">
        <v>995454</v>
      </c>
      <c r="I60" s="381"/>
      <c r="J60" s="275">
        <v>18</v>
      </c>
      <c r="K60" s="382"/>
      <c r="L60" s="287" t="s">
        <v>548</v>
      </c>
      <c r="M60" s="286" t="s">
        <v>295</v>
      </c>
      <c r="N60" s="286">
        <v>52</v>
      </c>
      <c r="O60" s="279"/>
      <c r="P60" s="383" t="str">
        <f t="shared" si="0"/>
        <v>INCLUDED</v>
      </c>
      <c r="Q60" s="299">
        <f t="shared" si="1"/>
        <v>0</v>
      </c>
      <c r="R60" s="384">
        <f t="shared" si="2"/>
        <v>0</v>
      </c>
      <c r="S60" s="385">
        <f>Discount!$J$36</f>
        <v>0</v>
      </c>
      <c r="T60" s="384">
        <f t="shared" si="3"/>
        <v>0</v>
      </c>
      <c r="U60" s="386">
        <f t="shared" si="4"/>
        <v>0</v>
      </c>
      <c r="V60" s="387">
        <f t="shared" si="5"/>
        <v>0</v>
      </c>
      <c r="W60" s="388"/>
      <c r="X60" s="388"/>
      <c r="Y60" s="388"/>
      <c r="Z60" s="388"/>
      <c r="AA60" s="388"/>
    </row>
    <row r="61" spans="1:27">
      <c r="A61" s="380">
        <v>44</v>
      </c>
      <c r="B61" s="286">
        <v>7000026628</v>
      </c>
      <c r="C61" s="286">
        <v>1520</v>
      </c>
      <c r="D61" s="286">
        <v>370</v>
      </c>
      <c r="E61" s="286">
        <v>70</v>
      </c>
      <c r="F61" s="286" t="s">
        <v>688</v>
      </c>
      <c r="G61" s="286">
        <v>100001330</v>
      </c>
      <c r="H61" s="286">
        <v>995428</v>
      </c>
      <c r="I61" s="381"/>
      <c r="J61" s="275">
        <v>18</v>
      </c>
      <c r="K61" s="382"/>
      <c r="L61" s="287" t="s">
        <v>480</v>
      </c>
      <c r="M61" s="286" t="s">
        <v>299</v>
      </c>
      <c r="N61" s="286">
        <v>21</v>
      </c>
      <c r="O61" s="279"/>
      <c r="P61" s="383" t="str">
        <f t="shared" si="0"/>
        <v>INCLUDED</v>
      </c>
      <c r="Q61" s="299">
        <f t="shared" si="1"/>
        <v>0</v>
      </c>
      <c r="R61" s="384">
        <f t="shared" si="2"/>
        <v>0</v>
      </c>
      <c r="S61" s="385">
        <f>Discount!$J$36</f>
        <v>0</v>
      </c>
      <c r="T61" s="384">
        <f t="shared" si="3"/>
        <v>0</v>
      </c>
      <c r="U61" s="386">
        <f t="shared" si="4"/>
        <v>0</v>
      </c>
      <c r="V61" s="387">
        <f t="shared" si="5"/>
        <v>0</v>
      </c>
      <c r="W61" s="388"/>
      <c r="X61" s="388"/>
      <c r="Y61" s="388"/>
      <c r="Z61" s="388"/>
      <c r="AA61" s="388"/>
    </row>
    <row r="62" spans="1:27" ht="46.8">
      <c r="A62" s="380">
        <v>45</v>
      </c>
      <c r="B62" s="286">
        <v>7000026628</v>
      </c>
      <c r="C62" s="286">
        <v>1520</v>
      </c>
      <c r="D62" s="286">
        <v>370</v>
      </c>
      <c r="E62" s="286">
        <v>80</v>
      </c>
      <c r="F62" s="286" t="s">
        <v>688</v>
      </c>
      <c r="G62" s="286">
        <v>100001331</v>
      </c>
      <c r="H62" s="286">
        <v>995455</v>
      </c>
      <c r="I62" s="381"/>
      <c r="J62" s="275">
        <v>18</v>
      </c>
      <c r="K62" s="382"/>
      <c r="L62" s="287" t="s">
        <v>481</v>
      </c>
      <c r="M62" s="286" t="s">
        <v>295</v>
      </c>
      <c r="N62" s="286">
        <v>27</v>
      </c>
      <c r="O62" s="279"/>
      <c r="P62" s="383" t="str">
        <f t="shared" si="0"/>
        <v>INCLUDED</v>
      </c>
      <c r="Q62" s="299">
        <f t="shared" si="1"/>
        <v>0</v>
      </c>
      <c r="R62" s="384">
        <f t="shared" si="2"/>
        <v>0</v>
      </c>
      <c r="S62" s="385">
        <f>Discount!$J$36</f>
        <v>0</v>
      </c>
      <c r="T62" s="384">
        <f t="shared" si="3"/>
        <v>0</v>
      </c>
      <c r="U62" s="386">
        <f t="shared" si="4"/>
        <v>0</v>
      </c>
      <c r="V62" s="387">
        <f t="shared" si="5"/>
        <v>0</v>
      </c>
      <c r="W62" s="388"/>
      <c r="X62" s="388"/>
      <c r="Y62" s="388"/>
      <c r="Z62" s="388"/>
      <c r="AA62" s="388"/>
    </row>
    <row r="63" spans="1:27">
      <c r="A63" s="380">
        <v>46</v>
      </c>
      <c r="B63" s="286">
        <v>7000026628</v>
      </c>
      <c r="C63" s="286">
        <v>1520</v>
      </c>
      <c r="D63" s="286">
        <v>370</v>
      </c>
      <c r="E63" s="286">
        <v>90</v>
      </c>
      <c r="F63" s="286" t="s">
        <v>688</v>
      </c>
      <c r="G63" s="286">
        <v>100001714</v>
      </c>
      <c r="H63" s="286">
        <v>995428</v>
      </c>
      <c r="I63" s="381"/>
      <c r="J63" s="275">
        <v>18</v>
      </c>
      <c r="K63" s="382"/>
      <c r="L63" s="287" t="s">
        <v>482</v>
      </c>
      <c r="M63" s="286" t="s">
        <v>470</v>
      </c>
      <c r="N63" s="286">
        <v>750</v>
      </c>
      <c r="O63" s="279"/>
      <c r="P63" s="383" t="str">
        <f t="shared" si="0"/>
        <v>INCLUDED</v>
      </c>
      <c r="Q63" s="299">
        <f t="shared" si="1"/>
        <v>0</v>
      </c>
      <c r="R63" s="384">
        <f t="shared" si="2"/>
        <v>0</v>
      </c>
      <c r="S63" s="385">
        <f>Discount!$J$36</f>
        <v>0</v>
      </c>
      <c r="T63" s="384">
        <f t="shared" si="3"/>
        <v>0</v>
      </c>
      <c r="U63" s="386">
        <f t="shared" si="4"/>
        <v>0</v>
      </c>
      <c r="V63" s="387">
        <f t="shared" si="5"/>
        <v>0</v>
      </c>
      <c r="W63" s="388"/>
      <c r="X63" s="388"/>
      <c r="Y63" s="388"/>
      <c r="Z63" s="388"/>
      <c r="AA63" s="388"/>
    </row>
    <row r="64" spans="1:27" ht="31.2">
      <c r="A64" s="380">
        <v>47</v>
      </c>
      <c r="B64" s="286">
        <v>7000026628</v>
      </c>
      <c r="C64" s="286">
        <v>1520</v>
      </c>
      <c r="D64" s="286">
        <v>370</v>
      </c>
      <c r="E64" s="286">
        <v>100</v>
      </c>
      <c r="F64" s="286" t="s">
        <v>688</v>
      </c>
      <c r="G64" s="286">
        <v>100001712</v>
      </c>
      <c r="H64" s="286">
        <v>995428</v>
      </c>
      <c r="I64" s="381"/>
      <c r="J64" s="275">
        <v>18</v>
      </c>
      <c r="K64" s="382"/>
      <c r="L64" s="287" t="s">
        <v>540</v>
      </c>
      <c r="M64" s="286" t="s">
        <v>470</v>
      </c>
      <c r="N64" s="286">
        <v>500</v>
      </c>
      <c r="O64" s="279"/>
      <c r="P64" s="383" t="str">
        <f t="shared" si="0"/>
        <v>INCLUDED</v>
      </c>
      <c r="Q64" s="299">
        <f t="shared" si="1"/>
        <v>0</v>
      </c>
      <c r="R64" s="384">
        <f t="shared" si="2"/>
        <v>0</v>
      </c>
      <c r="S64" s="385">
        <f>Discount!$J$36</f>
        <v>0</v>
      </c>
      <c r="T64" s="384">
        <f t="shared" si="3"/>
        <v>0</v>
      </c>
      <c r="U64" s="386">
        <f t="shared" si="4"/>
        <v>0</v>
      </c>
      <c r="V64" s="387">
        <f t="shared" si="5"/>
        <v>0</v>
      </c>
      <c r="W64" s="388"/>
      <c r="X64" s="388"/>
      <c r="Y64" s="388"/>
      <c r="Z64" s="388"/>
      <c r="AA64" s="388"/>
    </row>
    <row r="65" spans="1:27">
      <c r="A65" s="380">
        <v>48</v>
      </c>
      <c r="B65" s="286">
        <v>7000026628</v>
      </c>
      <c r="C65" s="286">
        <v>1520</v>
      </c>
      <c r="D65" s="286">
        <v>370</v>
      </c>
      <c r="E65" s="286">
        <v>110</v>
      </c>
      <c r="F65" s="286" t="s">
        <v>688</v>
      </c>
      <c r="G65" s="286">
        <v>100001713</v>
      </c>
      <c r="H65" s="286">
        <v>995424</v>
      </c>
      <c r="I65" s="381"/>
      <c r="J65" s="275">
        <v>18</v>
      </c>
      <c r="K65" s="382"/>
      <c r="L65" s="287" t="s">
        <v>483</v>
      </c>
      <c r="M65" s="286" t="s">
        <v>470</v>
      </c>
      <c r="N65" s="286">
        <v>1250</v>
      </c>
      <c r="O65" s="279"/>
      <c r="P65" s="383" t="str">
        <f t="shared" si="0"/>
        <v>INCLUDED</v>
      </c>
      <c r="Q65" s="299">
        <f t="shared" si="1"/>
        <v>0</v>
      </c>
      <c r="R65" s="384">
        <f t="shared" si="2"/>
        <v>0</v>
      </c>
      <c r="S65" s="385">
        <f>Discount!$J$36</f>
        <v>0</v>
      </c>
      <c r="T65" s="384">
        <f t="shared" si="3"/>
        <v>0</v>
      </c>
      <c r="U65" s="386">
        <f t="shared" si="4"/>
        <v>0</v>
      </c>
      <c r="V65" s="387">
        <f t="shared" si="5"/>
        <v>0</v>
      </c>
      <c r="W65" s="388"/>
      <c r="X65" s="388"/>
      <c r="Y65" s="388"/>
      <c r="Z65" s="388"/>
      <c r="AA65" s="388"/>
    </row>
    <row r="66" spans="1:27" ht="31.2">
      <c r="A66" s="380">
        <v>49</v>
      </c>
      <c r="B66" s="286">
        <v>7000026628</v>
      </c>
      <c r="C66" s="286">
        <v>1520</v>
      </c>
      <c r="D66" s="286">
        <v>370</v>
      </c>
      <c r="E66" s="286">
        <v>120</v>
      </c>
      <c r="F66" s="286" t="s">
        <v>688</v>
      </c>
      <c r="G66" s="286">
        <v>100003114</v>
      </c>
      <c r="H66" s="286">
        <v>995454</v>
      </c>
      <c r="I66" s="381"/>
      <c r="J66" s="275">
        <v>18</v>
      </c>
      <c r="K66" s="382"/>
      <c r="L66" s="287" t="s">
        <v>491</v>
      </c>
      <c r="M66" s="286" t="s">
        <v>470</v>
      </c>
      <c r="N66" s="286">
        <v>200</v>
      </c>
      <c r="O66" s="279"/>
      <c r="P66" s="383" t="str">
        <f t="shared" si="0"/>
        <v>INCLUDED</v>
      </c>
      <c r="Q66" s="299">
        <f t="shared" si="1"/>
        <v>0</v>
      </c>
      <c r="R66" s="384">
        <f t="shared" si="2"/>
        <v>0</v>
      </c>
      <c r="S66" s="385">
        <f>Discount!$J$36</f>
        <v>0</v>
      </c>
      <c r="T66" s="384">
        <f t="shared" si="3"/>
        <v>0</v>
      </c>
      <c r="U66" s="386">
        <f t="shared" si="4"/>
        <v>0</v>
      </c>
      <c r="V66" s="387">
        <f t="shared" si="5"/>
        <v>0</v>
      </c>
      <c r="W66" s="388"/>
      <c r="X66" s="388"/>
      <c r="Y66" s="388"/>
      <c r="Z66" s="388"/>
      <c r="AA66" s="388"/>
    </row>
    <row r="67" spans="1:27" ht="31.2">
      <c r="A67" s="380">
        <v>50</v>
      </c>
      <c r="B67" s="286">
        <v>7000026628</v>
      </c>
      <c r="C67" s="286">
        <v>1520</v>
      </c>
      <c r="D67" s="286">
        <v>370</v>
      </c>
      <c r="E67" s="286">
        <v>130</v>
      </c>
      <c r="F67" s="286" t="s">
        <v>688</v>
      </c>
      <c r="G67" s="286">
        <v>100001379</v>
      </c>
      <c r="H67" s="286">
        <v>995421</v>
      </c>
      <c r="I67" s="381"/>
      <c r="J67" s="275">
        <v>18</v>
      </c>
      <c r="K67" s="382"/>
      <c r="L67" s="287" t="s">
        <v>696</v>
      </c>
      <c r="M67" s="286" t="s">
        <v>470</v>
      </c>
      <c r="N67" s="286">
        <v>37.5</v>
      </c>
      <c r="O67" s="279"/>
      <c r="P67" s="383" t="str">
        <f t="shared" si="0"/>
        <v>INCLUDED</v>
      </c>
      <c r="Q67" s="299">
        <f t="shared" si="1"/>
        <v>0</v>
      </c>
      <c r="R67" s="384">
        <f t="shared" si="2"/>
        <v>0</v>
      </c>
      <c r="S67" s="385">
        <f>Discount!$J$36</f>
        <v>0</v>
      </c>
      <c r="T67" s="384">
        <f t="shared" si="3"/>
        <v>0</v>
      </c>
      <c r="U67" s="386">
        <f t="shared" si="4"/>
        <v>0</v>
      </c>
      <c r="V67" s="387">
        <f t="shared" si="5"/>
        <v>0</v>
      </c>
      <c r="W67" s="388"/>
      <c r="X67" s="388"/>
      <c r="Y67" s="388"/>
      <c r="Z67" s="388"/>
      <c r="AA67" s="388"/>
    </row>
    <row r="68" spans="1:27" ht="62.4">
      <c r="A68" s="380">
        <v>51</v>
      </c>
      <c r="B68" s="286">
        <v>7000026628</v>
      </c>
      <c r="C68" s="286">
        <v>1520</v>
      </c>
      <c r="D68" s="286">
        <v>370</v>
      </c>
      <c r="E68" s="286">
        <v>140</v>
      </c>
      <c r="F68" s="286" t="s">
        <v>688</v>
      </c>
      <c r="G68" s="286">
        <v>100001457</v>
      </c>
      <c r="H68" s="286">
        <v>995421</v>
      </c>
      <c r="I68" s="381"/>
      <c r="J68" s="275">
        <v>18</v>
      </c>
      <c r="K68" s="382"/>
      <c r="L68" s="287" t="s">
        <v>541</v>
      </c>
      <c r="M68" s="286" t="s">
        <v>470</v>
      </c>
      <c r="N68" s="286">
        <v>86.1</v>
      </c>
      <c r="O68" s="279"/>
      <c r="P68" s="383" t="str">
        <f t="shared" si="0"/>
        <v>INCLUDED</v>
      </c>
      <c r="Q68" s="299">
        <f t="shared" si="1"/>
        <v>0</v>
      </c>
      <c r="R68" s="384">
        <f t="shared" si="2"/>
        <v>0</v>
      </c>
      <c r="S68" s="385">
        <f>Discount!$J$36</f>
        <v>0</v>
      </c>
      <c r="T68" s="384">
        <f t="shared" si="3"/>
        <v>0</v>
      </c>
      <c r="U68" s="386">
        <f t="shared" si="4"/>
        <v>0</v>
      </c>
      <c r="V68" s="387">
        <f t="shared" si="5"/>
        <v>0</v>
      </c>
      <c r="W68" s="388"/>
      <c r="X68" s="388"/>
      <c r="Y68" s="388"/>
      <c r="Z68" s="388"/>
      <c r="AA68" s="388"/>
    </row>
    <row r="69" spans="1:27" ht="62.4">
      <c r="A69" s="380">
        <v>52</v>
      </c>
      <c r="B69" s="286">
        <v>7000026628</v>
      </c>
      <c r="C69" s="286">
        <v>1520</v>
      </c>
      <c r="D69" s="286">
        <v>370</v>
      </c>
      <c r="E69" s="286">
        <v>150</v>
      </c>
      <c r="F69" s="286" t="s">
        <v>688</v>
      </c>
      <c r="G69" s="286">
        <v>130000761</v>
      </c>
      <c r="H69" s="286">
        <v>995428</v>
      </c>
      <c r="I69" s="381"/>
      <c r="J69" s="275">
        <v>18</v>
      </c>
      <c r="K69" s="382"/>
      <c r="L69" s="287" t="s">
        <v>523</v>
      </c>
      <c r="M69" s="286" t="s">
        <v>469</v>
      </c>
      <c r="N69" s="286">
        <v>10</v>
      </c>
      <c r="O69" s="279"/>
      <c r="P69" s="383" t="str">
        <f t="shared" si="0"/>
        <v>INCLUDED</v>
      </c>
      <c r="Q69" s="299">
        <f t="shared" si="1"/>
        <v>0</v>
      </c>
      <c r="R69" s="384">
        <f t="shared" si="2"/>
        <v>0</v>
      </c>
      <c r="S69" s="385">
        <f>Discount!$J$36</f>
        <v>0</v>
      </c>
      <c r="T69" s="384">
        <f t="shared" si="3"/>
        <v>0</v>
      </c>
      <c r="U69" s="386">
        <f t="shared" si="4"/>
        <v>0</v>
      </c>
      <c r="V69" s="387">
        <f t="shared" si="5"/>
        <v>0</v>
      </c>
      <c r="W69" s="388"/>
      <c r="X69" s="388"/>
      <c r="Y69" s="388"/>
      <c r="Z69" s="388"/>
      <c r="AA69" s="388"/>
    </row>
    <row r="70" spans="1:27" ht="62.4">
      <c r="A70" s="380">
        <v>53</v>
      </c>
      <c r="B70" s="286">
        <v>7000026628</v>
      </c>
      <c r="C70" s="286">
        <v>1520</v>
      </c>
      <c r="D70" s="286">
        <v>370</v>
      </c>
      <c r="E70" s="286">
        <v>160</v>
      </c>
      <c r="F70" s="286" t="s">
        <v>688</v>
      </c>
      <c r="G70" s="286">
        <v>130000762</v>
      </c>
      <c r="H70" s="286">
        <v>995428</v>
      </c>
      <c r="I70" s="381"/>
      <c r="J70" s="275">
        <v>18</v>
      </c>
      <c r="K70" s="382"/>
      <c r="L70" s="287" t="s">
        <v>492</v>
      </c>
      <c r="M70" s="286" t="s">
        <v>469</v>
      </c>
      <c r="N70" s="286">
        <v>10</v>
      </c>
      <c r="O70" s="279"/>
      <c r="P70" s="383" t="str">
        <f t="shared" si="0"/>
        <v>INCLUDED</v>
      </c>
      <c r="Q70" s="299">
        <f t="shared" si="1"/>
        <v>0</v>
      </c>
      <c r="R70" s="384">
        <f t="shared" si="2"/>
        <v>0</v>
      </c>
      <c r="S70" s="385">
        <f>Discount!$J$36</f>
        <v>0</v>
      </c>
      <c r="T70" s="384">
        <f t="shared" si="3"/>
        <v>0</v>
      </c>
      <c r="U70" s="386">
        <f t="shared" si="4"/>
        <v>0</v>
      </c>
      <c r="V70" s="387">
        <f t="shared" si="5"/>
        <v>0</v>
      </c>
      <c r="W70" s="388"/>
      <c r="X70" s="388"/>
      <c r="Y70" s="388"/>
      <c r="Z70" s="388"/>
      <c r="AA70" s="388"/>
    </row>
    <row r="71" spans="1:27" ht="46.8">
      <c r="A71" s="380">
        <v>54</v>
      </c>
      <c r="B71" s="286">
        <v>7000026628</v>
      </c>
      <c r="C71" s="286">
        <v>1520</v>
      </c>
      <c r="D71" s="286">
        <v>370</v>
      </c>
      <c r="E71" s="286">
        <v>170</v>
      </c>
      <c r="F71" s="286" t="s">
        <v>688</v>
      </c>
      <c r="G71" s="286">
        <v>100001735</v>
      </c>
      <c r="H71" s="286">
        <v>995462</v>
      </c>
      <c r="I71" s="381"/>
      <c r="J71" s="275">
        <v>18</v>
      </c>
      <c r="K71" s="382"/>
      <c r="L71" s="287" t="s">
        <v>484</v>
      </c>
      <c r="M71" s="286" t="s">
        <v>469</v>
      </c>
      <c r="N71" s="286">
        <v>10</v>
      </c>
      <c r="O71" s="279"/>
      <c r="P71" s="383" t="str">
        <f t="shared" si="0"/>
        <v>INCLUDED</v>
      </c>
      <c r="Q71" s="299">
        <f t="shared" si="1"/>
        <v>0</v>
      </c>
      <c r="R71" s="384">
        <f t="shared" si="2"/>
        <v>0</v>
      </c>
      <c r="S71" s="385">
        <f>Discount!$J$36</f>
        <v>0</v>
      </c>
      <c r="T71" s="384">
        <f t="shared" si="3"/>
        <v>0</v>
      </c>
      <c r="U71" s="386">
        <f t="shared" si="4"/>
        <v>0</v>
      </c>
      <c r="V71" s="387">
        <f t="shared" si="5"/>
        <v>0</v>
      </c>
      <c r="W71" s="388"/>
      <c r="X71" s="388"/>
      <c r="Y71" s="388"/>
      <c r="Z71" s="388"/>
      <c r="AA71" s="388"/>
    </row>
    <row r="72" spans="1:27" ht="46.8">
      <c r="A72" s="380">
        <v>55</v>
      </c>
      <c r="B72" s="286">
        <v>7000026628</v>
      </c>
      <c r="C72" s="286">
        <v>1520</v>
      </c>
      <c r="D72" s="286">
        <v>370</v>
      </c>
      <c r="E72" s="286">
        <v>180</v>
      </c>
      <c r="F72" s="286" t="s">
        <v>688</v>
      </c>
      <c r="G72" s="286">
        <v>100001736</v>
      </c>
      <c r="H72" s="286">
        <v>995462</v>
      </c>
      <c r="I72" s="381"/>
      <c r="J72" s="275">
        <v>18</v>
      </c>
      <c r="K72" s="382"/>
      <c r="L72" s="287" t="s">
        <v>549</v>
      </c>
      <c r="M72" s="286" t="s">
        <v>469</v>
      </c>
      <c r="N72" s="286">
        <v>10</v>
      </c>
      <c r="O72" s="279"/>
      <c r="P72" s="383" t="str">
        <f t="shared" si="0"/>
        <v>INCLUDED</v>
      </c>
      <c r="Q72" s="299">
        <f t="shared" si="1"/>
        <v>0</v>
      </c>
      <c r="R72" s="384">
        <f t="shared" si="2"/>
        <v>0</v>
      </c>
      <c r="S72" s="385">
        <f>Discount!$J$36</f>
        <v>0</v>
      </c>
      <c r="T72" s="384">
        <f t="shared" si="3"/>
        <v>0</v>
      </c>
      <c r="U72" s="386">
        <f t="shared" si="4"/>
        <v>0</v>
      </c>
      <c r="V72" s="387">
        <f t="shared" si="5"/>
        <v>0</v>
      </c>
      <c r="W72" s="388"/>
      <c r="X72" s="388"/>
      <c r="Y72" s="388"/>
      <c r="Z72" s="388"/>
      <c r="AA72" s="388"/>
    </row>
    <row r="73" spans="1:27" ht="46.8">
      <c r="A73" s="380">
        <v>56</v>
      </c>
      <c r="B73" s="286">
        <v>7000026628</v>
      </c>
      <c r="C73" s="286">
        <v>1520</v>
      </c>
      <c r="D73" s="286">
        <v>370</v>
      </c>
      <c r="E73" s="286">
        <v>190</v>
      </c>
      <c r="F73" s="286" t="s">
        <v>688</v>
      </c>
      <c r="G73" s="286">
        <v>100001737</v>
      </c>
      <c r="H73" s="286">
        <v>995462</v>
      </c>
      <c r="I73" s="381"/>
      <c r="J73" s="275">
        <v>18</v>
      </c>
      <c r="K73" s="382"/>
      <c r="L73" s="287" t="s">
        <v>485</v>
      </c>
      <c r="M73" s="286" t="s">
        <v>469</v>
      </c>
      <c r="N73" s="286">
        <v>10</v>
      </c>
      <c r="O73" s="279"/>
      <c r="P73" s="383" t="str">
        <f t="shared" si="0"/>
        <v>INCLUDED</v>
      </c>
      <c r="Q73" s="299">
        <f t="shared" si="1"/>
        <v>0</v>
      </c>
      <c r="R73" s="384">
        <f t="shared" si="2"/>
        <v>0</v>
      </c>
      <c r="S73" s="385">
        <f>Discount!$J$36</f>
        <v>0</v>
      </c>
      <c r="T73" s="384">
        <f t="shared" si="3"/>
        <v>0</v>
      </c>
      <c r="U73" s="386">
        <f t="shared" si="4"/>
        <v>0</v>
      </c>
      <c r="V73" s="387">
        <f t="shared" si="5"/>
        <v>0</v>
      </c>
      <c r="W73" s="388"/>
      <c r="X73" s="388"/>
      <c r="Y73" s="388"/>
      <c r="Z73" s="388"/>
      <c r="AA73" s="388"/>
    </row>
    <row r="74" spans="1:27">
      <c r="A74" s="380">
        <v>57</v>
      </c>
      <c r="B74" s="286">
        <v>7000026628</v>
      </c>
      <c r="C74" s="286">
        <v>1520</v>
      </c>
      <c r="D74" s="286">
        <v>370</v>
      </c>
      <c r="E74" s="286">
        <v>200</v>
      </c>
      <c r="F74" s="286" t="s">
        <v>688</v>
      </c>
      <c r="G74" s="286">
        <v>100007701</v>
      </c>
      <c r="H74" s="286">
        <v>995462</v>
      </c>
      <c r="I74" s="381"/>
      <c r="J74" s="275">
        <v>18</v>
      </c>
      <c r="K74" s="382"/>
      <c r="L74" s="287" t="s">
        <v>550</v>
      </c>
      <c r="M74" s="286" t="s">
        <v>296</v>
      </c>
      <c r="N74" s="286">
        <v>1</v>
      </c>
      <c r="O74" s="279"/>
      <c r="P74" s="383" t="str">
        <f t="shared" si="0"/>
        <v>INCLUDED</v>
      </c>
      <c r="Q74" s="299">
        <f t="shared" si="1"/>
        <v>0</v>
      </c>
      <c r="R74" s="384">
        <f t="shared" si="2"/>
        <v>0</v>
      </c>
      <c r="S74" s="385">
        <f>Discount!$J$36</f>
        <v>0</v>
      </c>
      <c r="T74" s="384">
        <f t="shared" si="3"/>
        <v>0</v>
      </c>
      <c r="U74" s="386">
        <f t="shared" si="4"/>
        <v>0</v>
      </c>
      <c r="V74" s="387">
        <f t="shared" si="5"/>
        <v>0</v>
      </c>
      <c r="W74" s="388"/>
      <c r="X74" s="388"/>
      <c r="Y74" s="388"/>
      <c r="Z74" s="388"/>
      <c r="AA74" s="388"/>
    </row>
    <row r="75" spans="1:27" ht="31.2">
      <c r="A75" s="380">
        <v>58</v>
      </c>
      <c r="B75" s="286">
        <v>7000026628</v>
      </c>
      <c r="C75" s="286">
        <v>1520</v>
      </c>
      <c r="D75" s="286">
        <v>370</v>
      </c>
      <c r="E75" s="286">
        <v>210</v>
      </c>
      <c r="F75" s="286" t="s">
        <v>688</v>
      </c>
      <c r="G75" s="286">
        <v>100001412</v>
      </c>
      <c r="H75" s="286">
        <v>995462</v>
      </c>
      <c r="I75" s="381"/>
      <c r="J75" s="275">
        <v>18</v>
      </c>
      <c r="K75" s="382"/>
      <c r="L75" s="287" t="s">
        <v>543</v>
      </c>
      <c r="M75" s="286" t="s">
        <v>469</v>
      </c>
      <c r="N75" s="286">
        <v>7</v>
      </c>
      <c r="O75" s="279"/>
      <c r="P75" s="383" t="str">
        <f t="shared" si="0"/>
        <v>INCLUDED</v>
      </c>
      <c r="Q75" s="299">
        <f t="shared" si="1"/>
        <v>0</v>
      </c>
      <c r="R75" s="384">
        <f t="shared" si="2"/>
        <v>0</v>
      </c>
      <c r="S75" s="385">
        <f>Discount!$J$36</f>
        <v>0</v>
      </c>
      <c r="T75" s="384">
        <f t="shared" si="3"/>
        <v>0</v>
      </c>
      <c r="U75" s="386">
        <f t="shared" si="4"/>
        <v>0</v>
      </c>
      <c r="V75" s="387">
        <f t="shared" si="5"/>
        <v>0</v>
      </c>
      <c r="W75" s="388"/>
      <c r="X75" s="388"/>
      <c r="Y75" s="388"/>
      <c r="Z75" s="388"/>
      <c r="AA75" s="388"/>
    </row>
    <row r="76" spans="1:27" ht="31.2">
      <c r="A76" s="380">
        <v>59</v>
      </c>
      <c r="B76" s="286">
        <v>7000026628</v>
      </c>
      <c r="C76" s="286">
        <v>1520</v>
      </c>
      <c r="D76" s="286">
        <v>370</v>
      </c>
      <c r="E76" s="286">
        <v>220</v>
      </c>
      <c r="F76" s="286" t="s">
        <v>688</v>
      </c>
      <c r="G76" s="286">
        <v>100001413</v>
      </c>
      <c r="H76" s="286">
        <v>995462</v>
      </c>
      <c r="I76" s="381"/>
      <c r="J76" s="275">
        <v>18</v>
      </c>
      <c r="K76" s="382"/>
      <c r="L76" s="287" t="s">
        <v>544</v>
      </c>
      <c r="M76" s="286" t="s">
        <v>469</v>
      </c>
      <c r="N76" s="286">
        <v>7</v>
      </c>
      <c r="O76" s="279"/>
      <c r="P76" s="383" t="str">
        <f t="shared" si="0"/>
        <v>INCLUDED</v>
      </c>
      <c r="Q76" s="299">
        <f t="shared" si="1"/>
        <v>0</v>
      </c>
      <c r="R76" s="384">
        <f t="shared" si="2"/>
        <v>0</v>
      </c>
      <c r="S76" s="385">
        <f>Discount!$J$36</f>
        <v>0</v>
      </c>
      <c r="T76" s="384">
        <f t="shared" si="3"/>
        <v>0</v>
      </c>
      <c r="U76" s="386">
        <f t="shared" si="4"/>
        <v>0</v>
      </c>
      <c r="V76" s="387">
        <f t="shared" si="5"/>
        <v>0</v>
      </c>
      <c r="W76" s="388"/>
      <c r="X76" s="388"/>
      <c r="Y76" s="388"/>
      <c r="Z76" s="388"/>
      <c r="AA76" s="388"/>
    </row>
    <row r="77" spans="1:27" ht="31.2">
      <c r="A77" s="380">
        <v>60</v>
      </c>
      <c r="B77" s="286">
        <v>7000026628</v>
      </c>
      <c r="C77" s="286">
        <v>1520</v>
      </c>
      <c r="D77" s="286">
        <v>370</v>
      </c>
      <c r="E77" s="286">
        <v>230</v>
      </c>
      <c r="F77" s="286" t="s">
        <v>688</v>
      </c>
      <c r="G77" s="286">
        <v>100001414</v>
      </c>
      <c r="H77" s="286">
        <v>995462</v>
      </c>
      <c r="I77" s="381"/>
      <c r="J77" s="275">
        <v>18</v>
      </c>
      <c r="K77" s="382"/>
      <c r="L77" s="287" t="s">
        <v>545</v>
      </c>
      <c r="M77" s="286" t="s">
        <v>469</v>
      </c>
      <c r="N77" s="286">
        <v>6</v>
      </c>
      <c r="O77" s="279"/>
      <c r="P77" s="383" t="str">
        <f t="shared" si="0"/>
        <v>INCLUDED</v>
      </c>
      <c r="Q77" s="299">
        <f t="shared" si="1"/>
        <v>0</v>
      </c>
      <c r="R77" s="384">
        <f t="shared" si="2"/>
        <v>0</v>
      </c>
      <c r="S77" s="385">
        <f>Discount!$J$36</f>
        <v>0</v>
      </c>
      <c r="T77" s="384">
        <f t="shared" si="3"/>
        <v>0</v>
      </c>
      <c r="U77" s="386">
        <f t="shared" si="4"/>
        <v>0</v>
      </c>
      <c r="V77" s="387">
        <f t="shared" si="5"/>
        <v>0</v>
      </c>
      <c r="W77" s="388"/>
      <c r="X77" s="388"/>
      <c r="Y77" s="388"/>
      <c r="Z77" s="388"/>
      <c r="AA77" s="388"/>
    </row>
    <row r="78" spans="1:27">
      <c r="A78" s="380">
        <v>61</v>
      </c>
      <c r="B78" s="286">
        <v>7000026628</v>
      </c>
      <c r="C78" s="286">
        <v>1520</v>
      </c>
      <c r="D78" s="286">
        <v>370</v>
      </c>
      <c r="E78" s="286">
        <v>240</v>
      </c>
      <c r="F78" s="286" t="s">
        <v>688</v>
      </c>
      <c r="G78" s="286">
        <v>170002351</v>
      </c>
      <c r="H78" s="286">
        <v>995421</v>
      </c>
      <c r="I78" s="381"/>
      <c r="J78" s="275">
        <v>18</v>
      </c>
      <c r="K78" s="382"/>
      <c r="L78" s="287" t="s">
        <v>542</v>
      </c>
      <c r="M78" s="286" t="s">
        <v>470</v>
      </c>
      <c r="N78" s="286">
        <v>82.5</v>
      </c>
      <c r="O78" s="279"/>
      <c r="P78" s="383" t="str">
        <f t="shared" si="0"/>
        <v>INCLUDED</v>
      </c>
      <c r="Q78" s="299">
        <f t="shared" si="1"/>
        <v>0</v>
      </c>
      <c r="R78" s="384">
        <f t="shared" si="2"/>
        <v>0</v>
      </c>
      <c r="S78" s="385">
        <f>Discount!$J$36</f>
        <v>0</v>
      </c>
      <c r="T78" s="384">
        <f t="shared" si="3"/>
        <v>0</v>
      </c>
      <c r="U78" s="386">
        <f t="shared" si="4"/>
        <v>0</v>
      </c>
      <c r="V78" s="387">
        <f t="shared" si="5"/>
        <v>0</v>
      </c>
      <c r="W78" s="388"/>
      <c r="X78" s="388"/>
      <c r="Y78" s="388"/>
      <c r="Z78" s="388"/>
      <c r="AA78" s="388"/>
    </row>
    <row r="79" spans="1:27" ht="46.8">
      <c r="A79" s="380">
        <v>62</v>
      </c>
      <c r="B79" s="286">
        <v>7000026628</v>
      </c>
      <c r="C79" s="286">
        <v>1520</v>
      </c>
      <c r="D79" s="286">
        <v>370</v>
      </c>
      <c r="E79" s="286">
        <v>250</v>
      </c>
      <c r="F79" s="286" t="s">
        <v>688</v>
      </c>
      <c r="G79" s="286">
        <v>100003295</v>
      </c>
      <c r="H79" s="286">
        <v>995429</v>
      </c>
      <c r="I79" s="381"/>
      <c r="J79" s="275">
        <v>18</v>
      </c>
      <c r="K79" s="382"/>
      <c r="L79" s="287" t="s">
        <v>697</v>
      </c>
      <c r="M79" s="286" t="s">
        <v>299</v>
      </c>
      <c r="N79" s="286">
        <v>10</v>
      </c>
      <c r="O79" s="279"/>
      <c r="P79" s="383" t="str">
        <f t="shared" si="0"/>
        <v>INCLUDED</v>
      </c>
      <c r="Q79" s="299">
        <f t="shared" si="1"/>
        <v>0</v>
      </c>
      <c r="R79" s="384">
        <f t="shared" si="2"/>
        <v>0</v>
      </c>
      <c r="S79" s="385">
        <f>Discount!$J$36</f>
        <v>0</v>
      </c>
      <c r="T79" s="384">
        <f t="shared" si="3"/>
        <v>0</v>
      </c>
      <c r="U79" s="386">
        <f t="shared" si="4"/>
        <v>0</v>
      </c>
      <c r="V79" s="387">
        <f t="shared" si="5"/>
        <v>0</v>
      </c>
      <c r="W79" s="388"/>
      <c r="X79" s="388"/>
      <c r="Y79" s="388"/>
      <c r="Z79" s="388"/>
      <c r="AA79" s="388"/>
    </row>
    <row r="80" spans="1:27" ht="62.4">
      <c r="A80" s="380">
        <v>63</v>
      </c>
      <c r="B80" s="286">
        <v>7000026628</v>
      </c>
      <c r="C80" s="286">
        <v>1520</v>
      </c>
      <c r="D80" s="286">
        <v>370</v>
      </c>
      <c r="E80" s="286">
        <v>260</v>
      </c>
      <c r="F80" s="286" t="s">
        <v>688</v>
      </c>
      <c r="G80" s="286">
        <v>100044560</v>
      </c>
      <c r="H80" s="286">
        <v>995414</v>
      </c>
      <c r="I80" s="381"/>
      <c r="J80" s="275">
        <v>18</v>
      </c>
      <c r="K80" s="382"/>
      <c r="L80" s="287" t="s">
        <v>794</v>
      </c>
      <c r="M80" s="286" t="s">
        <v>470</v>
      </c>
      <c r="N80" s="286">
        <v>154</v>
      </c>
      <c r="O80" s="279"/>
      <c r="P80" s="383" t="str">
        <f t="shared" si="0"/>
        <v>INCLUDED</v>
      </c>
      <c r="Q80" s="299">
        <f t="shared" si="1"/>
        <v>0</v>
      </c>
      <c r="R80" s="384">
        <f t="shared" si="2"/>
        <v>0</v>
      </c>
      <c r="S80" s="385">
        <f>Discount!$J$36</f>
        <v>0</v>
      </c>
      <c r="T80" s="384">
        <f t="shared" si="3"/>
        <v>0</v>
      </c>
      <c r="U80" s="386">
        <f t="shared" si="4"/>
        <v>0</v>
      </c>
      <c r="V80" s="387">
        <f t="shared" si="5"/>
        <v>0</v>
      </c>
      <c r="W80" s="388"/>
      <c r="X80" s="388"/>
      <c r="Y80" s="388"/>
      <c r="Z80" s="388"/>
      <c r="AA80" s="388"/>
    </row>
    <row r="81" spans="1:31" ht="62.4">
      <c r="A81" s="380">
        <v>64</v>
      </c>
      <c r="B81" s="286">
        <v>7000026628</v>
      </c>
      <c r="C81" s="286">
        <v>1520</v>
      </c>
      <c r="D81" s="286">
        <v>370</v>
      </c>
      <c r="E81" s="286">
        <v>270</v>
      </c>
      <c r="F81" s="286" t="s">
        <v>688</v>
      </c>
      <c r="G81" s="286">
        <v>100005130</v>
      </c>
      <c r="H81" s="286">
        <v>995413</v>
      </c>
      <c r="I81" s="381"/>
      <c r="J81" s="275">
        <v>18</v>
      </c>
      <c r="K81" s="382"/>
      <c r="L81" s="287" t="s">
        <v>795</v>
      </c>
      <c r="M81" s="286" t="s">
        <v>470</v>
      </c>
      <c r="N81" s="286">
        <v>18</v>
      </c>
      <c r="O81" s="279"/>
      <c r="P81" s="383" t="str">
        <f t="shared" si="0"/>
        <v>INCLUDED</v>
      </c>
      <c r="Q81" s="299">
        <f t="shared" si="1"/>
        <v>0</v>
      </c>
      <c r="R81" s="384">
        <f t="shared" si="2"/>
        <v>0</v>
      </c>
      <c r="S81" s="385">
        <f>Discount!$J$36</f>
        <v>0</v>
      </c>
      <c r="T81" s="384">
        <f t="shared" si="3"/>
        <v>0</v>
      </c>
      <c r="U81" s="386">
        <f t="shared" si="4"/>
        <v>0</v>
      </c>
      <c r="V81" s="387">
        <f t="shared" si="5"/>
        <v>0</v>
      </c>
      <c r="W81" s="388"/>
      <c r="X81" s="388"/>
      <c r="Y81" s="388"/>
      <c r="Z81" s="388"/>
      <c r="AA81" s="388"/>
    </row>
    <row r="82" spans="1:31" ht="62.4">
      <c r="A82" s="380">
        <v>65</v>
      </c>
      <c r="B82" s="286">
        <v>7000026628</v>
      </c>
      <c r="C82" s="286">
        <v>1530</v>
      </c>
      <c r="D82" s="286">
        <v>380</v>
      </c>
      <c r="E82" s="286">
        <v>10</v>
      </c>
      <c r="F82" s="286" t="s">
        <v>785</v>
      </c>
      <c r="G82" s="286">
        <v>100001210</v>
      </c>
      <c r="H82" s="286">
        <v>995455</v>
      </c>
      <c r="I82" s="381"/>
      <c r="J82" s="275">
        <v>18</v>
      </c>
      <c r="K82" s="382"/>
      <c r="L82" s="287" t="s">
        <v>683</v>
      </c>
      <c r="M82" s="286" t="s">
        <v>295</v>
      </c>
      <c r="N82" s="286">
        <v>13</v>
      </c>
      <c r="O82" s="279"/>
      <c r="P82" s="383" t="str">
        <f t="shared" ref="P82:P85" si="6">IF(O82=0, "INCLUDED", IF(ISERROR(N82*O82), O82, N82*O82))</f>
        <v>INCLUDED</v>
      </c>
      <c r="Q82" s="299">
        <f t="shared" ref="Q82:Q85" si="7">IF(P82="Included",0,P82)</f>
        <v>0</v>
      </c>
      <c r="R82" s="384">
        <f t="shared" si="2"/>
        <v>0</v>
      </c>
      <c r="S82" s="385">
        <f>Discount!$J$36</f>
        <v>0</v>
      </c>
      <c r="T82" s="384">
        <f t="shared" si="3"/>
        <v>0</v>
      </c>
      <c r="U82" s="386">
        <f t="shared" si="4"/>
        <v>0</v>
      </c>
      <c r="V82" s="387">
        <f t="shared" si="5"/>
        <v>0</v>
      </c>
      <c r="W82" s="388"/>
      <c r="X82" s="388"/>
      <c r="Y82" s="388"/>
      <c r="Z82" s="388"/>
      <c r="AA82" s="388"/>
    </row>
    <row r="83" spans="1:31" ht="46.8">
      <c r="A83" s="380">
        <v>66</v>
      </c>
      <c r="B83" s="286">
        <v>7000026628</v>
      </c>
      <c r="C83" s="286">
        <v>1530</v>
      </c>
      <c r="D83" s="286">
        <v>380</v>
      </c>
      <c r="E83" s="286">
        <v>30</v>
      </c>
      <c r="F83" s="286" t="s">
        <v>785</v>
      </c>
      <c r="G83" s="286">
        <v>100001680</v>
      </c>
      <c r="H83" s="286">
        <v>995455</v>
      </c>
      <c r="I83" s="381"/>
      <c r="J83" s="275">
        <v>18</v>
      </c>
      <c r="K83" s="382"/>
      <c r="L83" s="287" t="s">
        <v>684</v>
      </c>
      <c r="M83" s="286" t="s">
        <v>295</v>
      </c>
      <c r="N83" s="286">
        <v>0.5</v>
      </c>
      <c r="O83" s="279"/>
      <c r="P83" s="383" t="str">
        <f t="shared" si="6"/>
        <v>INCLUDED</v>
      </c>
      <c r="Q83" s="299">
        <f t="shared" si="7"/>
        <v>0</v>
      </c>
      <c r="R83" s="384">
        <f t="shared" si="2"/>
        <v>0</v>
      </c>
      <c r="S83" s="385">
        <f>Discount!$J$36</f>
        <v>0</v>
      </c>
      <c r="T83" s="384">
        <f t="shared" si="3"/>
        <v>0</v>
      </c>
      <c r="U83" s="386">
        <f t="shared" si="4"/>
        <v>0</v>
      </c>
      <c r="V83" s="387">
        <f t="shared" si="5"/>
        <v>0</v>
      </c>
      <c r="W83" s="388"/>
      <c r="X83" s="388"/>
      <c r="Y83" s="388"/>
      <c r="Z83" s="388"/>
      <c r="AA83" s="388"/>
    </row>
    <row r="84" spans="1:31" ht="46.8">
      <c r="A84" s="380">
        <v>67</v>
      </c>
      <c r="B84" s="286">
        <v>7000026628</v>
      </c>
      <c r="C84" s="286">
        <v>1530</v>
      </c>
      <c r="D84" s="286">
        <v>380</v>
      </c>
      <c r="E84" s="286">
        <v>40</v>
      </c>
      <c r="F84" s="286" t="s">
        <v>785</v>
      </c>
      <c r="G84" s="286">
        <v>100001681</v>
      </c>
      <c r="H84" s="286">
        <v>995455</v>
      </c>
      <c r="I84" s="381"/>
      <c r="J84" s="275">
        <v>18</v>
      </c>
      <c r="K84" s="382"/>
      <c r="L84" s="287" t="s">
        <v>685</v>
      </c>
      <c r="M84" s="286" t="s">
        <v>295</v>
      </c>
      <c r="N84" s="286">
        <v>1.1000000000000001</v>
      </c>
      <c r="O84" s="279"/>
      <c r="P84" s="383" t="str">
        <f t="shared" si="6"/>
        <v>INCLUDED</v>
      </c>
      <c r="Q84" s="299">
        <f t="shared" si="7"/>
        <v>0</v>
      </c>
      <c r="R84" s="384">
        <f t="shared" si="2"/>
        <v>0</v>
      </c>
      <c r="S84" s="385">
        <f>Discount!$J$36</f>
        <v>0</v>
      </c>
      <c r="T84" s="384">
        <f t="shared" si="3"/>
        <v>0</v>
      </c>
      <c r="U84" s="386">
        <f t="shared" si="4"/>
        <v>0</v>
      </c>
      <c r="V84" s="387">
        <f t="shared" si="5"/>
        <v>0</v>
      </c>
      <c r="W84" s="388"/>
      <c r="X84" s="388"/>
      <c r="Y84" s="388"/>
      <c r="Z84" s="388"/>
      <c r="AA84" s="388"/>
    </row>
    <row r="85" spans="1:31" ht="46.8">
      <c r="A85" s="380">
        <v>68</v>
      </c>
      <c r="B85" s="286">
        <v>7000026628</v>
      </c>
      <c r="C85" s="286">
        <v>1530</v>
      </c>
      <c r="D85" s="286">
        <v>380</v>
      </c>
      <c r="E85" s="286">
        <v>50</v>
      </c>
      <c r="F85" s="286" t="s">
        <v>785</v>
      </c>
      <c r="G85" s="286">
        <v>100001241</v>
      </c>
      <c r="H85" s="286">
        <v>995455</v>
      </c>
      <c r="I85" s="381"/>
      <c r="J85" s="275">
        <v>18</v>
      </c>
      <c r="K85" s="382"/>
      <c r="L85" s="287" t="s">
        <v>687</v>
      </c>
      <c r="M85" s="286" t="s">
        <v>295</v>
      </c>
      <c r="N85" s="286">
        <v>4.0999999999999996</v>
      </c>
      <c r="O85" s="279"/>
      <c r="P85" s="383" t="str">
        <f t="shared" si="6"/>
        <v>INCLUDED</v>
      </c>
      <c r="Q85" s="299">
        <f t="shared" si="7"/>
        <v>0</v>
      </c>
      <c r="R85" s="384">
        <f t="shared" si="2"/>
        <v>0</v>
      </c>
      <c r="S85" s="385">
        <f>Discount!$J$36</f>
        <v>0</v>
      </c>
      <c r="T85" s="384">
        <f t="shared" si="3"/>
        <v>0</v>
      </c>
      <c r="U85" s="386">
        <f t="shared" si="4"/>
        <v>0</v>
      </c>
      <c r="V85" s="387">
        <f t="shared" si="5"/>
        <v>0</v>
      </c>
      <c r="W85" s="388"/>
      <c r="X85" s="388"/>
      <c r="Y85" s="388"/>
      <c r="Z85" s="388"/>
      <c r="AA85" s="388"/>
    </row>
    <row r="86" spans="1:31" s="379" customFormat="1" ht="18">
      <c r="A86" s="375" t="s">
        <v>66</v>
      </c>
      <c r="B86" s="267" t="s">
        <v>703</v>
      </c>
      <c r="C86" s="375"/>
      <c r="D86" s="375"/>
      <c r="E86" s="375"/>
      <c r="F86" s="376"/>
      <c r="G86" s="376"/>
      <c r="H86" s="377"/>
      <c r="I86" s="377"/>
      <c r="J86" s="377"/>
      <c r="K86" s="377"/>
      <c r="L86" s="376"/>
      <c r="M86" s="375"/>
      <c r="N86" s="375"/>
      <c r="O86" s="375"/>
      <c r="P86" s="375"/>
      <c r="Q86" s="378"/>
      <c r="V86" s="378"/>
      <c r="W86" s="378"/>
      <c r="X86" s="378"/>
      <c r="Y86" s="378"/>
      <c r="Z86" s="378"/>
      <c r="AA86" s="378"/>
      <c r="AB86" s="378"/>
      <c r="AC86" s="378"/>
      <c r="AD86" s="378"/>
      <c r="AE86" s="378"/>
    </row>
    <row r="87" spans="1:31">
      <c r="A87" s="380">
        <v>1</v>
      </c>
      <c r="B87" s="286">
        <v>7000026407</v>
      </c>
      <c r="C87" s="286">
        <v>220</v>
      </c>
      <c r="D87" s="286">
        <v>11</v>
      </c>
      <c r="E87" s="286">
        <v>10</v>
      </c>
      <c r="F87" s="286" t="s">
        <v>796</v>
      </c>
      <c r="G87" s="286">
        <v>100005443</v>
      </c>
      <c r="H87" s="286">
        <v>998734</v>
      </c>
      <c r="I87" s="381"/>
      <c r="J87" s="275">
        <v>18</v>
      </c>
      <c r="K87" s="382"/>
      <c r="L87" s="287" t="s">
        <v>517</v>
      </c>
      <c r="M87" s="286" t="s">
        <v>296</v>
      </c>
      <c r="N87" s="286">
        <v>3</v>
      </c>
      <c r="O87" s="279"/>
      <c r="P87" s="383" t="str">
        <f t="shared" ref="P87" si="8">IF(O87=0, "INCLUDED", IF(ISERROR(N87*O87), O87, N87*O87))</f>
        <v>INCLUDED</v>
      </c>
      <c r="Q87" s="299">
        <f t="shared" ref="Q87" si="9">IF(P87="Included",0,P87)</f>
        <v>0</v>
      </c>
      <c r="R87" s="384">
        <f>IF( K87="",J87*(IF(P87="Included",0,P87))/100,K87*(IF(P87="Included",0,P87)))</f>
        <v>0</v>
      </c>
      <c r="S87" s="385">
        <f>Discount!$J$36</f>
        <v>0</v>
      </c>
      <c r="T87" s="384">
        <f>S87*Q87</f>
        <v>0</v>
      </c>
      <c r="U87" s="386">
        <f>IF(K87="",J87*T87/100,K87*T87)</f>
        <v>0</v>
      </c>
      <c r="V87" s="387">
        <f>O87*N87</f>
        <v>0</v>
      </c>
      <c r="W87" s="388"/>
      <c r="X87" s="388"/>
      <c r="Y87" s="388"/>
      <c r="Z87" s="388"/>
      <c r="AA87" s="388"/>
    </row>
    <row r="88" spans="1:31">
      <c r="A88" s="380">
        <v>2</v>
      </c>
      <c r="B88" s="286">
        <v>7000026407</v>
      </c>
      <c r="C88" s="286">
        <v>220</v>
      </c>
      <c r="D88" s="286">
        <v>11</v>
      </c>
      <c r="E88" s="286">
        <v>20</v>
      </c>
      <c r="F88" s="286" t="s">
        <v>796</v>
      </c>
      <c r="G88" s="286">
        <v>100000328</v>
      </c>
      <c r="H88" s="286">
        <v>998736</v>
      </c>
      <c r="I88" s="381"/>
      <c r="J88" s="275">
        <v>18</v>
      </c>
      <c r="K88" s="382"/>
      <c r="L88" s="287" t="s">
        <v>501</v>
      </c>
      <c r="M88" s="286" t="s">
        <v>296</v>
      </c>
      <c r="N88" s="286">
        <v>3</v>
      </c>
      <c r="O88" s="279"/>
      <c r="P88" s="383" t="str">
        <f t="shared" ref="P88:P155" si="10">IF(O88=0, "INCLUDED", IF(ISERROR(N88*O88), O88, N88*O88))</f>
        <v>INCLUDED</v>
      </c>
      <c r="Q88" s="299">
        <f t="shared" ref="Q88:Q155" si="11">IF(P88="Included",0,P88)</f>
        <v>0</v>
      </c>
      <c r="R88" s="384">
        <f t="shared" ref="R88:R151" si="12">IF( K88="",J88*(IF(P88="Included",0,P88))/100,K88*(IF(P88="Included",0,P88)))</f>
        <v>0</v>
      </c>
      <c r="S88" s="385">
        <f>Discount!$J$36</f>
        <v>0</v>
      </c>
      <c r="T88" s="384">
        <f t="shared" ref="T88:T151" si="13">S88*Q88</f>
        <v>0</v>
      </c>
      <c r="U88" s="386">
        <f t="shared" ref="U88:U155" si="14">IF(K88="",J88*T88/100,K88*T88)</f>
        <v>0</v>
      </c>
      <c r="V88" s="387">
        <f t="shared" ref="V88:V155" si="15">O88*N88</f>
        <v>0</v>
      </c>
      <c r="W88" s="388"/>
      <c r="X88" s="388"/>
      <c r="Y88" s="388"/>
      <c r="Z88" s="388"/>
      <c r="AA88" s="388"/>
    </row>
    <row r="89" spans="1:31">
      <c r="A89" s="380">
        <v>3</v>
      </c>
      <c r="B89" s="286">
        <v>7000026407</v>
      </c>
      <c r="C89" s="286">
        <v>220</v>
      </c>
      <c r="D89" s="286">
        <v>11</v>
      </c>
      <c r="E89" s="286">
        <v>40</v>
      </c>
      <c r="F89" s="286" t="s">
        <v>796</v>
      </c>
      <c r="G89" s="286">
        <v>100000884</v>
      </c>
      <c r="H89" s="286">
        <v>998734</v>
      </c>
      <c r="I89" s="381"/>
      <c r="J89" s="275">
        <v>18</v>
      </c>
      <c r="K89" s="382"/>
      <c r="L89" s="287" t="s">
        <v>809</v>
      </c>
      <c r="M89" s="286" t="s">
        <v>296</v>
      </c>
      <c r="N89" s="286">
        <v>3</v>
      </c>
      <c r="O89" s="279"/>
      <c r="P89" s="383" t="str">
        <f t="shared" si="10"/>
        <v>INCLUDED</v>
      </c>
      <c r="Q89" s="299">
        <f t="shared" si="11"/>
        <v>0</v>
      </c>
      <c r="R89" s="384">
        <f t="shared" si="12"/>
        <v>0</v>
      </c>
      <c r="S89" s="385">
        <f>Discount!$J$36</f>
        <v>0</v>
      </c>
      <c r="T89" s="384">
        <f t="shared" si="13"/>
        <v>0</v>
      </c>
      <c r="U89" s="386">
        <f t="shared" si="14"/>
        <v>0</v>
      </c>
      <c r="V89" s="387">
        <f t="shared" si="15"/>
        <v>0</v>
      </c>
      <c r="W89" s="388"/>
      <c r="X89" s="388"/>
      <c r="Y89" s="388"/>
      <c r="Z89" s="388"/>
      <c r="AA89" s="388"/>
    </row>
    <row r="90" spans="1:31">
      <c r="A90" s="380">
        <v>4</v>
      </c>
      <c r="B90" s="286">
        <v>7000026407</v>
      </c>
      <c r="C90" s="286">
        <v>220</v>
      </c>
      <c r="D90" s="286">
        <v>11</v>
      </c>
      <c r="E90" s="286">
        <v>50</v>
      </c>
      <c r="F90" s="286" t="s">
        <v>796</v>
      </c>
      <c r="G90" s="286">
        <v>100000484</v>
      </c>
      <c r="H90" s="286">
        <v>998736</v>
      </c>
      <c r="I90" s="381"/>
      <c r="J90" s="275">
        <v>18</v>
      </c>
      <c r="K90" s="382"/>
      <c r="L90" s="287" t="s">
        <v>554</v>
      </c>
      <c r="M90" s="286" t="s">
        <v>296</v>
      </c>
      <c r="N90" s="286">
        <v>3</v>
      </c>
      <c r="O90" s="279"/>
      <c r="P90" s="383" t="str">
        <f t="shared" si="10"/>
        <v>INCLUDED</v>
      </c>
      <c r="Q90" s="299">
        <f t="shared" si="11"/>
        <v>0</v>
      </c>
      <c r="R90" s="384">
        <f t="shared" si="12"/>
        <v>0</v>
      </c>
      <c r="S90" s="385">
        <f>Discount!$J$36</f>
        <v>0</v>
      </c>
      <c r="T90" s="384">
        <f t="shared" si="13"/>
        <v>0</v>
      </c>
      <c r="U90" s="386">
        <f t="shared" si="14"/>
        <v>0</v>
      </c>
      <c r="V90" s="387">
        <f t="shared" si="15"/>
        <v>0</v>
      </c>
      <c r="W90" s="388"/>
      <c r="X90" s="388"/>
      <c r="Y90" s="388"/>
      <c r="Z90" s="388"/>
      <c r="AA90" s="388"/>
    </row>
    <row r="91" spans="1:31" ht="31.2">
      <c r="A91" s="380">
        <v>5</v>
      </c>
      <c r="B91" s="286">
        <v>7000026407</v>
      </c>
      <c r="C91" s="286">
        <v>80</v>
      </c>
      <c r="D91" s="286">
        <v>25</v>
      </c>
      <c r="E91" s="286">
        <v>10</v>
      </c>
      <c r="F91" s="286" t="s">
        <v>797</v>
      </c>
      <c r="G91" s="286">
        <v>100000367</v>
      </c>
      <c r="H91" s="286">
        <v>998736</v>
      </c>
      <c r="I91" s="381"/>
      <c r="J91" s="275">
        <v>18</v>
      </c>
      <c r="K91" s="382"/>
      <c r="L91" s="287" t="s">
        <v>787</v>
      </c>
      <c r="M91" s="286" t="s">
        <v>297</v>
      </c>
      <c r="N91" s="286">
        <v>1</v>
      </c>
      <c r="O91" s="279"/>
      <c r="P91" s="383" t="str">
        <f t="shared" si="10"/>
        <v>INCLUDED</v>
      </c>
      <c r="Q91" s="299">
        <f t="shared" si="11"/>
        <v>0</v>
      </c>
      <c r="R91" s="384">
        <f t="shared" si="12"/>
        <v>0</v>
      </c>
      <c r="S91" s="385">
        <f>Discount!$J$36</f>
        <v>0</v>
      </c>
      <c r="T91" s="384">
        <f t="shared" si="13"/>
        <v>0</v>
      </c>
      <c r="U91" s="386">
        <f t="shared" si="14"/>
        <v>0</v>
      </c>
      <c r="V91" s="387">
        <f t="shared" si="15"/>
        <v>0</v>
      </c>
      <c r="W91" s="388"/>
      <c r="X91" s="388"/>
      <c r="Y91" s="388"/>
      <c r="Z91" s="388"/>
      <c r="AA91" s="388"/>
    </row>
    <row r="92" spans="1:31" ht="31.2">
      <c r="A92" s="380">
        <v>6</v>
      </c>
      <c r="B92" s="286">
        <v>7000026407</v>
      </c>
      <c r="C92" s="286">
        <v>80</v>
      </c>
      <c r="D92" s="286">
        <v>25</v>
      </c>
      <c r="E92" s="286">
        <v>40</v>
      </c>
      <c r="F92" s="286" t="s">
        <v>797</v>
      </c>
      <c r="G92" s="286">
        <v>100002390</v>
      </c>
      <c r="H92" s="286">
        <v>998736</v>
      </c>
      <c r="I92" s="381"/>
      <c r="J92" s="275">
        <v>18</v>
      </c>
      <c r="K92" s="382"/>
      <c r="L92" s="287" t="s">
        <v>691</v>
      </c>
      <c r="M92" s="286" t="s">
        <v>296</v>
      </c>
      <c r="N92" s="286">
        <v>3</v>
      </c>
      <c r="O92" s="279"/>
      <c r="P92" s="383" t="str">
        <f t="shared" si="10"/>
        <v>INCLUDED</v>
      </c>
      <c r="Q92" s="299">
        <f t="shared" si="11"/>
        <v>0</v>
      </c>
      <c r="R92" s="384">
        <f t="shared" si="12"/>
        <v>0</v>
      </c>
      <c r="S92" s="385">
        <f>Discount!$J$36</f>
        <v>0</v>
      </c>
      <c r="T92" s="384">
        <f t="shared" si="13"/>
        <v>0</v>
      </c>
      <c r="U92" s="386">
        <f t="shared" si="14"/>
        <v>0</v>
      </c>
      <c r="V92" s="387">
        <f t="shared" si="15"/>
        <v>0</v>
      </c>
      <c r="W92" s="388"/>
      <c r="X92" s="388"/>
      <c r="Y92" s="388"/>
      <c r="Z92" s="388"/>
      <c r="AA92" s="388"/>
    </row>
    <row r="93" spans="1:31" ht="31.2">
      <c r="A93" s="380">
        <v>7</v>
      </c>
      <c r="B93" s="286">
        <v>7000026407</v>
      </c>
      <c r="C93" s="286">
        <v>80</v>
      </c>
      <c r="D93" s="286">
        <v>25</v>
      </c>
      <c r="E93" s="286">
        <v>50</v>
      </c>
      <c r="F93" s="286" t="s">
        <v>797</v>
      </c>
      <c r="G93" s="286">
        <v>100003578</v>
      </c>
      <c r="H93" s="286">
        <v>998736</v>
      </c>
      <c r="I93" s="381"/>
      <c r="J93" s="275">
        <v>18</v>
      </c>
      <c r="K93" s="382"/>
      <c r="L93" s="287" t="s">
        <v>786</v>
      </c>
      <c r="M93" s="286" t="s">
        <v>297</v>
      </c>
      <c r="N93" s="286">
        <v>2</v>
      </c>
      <c r="O93" s="279"/>
      <c r="P93" s="383" t="str">
        <f t="shared" si="10"/>
        <v>INCLUDED</v>
      </c>
      <c r="Q93" s="299">
        <f t="shared" si="11"/>
        <v>0</v>
      </c>
      <c r="R93" s="384">
        <f t="shared" si="12"/>
        <v>0</v>
      </c>
      <c r="S93" s="385">
        <f>Discount!$J$36</f>
        <v>0</v>
      </c>
      <c r="T93" s="384">
        <f t="shared" si="13"/>
        <v>0</v>
      </c>
      <c r="U93" s="386">
        <f t="shared" si="14"/>
        <v>0</v>
      </c>
      <c r="V93" s="387">
        <f t="shared" si="15"/>
        <v>0</v>
      </c>
      <c r="W93" s="388"/>
      <c r="X93" s="388"/>
      <c r="Y93" s="388"/>
      <c r="Z93" s="388"/>
      <c r="AA93" s="388"/>
    </row>
    <row r="94" spans="1:31" ht="46.8">
      <c r="A94" s="380">
        <v>8</v>
      </c>
      <c r="B94" s="286">
        <v>7000026407</v>
      </c>
      <c r="C94" s="286">
        <v>80</v>
      </c>
      <c r="D94" s="286">
        <v>25</v>
      </c>
      <c r="E94" s="286">
        <v>60</v>
      </c>
      <c r="F94" s="286" t="s">
        <v>797</v>
      </c>
      <c r="G94" s="286">
        <v>100026389</v>
      </c>
      <c r="H94" s="286">
        <v>998736</v>
      </c>
      <c r="I94" s="381"/>
      <c r="J94" s="275">
        <v>18</v>
      </c>
      <c r="K94" s="382"/>
      <c r="L94" s="287" t="s">
        <v>810</v>
      </c>
      <c r="M94" s="286" t="s">
        <v>469</v>
      </c>
      <c r="N94" s="286">
        <v>300</v>
      </c>
      <c r="O94" s="279"/>
      <c r="P94" s="383" t="str">
        <f t="shared" si="10"/>
        <v>INCLUDED</v>
      </c>
      <c r="Q94" s="299">
        <f t="shared" si="11"/>
        <v>0</v>
      </c>
      <c r="R94" s="384">
        <f t="shared" si="12"/>
        <v>0</v>
      </c>
      <c r="S94" s="385">
        <f>Discount!$J$36</f>
        <v>0</v>
      </c>
      <c r="T94" s="384">
        <f t="shared" si="13"/>
        <v>0</v>
      </c>
      <c r="U94" s="386">
        <f t="shared" si="14"/>
        <v>0</v>
      </c>
      <c r="V94" s="387">
        <f t="shared" si="15"/>
        <v>0</v>
      </c>
      <c r="W94" s="388"/>
      <c r="X94" s="388"/>
      <c r="Y94" s="388"/>
      <c r="Z94" s="388"/>
      <c r="AA94" s="388"/>
    </row>
    <row r="95" spans="1:31" ht="31.2">
      <c r="A95" s="380">
        <v>9</v>
      </c>
      <c r="B95" s="286">
        <v>7000026407</v>
      </c>
      <c r="C95" s="286">
        <v>150</v>
      </c>
      <c r="D95" s="286">
        <v>45</v>
      </c>
      <c r="E95" s="286">
        <v>30</v>
      </c>
      <c r="F95" s="286" t="s">
        <v>798</v>
      </c>
      <c r="G95" s="286">
        <v>100002140</v>
      </c>
      <c r="H95" s="286">
        <v>998736</v>
      </c>
      <c r="I95" s="381"/>
      <c r="J95" s="275">
        <v>18</v>
      </c>
      <c r="K95" s="382"/>
      <c r="L95" s="287" t="s">
        <v>677</v>
      </c>
      <c r="M95" s="286" t="s">
        <v>469</v>
      </c>
      <c r="N95" s="286">
        <v>650</v>
      </c>
      <c r="O95" s="279"/>
      <c r="P95" s="383" t="str">
        <f t="shared" si="10"/>
        <v>INCLUDED</v>
      </c>
      <c r="Q95" s="299">
        <f t="shared" si="11"/>
        <v>0</v>
      </c>
      <c r="R95" s="384">
        <f t="shared" si="12"/>
        <v>0</v>
      </c>
      <c r="S95" s="385">
        <f>Discount!$J$36</f>
        <v>0</v>
      </c>
      <c r="T95" s="384">
        <f t="shared" si="13"/>
        <v>0</v>
      </c>
      <c r="U95" s="386">
        <f t="shared" si="14"/>
        <v>0</v>
      </c>
      <c r="V95" s="387">
        <f t="shared" si="15"/>
        <v>0</v>
      </c>
      <c r="W95" s="388"/>
      <c r="X95" s="388"/>
      <c r="Y95" s="388"/>
      <c r="Z95" s="388"/>
      <c r="AA95" s="388"/>
    </row>
    <row r="96" spans="1:31" ht="31.2">
      <c r="A96" s="380">
        <v>10</v>
      </c>
      <c r="B96" s="286">
        <v>7000026407</v>
      </c>
      <c r="C96" s="286">
        <v>150</v>
      </c>
      <c r="D96" s="286">
        <v>45</v>
      </c>
      <c r="E96" s="286">
        <v>50</v>
      </c>
      <c r="F96" s="286" t="s">
        <v>798</v>
      </c>
      <c r="G96" s="286">
        <v>100002392</v>
      </c>
      <c r="H96" s="286">
        <v>998736</v>
      </c>
      <c r="I96" s="381"/>
      <c r="J96" s="275">
        <v>18</v>
      </c>
      <c r="K96" s="382"/>
      <c r="L96" s="287" t="s">
        <v>678</v>
      </c>
      <c r="M96" s="286" t="s">
        <v>296</v>
      </c>
      <c r="N96" s="286">
        <v>3</v>
      </c>
      <c r="O96" s="279"/>
      <c r="P96" s="383" t="str">
        <f t="shared" si="10"/>
        <v>INCLUDED</v>
      </c>
      <c r="Q96" s="299">
        <f t="shared" si="11"/>
        <v>0</v>
      </c>
      <c r="R96" s="384">
        <f t="shared" si="12"/>
        <v>0</v>
      </c>
      <c r="S96" s="385">
        <f>Discount!$J$36</f>
        <v>0</v>
      </c>
      <c r="T96" s="384">
        <f t="shared" si="13"/>
        <v>0</v>
      </c>
      <c r="U96" s="386">
        <f t="shared" si="14"/>
        <v>0</v>
      </c>
      <c r="V96" s="387">
        <f t="shared" si="15"/>
        <v>0</v>
      </c>
      <c r="W96" s="388"/>
      <c r="X96" s="388"/>
      <c r="Y96" s="388"/>
      <c r="Z96" s="388"/>
      <c r="AA96" s="388"/>
    </row>
    <row r="97" spans="1:27" ht="31.2">
      <c r="A97" s="380">
        <v>11</v>
      </c>
      <c r="B97" s="286">
        <v>7000026407</v>
      </c>
      <c r="C97" s="286">
        <v>150</v>
      </c>
      <c r="D97" s="286">
        <v>45</v>
      </c>
      <c r="E97" s="286">
        <v>80</v>
      </c>
      <c r="F97" s="286" t="s">
        <v>798</v>
      </c>
      <c r="G97" s="286">
        <v>100001826</v>
      </c>
      <c r="H97" s="286">
        <v>998736</v>
      </c>
      <c r="I97" s="381"/>
      <c r="J97" s="275">
        <v>18</v>
      </c>
      <c r="K97" s="382"/>
      <c r="L97" s="287" t="s">
        <v>676</v>
      </c>
      <c r="M97" s="286" t="s">
        <v>297</v>
      </c>
      <c r="N97" s="286">
        <v>1</v>
      </c>
      <c r="O97" s="279"/>
      <c r="P97" s="383" t="str">
        <f t="shared" si="10"/>
        <v>INCLUDED</v>
      </c>
      <c r="Q97" s="299">
        <f t="shared" si="11"/>
        <v>0</v>
      </c>
      <c r="R97" s="384">
        <f t="shared" si="12"/>
        <v>0</v>
      </c>
      <c r="S97" s="385">
        <f>Discount!$J$36</f>
        <v>0</v>
      </c>
      <c r="T97" s="384">
        <f t="shared" si="13"/>
        <v>0</v>
      </c>
      <c r="U97" s="386">
        <f t="shared" si="14"/>
        <v>0</v>
      </c>
      <c r="V97" s="387">
        <f t="shared" si="15"/>
        <v>0</v>
      </c>
      <c r="W97" s="388"/>
      <c r="X97" s="388"/>
      <c r="Y97" s="388"/>
      <c r="Z97" s="388"/>
      <c r="AA97" s="388"/>
    </row>
    <row r="98" spans="1:27" ht="31.2">
      <c r="A98" s="380">
        <v>12</v>
      </c>
      <c r="B98" s="286">
        <v>7000026407</v>
      </c>
      <c r="C98" s="286">
        <v>150</v>
      </c>
      <c r="D98" s="286">
        <v>45</v>
      </c>
      <c r="E98" s="286">
        <v>90</v>
      </c>
      <c r="F98" s="286" t="s">
        <v>798</v>
      </c>
      <c r="G98" s="286">
        <v>100004316</v>
      </c>
      <c r="H98" s="286">
        <v>998736</v>
      </c>
      <c r="I98" s="381"/>
      <c r="J98" s="275">
        <v>18</v>
      </c>
      <c r="K98" s="382"/>
      <c r="L98" s="287" t="s">
        <v>811</v>
      </c>
      <c r="M98" s="286" t="s">
        <v>297</v>
      </c>
      <c r="N98" s="286">
        <v>1</v>
      </c>
      <c r="O98" s="279"/>
      <c r="P98" s="383" t="str">
        <f t="shared" si="10"/>
        <v>INCLUDED</v>
      </c>
      <c r="Q98" s="299">
        <f t="shared" si="11"/>
        <v>0</v>
      </c>
      <c r="R98" s="384">
        <f t="shared" si="12"/>
        <v>0</v>
      </c>
      <c r="S98" s="385">
        <f>Discount!$J$36</f>
        <v>0</v>
      </c>
      <c r="T98" s="384">
        <f t="shared" si="13"/>
        <v>0</v>
      </c>
      <c r="U98" s="386">
        <f t="shared" si="14"/>
        <v>0</v>
      </c>
      <c r="V98" s="387">
        <f t="shared" si="15"/>
        <v>0</v>
      </c>
      <c r="W98" s="388"/>
      <c r="X98" s="388"/>
      <c r="Y98" s="388"/>
      <c r="Z98" s="388"/>
      <c r="AA98" s="388"/>
    </row>
    <row r="99" spans="1:27" ht="31.2">
      <c r="A99" s="380">
        <v>13</v>
      </c>
      <c r="B99" s="286">
        <v>7000026407</v>
      </c>
      <c r="C99" s="286">
        <v>150</v>
      </c>
      <c r="D99" s="286">
        <v>45</v>
      </c>
      <c r="E99" s="286">
        <v>100</v>
      </c>
      <c r="F99" s="286" t="s">
        <v>798</v>
      </c>
      <c r="G99" s="286">
        <v>100001843</v>
      </c>
      <c r="H99" s="286">
        <v>998736</v>
      </c>
      <c r="I99" s="381"/>
      <c r="J99" s="275">
        <v>18</v>
      </c>
      <c r="K99" s="382"/>
      <c r="L99" s="287" t="s">
        <v>812</v>
      </c>
      <c r="M99" s="286" t="s">
        <v>297</v>
      </c>
      <c r="N99" s="286">
        <v>1</v>
      </c>
      <c r="O99" s="279"/>
      <c r="P99" s="383" t="str">
        <f t="shared" si="10"/>
        <v>INCLUDED</v>
      </c>
      <c r="Q99" s="299">
        <f t="shared" si="11"/>
        <v>0</v>
      </c>
      <c r="R99" s="384">
        <f t="shared" si="12"/>
        <v>0</v>
      </c>
      <c r="S99" s="385">
        <f>Discount!$J$36</f>
        <v>0</v>
      </c>
      <c r="T99" s="384">
        <f t="shared" si="13"/>
        <v>0</v>
      </c>
      <c r="U99" s="386">
        <f t="shared" si="14"/>
        <v>0</v>
      </c>
      <c r="V99" s="387">
        <f t="shared" si="15"/>
        <v>0</v>
      </c>
      <c r="W99" s="388"/>
      <c r="X99" s="388"/>
      <c r="Y99" s="388"/>
      <c r="Z99" s="388"/>
      <c r="AA99" s="388"/>
    </row>
    <row r="100" spans="1:27" ht="31.2">
      <c r="A100" s="380">
        <v>14</v>
      </c>
      <c r="B100" s="286">
        <v>7000026407</v>
      </c>
      <c r="C100" s="286">
        <v>150</v>
      </c>
      <c r="D100" s="286">
        <v>45</v>
      </c>
      <c r="E100" s="286">
        <v>110</v>
      </c>
      <c r="F100" s="286" t="s">
        <v>798</v>
      </c>
      <c r="G100" s="286">
        <v>100003557</v>
      </c>
      <c r="H100" s="286">
        <v>998736</v>
      </c>
      <c r="I100" s="381"/>
      <c r="J100" s="275">
        <v>18</v>
      </c>
      <c r="K100" s="382"/>
      <c r="L100" s="287" t="s">
        <v>679</v>
      </c>
      <c r="M100" s="286" t="s">
        <v>297</v>
      </c>
      <c r="N100" s="286">
        <v>2</v>
      </c>
      <c r="O100" s="279"/>
      <c r="P100" s="383" t="str">
        <f t="shared" ref="P100:P128" si="16">IF(O100=0, "INCLUDED", IF(ISERROR(N100*O100), O100, N100*O100))</f>
        <v>INCLUDED</v>
      </c>
      <c r="Q100" s="299">
        <f t="shared" ref="Q100:Q128" si="17">IF(P100="Included",0,P100)</f>
        <v>0</v>
      </c>
      <c r="R100" s="384">
        <f t="shared" ref="R100:R128" si="18">IF( K100="",J100*(IF(P100="Included",0,P100))/100,K100*(IF(P100="Included",0,P100)))</f>
        <v>0</v>
      </c>
      <c r="S100" s="385">
        <f>Discount!$J$36</f>
        <v>0</v>
      </c>
      <c r="T100" s="384">
        <f t="shared" ref="T100:T128" si="19">S100*Q100</f>
        <v>0</v>
      </c>
      <c r="U100" s="386">
        <f t="shared" ref="U100:U128" si="20">IF(K100="",J100*T100/100,K100*T100)</f>
        <v>0</v>
      </c>
      <c r="V100" s="387">
        <f t="shared" ref="V100:V128" si="21">O100*N100</f>
        <v>0</v>
      </c>
      <c r="W100" s="388"/>
      <c r="X100" s="388"/>
      <c r="Y100" s="388"/>
      <c r="Z100" s="388"/>
      <c r="AA100" s="388"/>
    </row>
    <row r="101" spans="1:27">
      <c r="A101" s="380">
        <v>15</v>
      </c>
      <c r="B101" s="286">
        <v>7000026407</v>
      </c>
      <c r="C101" s="286">
        <v>230</v>
      </c>
      <c r="D101" s="286">
        <v>56</v>
      </c>
      <c r="E101" s="286">
        <v>10</v>
      </c>
      <c r="F101" s="286" t="s">
        <v>799</v>
      </c>
      <c r="G101" s="286">
        <v>100016779</v>
      </c>
      <c r="H101" s="286">
        <v>998736</v>
      </c>
      <c r="I101" s="381"/>
      <c r="J101" s="275">
        <v>18</v>
      </c>
      <c r="K101" s="382"/>
      <c r="L101" s="287" t="s">
        <v>689</v>
      </c>
      <c r="M101" s="286" t="s">
        <v>296</v>
      </c>
      <c r="N101" s="286">
        <v>3</v>
      </c>
      <c r="O101" s="279"/>
      <c r="P101" s="383" t="str">
        <f t="shared" si="16"/>
        <v>INCLUDED</v>
      </c>
      <c r="Q101" s="299">
        <f t="shared" si="17"/>
        <v>0</v>
      </c>
      <c r="R101" s="384">
        <f t="shared" si="18"/>
        <v>0</v>
      </c>
      <c r="S101" s="385">
        <f>Discount!$J$36</f>
        <v>0</v>
      </c>
      <c r="T101" s="384">
        <f t="shared" si="19"/>
        <v>0</v>
      </c>
      <c r="U101" s="386">
        <f t="shared" si="20"/>
        <v>0</v>
      </c>
      <c r="V101" s="387">
        <f t="shared" si="21"/>
        <v>0</v>
      </c>
      <c r="W101" s="388"/>
      <c r="X101" s="388"/>
      <c r="Y101" s="388"/>
      <c r="Z101" s="388"/>
      <c r="AA101" s="388"/>
    </row>
    <row r="102" spans="1:27" ht="31.2">
      <c r="A102" s="380">
        <v>16</v>
      </c>
      <c r="B102" s="286">
        <v>7000026407</v>
      </c>
      <c r="C102" s="286">
        <v>230</v>
      </c>
      <c r="D102" s="286">
        <v>56</v>
      </c>
      <c r="E102" s="286">
        <v>30</v>
      </c>
      <c r="F102" s="286" t="s">
        <v>799</v>
      </c>
      <c r="G102" s="286">
        <v>100000735</v>
      </c>
      <c r="H102" s="286">
        <v>998736</v>
      </c>
      <c r="I102" s="381"/>
      <c r="J102" s="275">
        <v>18</v>
      </c>
      <c r="K102" s="382"/>
      <c r="L102" s="287" t="s">
        <v>686</v>
      </c>
      <c r="M102" s="286" t="s">
        <v>297</v>
      </c>
      <c r="N102" s="286">
        <v>1</v>
      </c>
      <c r="O102" s="279"/>
      <c r="P102" s="383" t="str">
        <f t="shared" si="16"/>
        <v>INCLUDED</v>
      </c>
      <c r="Q102" s="299">
        <f t="shared" si="17"/>
        <v>0</v>
      </c>
      <c r="R102" s="384">
        <f t="shared" si="18"/>
        <v>0</v>
      </c>
      <c r="S102" s="385">
        <f>Discount!$J$36</f>
        <v>0</v>
      </c>
      <c r="T102" s="384">
        <f t="shared" si="19"/>
        <v>0</v>
      </c>
      <c r="U102" s="386">
        <f t="shared" si="20"/>
        <v>0</v>
      </c>
      <c r="V102" s="387">
        <f t="shared" si="21"/>
        <v>0</v>
      </c>
      <c r="W102" s="388"/>
      <c r="X102" s="388"/>
      <c r="Y102" s="388"/>
      <c r="Z102" s="388"/>
      <c r="AA102" s="388"/>
    </row>
    <row r="103" spans="1:27" ht="31.2">
      <c r="A103" s="380">
        <v>17</v>
      </c>
      <c r="B103" s="286">
        <v>7000026407</v>
      </c>
      <c r="C103" s="286">
        <v>230</v>
      </c>
      <c r="D103" s="286">
        <v>56</v>
      </c>
      <c r="E103" s="286">
        <v>40</v>
      </c>
      <c r="F103" s="286" t="s">
        <v>799</v>
      </c>
      <c r="G103" s="286">
        <v>100000731</v>
      </c>
      <c r="H103" s="286">
        <v>998736</v>
      </c>
      <c r="I103" s="381"/>
      <c r="J103" s="275">
        <v>18</v>
      </c>
      <c r="K103" s="382"/>
      <c r="L103" s="287" t="s">
        <v>789</v>
      </c>
      <c r="M103" s="286" t="s">
        <v>296</v>
      </c>
      <c r="N103" s="286">
        <v>1</v>
      </c>
      <c r="O103" s="279"/>
      <c r="P103" s="383" t="str">
        <f t="shared" si="16"/>
        <v>INCLUDED</v>
      </c>
      <c r="Q103" s="299">
        <f t="shared" si="17"/>
        <v>0</v>
      </c>
      <c r="R103" s="384">
        <f t="shared" si="18"/>
        <v>0</v>
      </c>
      <c r="S103" s="385">
        <f>Discount!$J$36</f>
        <v>0</v>
      </c>
      <c r="T103" s="384">
        <f t="shared" si="19"/>
        <v>0</v>
      </c>
      <c r="U103" s="386">
        <f t="shared" si="20"/>
        <v>0</v>
      </c>
      <c r="V103" s="387">
        <f t="shared" si="21"/>
        <v>0</v>
      </c>
      <c r="W103" s="388"/>
      <c r="X103" s="388"/>
      <c r="Y103" s="388"/>
      <c r="Z103" s="388"/>
      <c r="AA103" s="388"/>
    </row>
    <row r="104" spans="1:27">
      <c r="A104" s="380">
        <v>18</v>
      </c>
      <c r="B104" s="286">
        <v>7000026407</v>
      </c>
      <c r="C104" s="286">
        <v>230</v>
      </c>
      <c r="D104" s="286">
        <v>56</v>
      </c>
      <c r="E104" s="286">
        <v>50</v>
      </c>
      <c r="F104" s="286" t="s">
        <v>799</v>
      </c>
      <c r="G104" s="286">
        <v>100016778</v>
      </c>
      <c r="H104" s="286">
        <v>998736</v>
      </c>
      <c r="I104" s="381"/>
      <c r="J104" s="275">
        <v>18</v>
      </c>
      <c r="K104" s="382"/>
      <c r="L104" s="287" t="s">
        <v>788</v>
      </c>
      <c r="M104" s="286" t="s">
        <v>296</v>
      </c>
      <c r="N104" s="286">
        <v>1</v>
      </c>
      <c r="O104" s="279"/>
      <c r="P104" s="383" t="str">
        <f t="shared" si="16"/>
        <v>INCLUDED</v>
      </c>
      <c r="Q104" s="299">
        <f t="shared" si="17"/>
        <v>0</v>
      </c>
      <c r="R104" s="384">
        <f t="shared" si="18"/>
        <v>0</v>
      </c>
      <c r="S104" s="385">
        <f>Discount!$J$36</f>
        <v>0</v>
      </c>
      <c r="T104" s="384">
        <f t="shared" si="19"/>
        <v>0</v>
      </c>
      <c r="U104" s="386">
        <f t="shared" si="20"/>
        <v>0</v>
      </c>
      <c r="V104" s="387">
        <f t="shared" si="21"/>
        <v>0</v>
      </c>
      <c r="W104" s="388"/>
      <c r="X104" s="388"/>
      <c r="Y104" s="388"/>
      <c r="Z104" s="388"/>
      <c r="AA104" s="388"/>
    </row>
    <row r="105" spans="1:27" ht="31.2">
      <c r="A105" s="380">
        <v>19</v>
      </c>
      <c r="B105" s="286">
        <v>7000026407</v>
      </c>
      <c r="C105" s="286">
        <v>230</v>
      </c>
      <c r="D105" s="286">
        <v>56</v>
      </c>
      <c r="E105" s="286">
        <v>60</v>
      </c>
      <c r="F105" s="286" t="s">
        <v>799</v>
      </c>
      <c r="G105" s="286">
        <v>100000743</v>
      </c>
      <c r="H105" s="286">
        <v>998736</v>
      </c>
      <c r="I105" s="381"/>
      <c r="J105" s="275">
        <v>18</v>
      </c>
      <c r="K105" s="382"/>
      <c r="L105" s="287" t="s">
        <v>693</v>
      </c>
      <c r="M105" s="286" t="s">
        <v>297</v>
      </c>
      <c r="N105" s="286">
        <v>1</v>
      </c>
      <c r="O105" s="279"/>
      <c r="P105" s="383" t="str">
        <f t="shared" si="16"/>
        <v>INCLUDED</v>
      </c>
      <c r="Q105" s="299">
        <f t="shared" si="17"/>
        <v>0</v>
      </c>
      <c r="R105" s="384">
        <f t="shared" si="18"/>
        <v>0</v>
      </c>
      <c r="S105" s="385">
        <f>Discount!$J$36</f>
        <v>0</v>
      </c>
      <c r="T105" s="384">
        <f t="shared" si="19"/>
        <v>0</v>
      </c>
      <c r="U105" s="386">
        <f t="shared" si="20"/>
        <v>0</v>
      </c>
      <c r="V105" s="387">
        <f t="shared" si="21"/>
        <v>0</v>
      </c>
      <c r="W105" s="388"/>
      <c r="X105" s="388"/>
      <c r="Y105" s="388"/>
      <c r="Z105" s="388"/>
      <c r="AA105" s="388"/>
    </row>
    <row r="106" spans="1:27" ht="31.2">
      <c r="A106" s="380">
        <v>20</v>
      </c>
      <c r="B106" s="286">
        <v>7000026407</v>
      </c>
      <c r="C106" s="286">
        <v>240</v>
      </c>
      <c r="D106" s="286">
        <v>65</v>
      </c>
      <c r="E106" s="286">
        <v>30</v>
      </c>
      <c r="F106" s="286" t="s">
        <v>800</v>
      </c>
      <c r="G106" s="286">
        <v>100002069</v>
      </c>
      <c r="H106" s="286">
        <v>998736</v>
      </c>
      <c r="I106" s="381"/>
      <c r="J106" s="275">
        <v>18</v>
      </c>
      <c r="K106" s="382"/>
      <c r="L106" s="287" t="s">
        <v>680</v>
      </c>
      <c r="M106" s="286" t="s">
        <v>296</v>
      </c>
      <c r="N106" s="286">
        <v>2</v>
      </c>
      <c r="O106" s="279"/>
      <c r="P106" s="383" t="str">
        <f t="shared" si="16"/>
        <v>INCLUDED</v>
      </c>
      <c r="Q106" s="299">
        <f t="shared" si="17"/>
        <v>0</v>
      </c>
      <c r="R106" s="384">
        <f t="shared" si="18"/>
        <v>0</v>
      </c>
      <c r="S106" s="385">
        <f>Discount!$J$36</f>
        <v>0</v>
      </c>
      <c r="T106" s="384">
        <f t="shared" si="19"/>
        <v>0</v>
      </c>
      <c r="U106" s="386">
        <f t="shared" si="20"/>
        <v>0</v>
      </c>
      <c r="V106" s="387">
        <f t="shared" si="21"/>
        <v>0</v>
      </c>
      <c r="W106" s="388"/>
      <c r="X106" s="388"/>
      <c r="Y106" s="388"/>
      <c r="Z106" s="388"/>
      <c r="AA106" s="388"/>
    </row>
    <row r="107" spans="1:27" ht="31.2">
      <c r="A107" s="380">
        <v>21</v>
      </c>
      <c r="B107" s="286">
        <v>7000026407</v>
      </c>
      <c r="C107" s="286">
        <v>240</v>
      </c>
      <c r="D107" s="286">
        <v>65</v>
      </c>
      <c r="E107" s="286">
        <v>40</v>
      </c>
      <c r="F107" s="286" t="s">
        <v>800</v>
      </c>
      <c r="G107" s="286">
        <v>100002075</v>
      </c>
      <c r="H107" s="286">
        <v>998736</v>
      </c>
      <c r="I107" s="381"/>
      <c r="J107" s="275">
        <v>18</v>
      </c>
      <c r="K107" s="382"/>
      <c r="L107" s="287" t="s">
        <v>681</v>
      </c>
      <c r="M107" s="286" t="s">
        <v>296</v>
      </c>
      <c r="N107" s="286">
        <v>1</v>
      </c>
      <c r="O107" s="279"/>
      <c r="P107" s="383" t="str">
        <f t="shared" si="16"/>
        <v>INCLUDED</v>
      </c>
      <c r="Q107" s="299">
        <f t="shared" si="17"/>
        <v>0</v>
      </c>
      <c r="R107" s="384">
        <f t="shared" si="18"/>
        <v>0</v>
      </c>
      <c r="S107" s="385">
        <f>Discount!$J$36</f>
        <v>0</v>
      </c>
      <c r="T107" s="384">
        <f t="shared" si="19"/>
        <v>0</v>
      </c>
      <c r="U107" s="386">
        <f t="shared" si="20"/>
        <v>0</v>
      </c>
      <c r="V107" s="387">
        <f t="shared" si="21"/>
        <v>0</v>
      </c>
      <c r="W107" s="388"/>
      <c r="X107" s="388"/>
      <c r="Y107" s="388"/>
      <c r="Z107" s="388"/>
      <c r="AA107" s="388"/>
    </row>
    <row r="108" spans="1:27" ht="31.2">
      <c r="A108" s="380">
        <v>22</v>
      </c>
      <c r="B108" s="286">
        <v>7000026407</v>
      </c>
      <c r="C108" s="286">
        <v>240</v>
      </c>
      <c r="D108" s="286">
        <v>65</v>
      </c>
      <c r="E108" s="286">
        <v>50</v>
      </c>
      <c r="F108" s="286" t="s">
        <v>800</v>
      </c>
      <c r="G108" s="286">
        <v>100002070</v>
      </c>
      <c r="H108" s="286">
        <v>998736</v>
      </c>
      <c r="I108" s="381"/>
      <c r="J108" s="275">
        <v>18</v>
      </c>
      <c r="K108" s="382"/>
      <c r="L108" s="287" t="s">
        <v>694</v>
      </c>
      <c r="M108" s="286" t="s">
        <v>296</v>
      </c>
      <c r="N108" s="286">
        <v>1</v>
      </c>
      <c r="O108" s="279"/>
      <c r="P108" s="383" t="str">
        <f t="shared" si="16"/>
        <v>INCLUDED</v>
      </c>
      <c r="Q108" s="299">
        <f t="shared" si="17"/>
        <v>0</v>
      </c>
      <c r="R108" s="384">
        <f t="shared" si="18"/>
        <v>0</v>
      </c>
      <c r="S108" s="385">
        <f>Discount!$J$36</f>
        <v>0</v>
      </c>
      <c r="T108" s="384">
        <f t="shared" si="19"/>
        <v>0</v>
      </c>
      <c r="U108" s="386">
        <f t="shared" si="20"/>
        <v>0</v>
      </c>
      <c r="V108" s="387">
        <f t="shared" si="21"/>
        <v>0</v>
      </c>
      <c r="W108" s="388"/>
      <c r="X108" s="388"/>
      <c r="Y108" s="388"/>
      <c r="Z108" s="388"/>
      <c r="AA108" s="388"/>
    </row>
    <row r="109" spans="1:27" ht="31.2">
      <c r="A109" s="380">
        <v>23</v>
      </c>
      <c r="B109" s="286">
        <v>7000026407</v>
      </c>
      <c r="C109" s="286">
        <v>1500</v>
      </c>
      <c r="D109" s="286">
        <v>72</v>
      </c>
      <c r="E109" s="286">
        <v>20</v>
      </c>
      <c r="F109" s="286" t="s">
        <v>801</v>
      </c>
      <c r="G109" s="286">
        <v>100001853</v>
      </c>
      <c r="H109" s="286">
        <v>998731</v>
      </c>
      <c r="I109" s="381"/>
      <c r="J109" s="275">
        <v>18</v>
      </c>
      <c r="K109" s="382"/>
      <c r="L109" s="287" t="s">
        <v>499</v>
      </c>
      <c r="M109" s="286" t="s">
        <v>297</v>
      </c>
      <c r="N109" s="286">
        <v>1</v>
      </c>
      <c r="O109" s="279"/>
      <c r="P109" s="383" t="str">
        <f t="shared" si="16"/>
        <v>INCLUDED</v>
      </c>
      <c r="Q109" s="299">
        <f t="shared" si="17"/>
        <v>0</v>
      </c>
      <c r="R109" s="384">
        <f t="shared" si="18"/>
        <v>0</v>
      </c>
      <c r="S109" s="385">
        <f>Discount!$J$36</f>
        <v>0</v>
      </c>
      <c r="T109" s="384">
        <f t="shared" si="19"/>
        <v>0</v>
      </c>
      <c r="U109" s="386">
        <f t="shared" si="20"/>
        <v>0</v>
      </c>
      <c r="V109" s="387">
        <f t="shared" si="21"/>
        <v>0</v>
      </c>
      <c r="W109" s="388"/>
      <c r="X109" s="388"/>
      <c r="Y109" s="388"/>
      <c r="Z109" s="388"/>
      <c r="AA109" s="388"/>
    </row>
    <row r="110" spans="1:27" ht="31.2">
      <c r="A110" s="380">
        <v>24</v>
      </c>
      <c r="B110" s="286">
        <v>7000026407</v>
      </c>
      <c r="C110" s="286">
        <v>1500</v>
      </c>
      <c r="D110" s="286">
        <v>72</v>
      </c>
      <c r="E110" s="286">
        <v>30</v>
      </c>
      <c r="F110" s="286" t="s">
        <v>801</v>
      </c>
      <c r="G110" s="286">
        <v>100002306</v>
      </c>
      <c r="H110" s="286">
        <v>998731</v>
      </c>
      <c r="I110" s="381"/>
      <c r="J110" s="275">
        <v>18</v>
      </c>
      <c r="K110" s="382"/>
      <c r="L110" s="287" t="s">
        <v>813</v>
      </c>
      <c r="M110" s="286" t="s">
        <v>297</v>
      </c>
      <c r="N110" s="286">
        <v>1</v>
      </c>
      <c r="O110" s="279"/>
      <c r="P110" s="383" t="str">
        <f t="shared" si="16"/>
        <v>INCLUDED</v>
      </c>
      <c r="Q110" s="299">
        <f t="shared" si="17"/>
        <v>0</v>
      </c>
      <c r="R110" s="384">
        <f t="shared" si="18"/>
        <v>0</v>
      </c>
      <c r="S110" s="385">
        <f>Discount!$J$36</f>
        <v>0</v>
      </c>
      <c r="T110" s="384">
        <f t="shared" si="19"/>
        <v>0</v>
      </c>
      <c r="U110" s="386">
        <f t="shared" si="20"/>
        <v>0</v>
      </c>
      <c r="V110" s="387">
        <f t="shared" si="21"/>
        <v>0</v>
      </c>
      <c r="W110" s="388"/>
      <c r="X110" s="388"/>
      <c r="Y110" s="388"/>
      <c r="Z110" s="388"/>
      <c r="AA110" s="388"/>
    </row>
    <row r="111" spans="1:27" ht="31.2">
      <c r="A111" s="380">
        <v>25</v>
      </c>
      <c r="B111" s="286">
        <v>7000026407</v>
      </c>
      <c r="C111" s="286">
        <v>310</v>
      </c>
      <c r="D111" s="286">
        <v>85</v>
      </c>
      <c r="E111" s="286">
        <v>10</v>
      </c>
      <c r="F111" s="286" t="s">
        <v>802</v>
      </c>
      <c r="G111" s="286">
        <v>100001052</v>
      </c>
      <c r="H111" s="286">
        <v>998731</v>
      </c>
      <c r="I111" s="381"/>
      <c r="J111" s="275">
        <v>18</v>
      </c>
      <c r="K111" s="382"/>
      <c r="L111" s="287" t="s">
        <v>547</v>
      </c>
      <c r="M111" s="286" t="s">
        <v>296</v>
      </c>
      <c r="N111" s="286">
        <v>1</v>
      </c>
      <c r="O111" s="279"/>
      <c r="P111" s="383" t="str">
        <f t="shared" si="16"/>
        <v>INCLUDED</v>
      </c>
      <c r="Q111" s="299">
        <f t="shared" si="17"/>
        <v>0</v>
      </c>
      <c r="R111" s="384">
        <f t="shared" si="18"/>
        <v>0</v>
      </c>
      <c r="S111" s="385">
        <f>Discount!$J$36</f>
        <v>0</v>
      </c>
      <c r="T111" s="384">
        <f t="shared" si="19"/>
        <v>0</v>
      </c>
      <c r="U111" s="386">
        <f t="shared" si="20"/>
        <v>0</v>
      </c>
      <c r="V111" s="387">
        <f t="shared" si="21"/>
        <v>0</v>
      </c>
      <c r="W111" s="388"/>
      <c r="X111" s="388"/>
      <c r="Y111" s="388"/>
      <c r="Z111" s="388"/>
      <c r="AA111" s="388"/>
    </row>
    <row r="112" spans="1:27">
      <c r="A112" s="380">
        <v>26</v>
      </c>
      <c r="B112" s="286">
        <v>7000026407</v>
      </c>
      <c r="C112" s="286">
        <v>310</v>
      </c>
      <c r="D112" s="286">
        <v>85</v>
      </c>
      <c r="E112" s="286">
        <v>20</v>
      </c>
      <c r="F112" s="286" t="s">
        <v>802</v>
      </c>
      <c r="G112" s="286">
        <v>100004852</v>
      </c>
      <c r="H112" s="286">
        <v>998731</v>
      </c>
      <c r="I112" s="381"/>
      <c r="J112" s="275">
        <v>18</v>
      </c>
      <c r="K112" s="382"/>
      <c r="L112" s="287" t="s">
        <v>690</v>
      </c>
      <c r="M112" s="286" t="s">
        <v>296</v>
      </c>
      <c r="N112" s="286">
        <v>10</v>
      </c>
      <c r="O112" s="279"/>
      <c r="P112" s="383" t="str">
        <f t="shared" si="16"/>
        <v>INCLUDED</v>
      </c>
      <c r="Q112" s="299">
        <f t="shared" si="17"/>
        <v>0</v>
      </c>
      <c r="R112" s="384">
        <f t="shared" si="18"/>
        <v>0</v>
      </c>
      <c r="S112" s="385">
        <f>Discount!$J$36</f>
        <v>0</v>
      </c>
      <c r="T112" s="384">
        <f t="shared" si="19"/>
        <v>0</v>
      </c>
      <c r="U112" s="386">
        <f t="shared" si="20"/>
        <v>0</v>
      </c>
      <c r="V112" s="387">
        <f t="shared" si="21"/>
        <v>0</v>
      </c>
      <c r="W112" s="388"/>
      <c r="X112" s="388"/>
      <c r="Y112" s="388"/>
      <c r="Z112" s="388"/>
      <c r="AA112" s="388"/>
    </row>
    <row r="113" spans="1:27">
      <c r="A113" s="380">
        <v>27</v>
      </c>
      <c r="B113" s="286">
        <v>7000026407</v>
      </c>
      <c r="C113" s="286">
        <v>310</v>
      </c>
      <c r="D113" s="286">
        <v>85</v>
      </c>
      <c r="E113" s="286">
        <v>30</v>
      </c>
      <c r="F113" s="286" t="s">
        <v>802</v>
      </c>
      <c r="G113" s="286">
        <v>100004926</v>
      </c>
      <c r="H113" s="286">
        <v>998731</v>
      </c>
      <c r="I113" s="381"/>
      <c r="J113" s="275">
        <v>18</v>
      </c>
      <c r="K113" s="382"/>
      <c r="L113" s="287" t="s">
        <v>682</v>
      </c>
      <c r="M113" s="286" t="s">
        <v>296</v>
      </c>
      <c r="N113" s="286">
        <v>10</v>
      </c>
      <c r="O113" s="279"/>
      <c r="P113" s="383" t="str">
        <f t="shared" si="16"/>
        <v>INCLUDED</v>
      </c>
      <c r="Q113" s="299">
        <f t="shared" si="17"/>
        <v>0</v>
      </c>
      <c r="R113" s="384">
        <f t="shared" si="18"/>
        <v>0</v>
      </c>
      <c r="S113" s="385">
        <f>Discount!$J$36</f>
        <v>0</v>
      </c>
      <c r="T113" s="384">
        <f t="shared" si="19"/>
        <v>0</v>
      </c>
      <c r="U113" s="386">
        <f t="shared" si="20"/>
        <v>0</v>
      </c>
      <c r="V113" s="387">
        <f t="shared" si="21"/>
        <v>0</v>
      </c>
      <c r="W113" s="388"/>
      <c r="X113" s="388"/>
      <c r="Y113" s="388"/>
      <c r="Z113" s="388"/>
      <c r="AA113" s="388"/>
    </row>
    <row r="114" spans="1:27" ht="31.2">
      <c r="A114" s="380">
        <v>28</v>
      </c>
      <c r="B114" s="286">
        <v>7000026407</v>
      </c>
      <c r="C114" s="286">
        <v>310</v>
      </c>
      <c r="D114" s="286">
        <v>85</v>
      </c>
      <c r="E114" s="286">
        <v>40</v>
      </c>
      <c r="F114" s="286" t="s">
        <v>802</v>
      </c>
      <c r="G114" s="286">
        <v>100001051</v>
      </c>
      <c r="H114" s="286">
        <v>998731</v>
      </c>
      <c r="I114" s="381"/>
      <c r="J114" s="275">
        <v>18</v>
      </c>
      <c r="K114" s="382"/>
      <c r="L114" s="287" t="s">
        <v>814</v>
      </c>
      <c r="M114" s="286" t="s">
        <v>296</v>
      </c>
      <c r="N114" s="286">
        <v>1</v>
      </c>
      <c r="O114" s="279"/>
      <c r="P114" s="383" t="str">
        <f t="shared" si="16"/>
        <v>INCLUDED</v>
      </c>
      <c r="Q114" s="299">
        <f t="shared" si="17"/>
        <v>0</v>
      </c>
      <c r="R114" s="384">
        <f t="shared" si="18"/>
        <v>0</v>
      </c>
      <c r="S114" s="385">
        <f>Discount!$J$36</f>
        <v>0</v>
      </c>
      <c r="T114" s="384">
        <f t="shared" si="19"/>
        <v>0</v>
      </c>
      <c r="U114" s="386">
        <f t="shared" si="20"/>
        <v>0</v>
      </c>
      <c r="V114" s="387">
        <f t="shared" si="21"/>
        <v>0</v>
      </c>
      <c r="W114" s="388"/>
      <c r="X114" s="388"/>
      <c r="Y114" s="388"/>
      <c r="Z114" s="388"/>
      <c r="AA114" s="388"/>
    </row>
    <row r="115" spans="1:27">
      <c r="A115" s="380">
        <v>29</v>
      </c>
      <c r="B115" s="286">
        <v>7000026407</v>
      </c>
      <c r="C115" s="286">
        <v>310</v>
      </c>
      <c r="D115" s="286">
        <v>85</v>
      </c>
      <c r="E115" s="286">
        <v>70</v>
      </c>
      <c r="F115" s="286" t="s">
        <v>802</v>
      </c>
      <c r="G115" s="286">
        <v>100001021</v>
      </c>
      <c r="H115" s="286">
        <v>995461</v>
      </c>
      <c r="I115" s="381"/>
      <c r="J115" s="275">
        <v>18</v>
      </c>
      <c r="K115" s="382"/>
      <c r="L115" s="287" t="s">
        <v>497</v>
      </c>
      <c r="M115" s="286" t="s">
        <v>296</v>
      </c>
      <c r="N115" s="286">
        <v>2</v>
      </c>
      <c r="O115" s="279"/>
      <c r="P115" s="383" t="str">
        <f t="shared" si="16"/>
        <v>INCLUDED</v>
      </c>
      <c r="Q115" s="299">
        <f t="shared" si="17"/>
        <v>0</v>
      </c>
      <c r="R115" s="384">
        <f t="shared" si="18"/>
        <v>0</v>
      </c>
      <c r="S115" s="385">
        <f>Discount!$J$36</f>
        <v>0</v>
      </c>
      <c r="T115" s="384">
        <f t="shared" si="19"/>
        <v>0</v>
      </c>
      <c r="U115" s="386">
        <f t="shared" si="20"/>
        <v>0</v>
      </c>
      <c r="V115" s="387">
        <f t="shared" si="21"/>
        <v>0</v>
      </c>
      <c r="W115" s="388"/>
      <c r="X115" s="388"/>
      <c r="Y115" s="388"/>
      <c r="Z115" s="388"/>
      <c r="AA115" s="388"/>
    </row>
    <row r="116" spans="1:27">
      <c r="A116" s="380">
        <v>30</v>
      </c>
      <c r="B116" s="286">
        <v>7000026407</v>
      </c>
      <c r="C116" s="286">
        <v>310</v>
      </c>
      <c r="D116" s="286">
        <v>85</v>
      </c>
      <c r="E116" s="286">
        <v>80</v>
      </c>
      <c r="F116" s="286" t="s">
        <v>802</v>
      </c>
      <c r="G116" s="286">
        <v>100001885</v>
      </c>
      <c r="H116" s="286">
        <v>998739</v>
      </c>
      <c r="I116" s="381"/>
      <c r="J116" s="275">
        <v>18</v>
      </c>
      <c r="K116" s="382"/>
      <c r="L116" s="287" t="s">
        <v>619</v>
      </c>
      <c r="M116" s="286" t="s">
        <v>296</v>
      </c>
      <c r="N116" s="286">
        <v>1</v>
      </c>
      <c r="O116" s="279"/>
      <c r="P116" s="383" t="str">
        <f t="shared" si="16"/>
        <v>INCLUDED</v>
      </c>
      <c r="Q116" s="299">
        <f t="shared" si="17"/>
        <v>0</v>
      </c>
      <c r="R116" s="384">
        <f t="shared" si="18"/>
        <v>0</v>
      </c>
      <c r="S116" s="385">
        <f>Discount!$J$36</f>
        <v>0</v>
      </c>
      <c r="T116" s="384">
        <f t="shared" si="19"/>
        <v>0</v>
      </c>
      <c r="U116" s="386">
        <f t="shared" si="20"/>
        <v>0</v>
      </c>
      <c r="V116" s="387">
        <f t="shared" si="21"/>
        <v>0</v>
      </c>
      <c r="W116" s="388"/>
      <c r="X116" s="388"/>
      <c r="Y116" s="388"/>
      <c r="Z116" s="388"/>
      <c r="AA116" s="388"/>
    </row>
    <row r="117" spans="1:27" ht="46.8">
      <c r="A117" s="380">
        <v>31</v>
      </c>
      <c r="B117" s="286">
        <v>7000026407</v>
      </c>
      <c r="C117" s="286">
        <v>340</v>
      </c>
      <c r="D117" s="286">
        <v>105</v>
      </c>
      <c r="E117" s="286">
        <v>10</v>
      </c>
      <c r="F117" s="286" t="s">
        <v>803</v>
      </c>
      <c r="G117" s="286">
        <v>100000983</v>
      </c>
      <c r="H117" s="286">
        <v>998736</v>
      </c>
      <c r="I117" s="381"/>
      <c r="J117" s="275">
        <v>18</v>
      </c>
      <c r="K117" s="382"/>
      <c r="L117" s="287" t="s">
        <v>815</v>
      </c>
      <c r="M117" s="286" t="s">
        <v>297</v>
      </c>
      <c r="N117" s="286">
        <v>1</v>
      </c>
      <c r="O117" s="279"/>
      <c r="P117" s="383" t="str">
        <f t="shared" si="16"/>
        <v>INCLUDED</v>
      </c>
      <c r="Q117" s="299">
        <f t="shared" si="17"/>
        <v>0</v>
      </c>
      <c r="R117" s="384">
        <f t="shared" si="18"/>
        <v>0</v>
      </c>
      <c r="S117" s="385">
        <f>Discount!$J$36</f>
        <v>0</v>
      </c>
      <c r="T117" s="384">
        <f t="shared" si="19"/>
        <v>0</v>
      </c>
      <c r="U117" s="386">
        <f t="shared" si="20"/>
        <v>0</v>
      </c>
      <c r="V117" s="387">
        <f t="shared" si="21"/>
        <v>0</v>
      </c>
      <c r="W117" s="388"/>
      <c r="X117" s="388"/>
      <c r="Y117" s="388"/>
      <c r="Z117" s="388"/>
      <c r="AA117" s="388"/>
    </row>
    <row r="118" spans="1:27">
      <c r="A118" s="380">
        <v>32</v>
      </c>
      <c r="B118" s="286">
        <v>7000026407</v>
      </c>
      <c r="C118" s="286">
        <v>360</v>
      </c>
      <c r="D118" s="286">
        <v>117</v>
      </c>
      <c r="E118" s="286">
        <v>10</v>
      </c>
      <c r="F118" s="286" t="s">
        <v>804</v>
      </c>
      <c r="G118" s="286">
        <v>100000896</v>
      </c>
      <c r="H118" s="286">
        <v>998736</v>
      </c>
      <c r="I118" s="381"/>
      <c r="J118" s="275">
        <v>18</v>
      </c>
      <c r="K118" s="382"/>
      <c r="L118" s="287" t="s">
        <v>534</v>
      </c>
      <c r="M118" s="286" t="s">
        <v>297</v>
      </c>
      <c r="N118" s="286">
        <v>1</v>
      </c>
      <c r="O118" s="279"/>
      <c r="P118" s="383" t="str">
        <f t="shared" si="16"/>
        <v>INCLUDED</v>
      </c>
      <c r="Q118" s="299">
        <f t="shared" si="17"/>
        <v>0</v>
      </c>
      <c r="R118" s="384">
        <f t="shared" si="18"/>
        <v>0</v>
      </c>
      <c r="S118" s="385">
        <f>Discount!$J$36</f>
        <v>0</v>
      </c>
      <c r="T118" s="384">
        <f t="shared" si="19"/>
        <v>0</v>
      </c>
      <c r="U118" s="386">
        <f t="shared" si="20"/>
        <v>0</v>
      </c>
      <c r="V118" s="387">
        <f t="shared" si="21"/>
        <v>0</v>
      </c>
      <c r="W118" s="388"/>
      <c r="X118" s="388"/>
      <c r="Y118" s="388"/>
      <c r="Z118" s="388"/>
      <c r="AA118" s="388"/>
    </row>
    <row r="119" spans="1:27">
      <c r="A119" s="380">
        <v>33</v>
      </c>
      <c r="B119" s="286">
        <v>7000026407</v>
      </c>
      <c r="C119" s="286">
        <v>360</v>
      </c>
      <c r="D119" s="286">
        <v>117</v>
      </c>
      <c r="E119" s="286">
        <v>20</v>
      </c>
      <c r="F119" s="286" t="s">
        <v>804</v>
      </c>
      <c r="G119" s="286">
        <v>100000903</v>
      </c>
      <c r="H119" s="286">
        <v>998736</v>
      </c>
      <c r="I119" s="381"/>
      <c r="J119" s="275">
        <v>18</v>
      </c>
      <c r="K119" s="382"/>
      <c r="L119" s="287" t="s">
        <v>535</v>
      </c>
      <c r="M119" s="286" t="s">
        <v>297</v>
      </c>
      <c r="N119" s="286">
        <v>1</v>
      </c>
      <c r="O119" s="279"/>
      <c r="P119" s="383" t="str">
        <f t="shared" si="16"/>
        <v>INCLUDED</v>
      </c>
      <c r="Q119" s="299">
        <f t="shared" si="17"/>
        <v>0</v>
      </c>
      <c r="R119" s="384">
        <f t="shared" si="18"/>
        <v>0</v>
      </c>
      <c r="S119" s="385">
        <f>Discount!$J$36</f>
        <v>0</v>
      </c>
      <c r="T119" s="384">
        <f t="shared" si="19"/>
        <v>0</v>
      </c>
      <c r="U119" s="386">
        <f t="shared" si="20"/>
        <v>0</v>
      </c>
      <c r="V119" s="387">
        <f t="shared" si="21"/>
        <v>0</v>
      </c>
      <c r="W119" s="388"/>
      <c r="X119" s="388"/>
      <c r="Y119" s="388"/>
      <c r="Z119" s="388"/>
      <c r="AA119" s="388"/>
    </row>
    <row r="120" spans="1:27" ht="46.8">
      <c r="A120" s="380">
        <v>34</v>
      </c>
      <c r="B120" s="286">
        <v>7000026407</v>
      </c>
      <c r="C120" s="286">
        <v>1650</v>
      </c>
      <c r="D120" s="286">
        <v>124</v>
      </c>
      <c r="E120" s="286">
        <v>20</v>
      </c>
      <c r="F120" s="286" t="s">
        <v>805</v>
      </c>
      <c r="G120" s="286">
        <v>100017118</v>
      </c>
      <c r="H120" s="286">
        <v>998731</v>
      </c>
      <c r="I120" s="381"/>
      <c r="J120" s="275">
        <v>18</v>
      </c>
      <c r="K120" s="382"/>
      <c r="L120" s="287" t="s">
        <v>816</v>
      </c>
      <c r="M120" s="286" t="s">
        <v>296</v>
      </c>
      <c r="N120" s="286">
        <v>3</v>
      </c>
      <c r="O120" s="279"/>
      <c r="P120" s="383" t="str">
        <f t="shared" si="16"/>
        <v>INCLUDED</v>
      </c>
      <c r="Q120" s="299">
        <f t="shared" si="17"/>
        <v>0</v>
      </c>
      <c r="R120" s="384">
        <f t="shared" si="18"/>
        <v>0</v>
      </c>
      <c r="S120" s="385">
        <f>Discount!$J$36</f>
        <v>0</v>
      </c>
      <c r="T120" s="384">
        <f t="shared" si="19"/>
        <v>0</v>
      </c>
      <c r="U120" s="386">
        <f t="shared" si="20"/>
        <v>0</v>
      </c>
      <c r="V120" s="387">
        <f t="shared" si="21"/>
        <v>0</v>
      </c>
      <c r="W120" s="388"/>
      <c r="X120" s="388"/>
      <c r="Y120" s="388"/>
      <c r="Z120" s="388"/>
      <c r="AA120" s="388"/>
    </row>
    <row r="121" spans="1:27" ht="46.8">
      <c r="A121" s="380">
        <v>35</v>
      </c>
      <c r="B121" s="286">
        <v>7000026407</v>
      </c>
      <c r="C121" s="286">
        <v>1650</v>
      </c>
      <c r="D121" s="286">
        <v>124</v>
      </c>
      <c r="E121" s="286">
        <v>30</v>
      </c>
      <c r="F121" s="286" t="s">
        <v>805</v>
      </c>
      <c r="G121" s="286">
        <v>100017122</v>
      </c>
      <c r="H121" s="286">
        <v>998731</v>
      </c>
      <c r="I121" s="381"/>
      <c r="J121" s="275">
        <v>18</v>
      </c>
      <c r="K121" s="382"/>
      <c r="L121" s="287" t="s">
        <v>817</v>
      </c>
      <c r="M121" s="286" t="s">
        <v>296</v>
      </c>
      <c r="N121" s="286">
        <v>3</v>
      </c>
      <c r="O121" s="279"/>
      <c r="P121" s="383" t="str">
        <f t="shared" si="16"/>
        <v>INCLUDED</v>
      </c>
      <c r="Q121" s="299">
        <f t="shared" si="17"/>
        <v>0</v>
      </c>
      <c r="R121" s="384">
        <f t="shared" si="18"/>
        <v>0</v>
      </c>
      <c r="S121" s="385">
        <f>Discount!$J$36</f>
        <v>0</v>
      </c>
      <c r="T121" s="384">
        <f t="shared" si="19"/>
        <v>0</v>
      </c>
      <c r="U121" s="386">
        <f t="shared" si="20"/>
        <v>0</v>
      </c>
      <c r="V121" s="387">
        <f t="shared" si="21"/>
        <v>0</v>
      </c>
      <c r="W121" s="388"/>
      <c r="X121" s="388"/>
      <c r="Y121" s="388"/>
      <c r="Z121" s="388"/>
      <c r="AA121" s="388"/>
    </row>
    <row r="122" spans="1:27" ht="46.8">
      <c r="A122" s="380">
        <v>36</v>
      </c>
      <c r="B122" s="286">
        <v>7000026407</v>
      </c>
      <c r="C122" s="286">
        <v>1650</v>
      </c>
      <c r="D122" s="286">
        <v>124</v>
      </c>
      <c r="E122" s="286">
        <v>40</v>
      </c>
      <c r="F122" s="286" t="s">
        <v>805</v>
      </c>
      <c r="G122" s="286">
        <v>100017128</v>
      </c>
      <c r="H122" s="286">
        <v>998731</v>
      </c>
      <c r="I122" s="381"/>
      <c r="J122" s="275">
        <v>18</v>
      </c>
      <c r="K122" s="382"/>
      <c r="L122" s="287" t="s">
        <v>818</v>
      </c>
      <c r="M122" s="286" t="s">
        <v>296</v>
      </c>
      <c r="N122" s="286">
        <v>3</v>
      </c>
      <c r="O122" s="279"/>
      <c r="P122" s="383" t="str">
        <f t="shared" si="16"/>
        <v>INCLUDED</v>
      </c>
      <c r="Q122" s="299">
        <f t="shared" si="17"/>
        <v>0</v>
      </c>
      <c r="R122" s="384">
        <f t="shared" si="18"/>
        <v>0</v>
      </c>
      <c r="S122" s="385">
        <f>Discount!$J$36</f>
        <v>0</v>
      </c>
      <c r="T122" s="384">
        <f t="shared" si="19"/>
        <v>0</v>
      </c>
      <c r="U122" s="386">
        <f t="shared" si="20"/>
        <v>0</v>
      </c>
      <c r="V122" s="387">
        <f t="shared" si="21"/>
        <v>0</v>
      </c>
      <c r="W122" s="388"/>
      <c r="X122" s="388"/>
      <c r="Y122" s="388"/>
      <c r="Z122" s="388"/>
      <c r="AA122" s="388"/>
    </row>
    <row r="123" spans="1:27" ht="46.8">
      <c r="A123" s="380">
        <v>37</v>
      </c>
      <c r="B123" s="286">
        <v>7000026407</v>
      </c>
      <c r="C123" s="286">
        <v>1650</v>
      </c>
      <c r="D123" s="286">
        <v>124</v>
      </c>
      <c r="E123" s="286">
        <v>50</v>
      </c>
      <c r="F123" s="286" t="s">
        <v>805</v>
      </c>
      <c r="G123" s="286">
        <v>100017131</v>
      </c>
      <c r="H123" s="286">
        <v>998731</v>
      </c>
      <c r="I123" s="381"/>
      <c r="J123" s="275">
        <v>18</v>
      </c>
      <c r="K123" s="382"/>
      <c r="L123" s="287" t="s">
        <v>819</v>
      </c>
      <c r="M123" s="286" t="s">
        <v>296</v>
      </c>
      <c r="N123" s="286">
        <v>3</v>
      </c>
      <c r="O123" s="279"/>
      <c r="P123" s="383" t="str">
        <f t="shared" si="16"/>
        <v>INCLUDED</v>
      </c>
      <c r="Q123" s="299">
        <f t="shared" si="17"/>
        <v>0</v>
      </c>
      <c r="R123" s="384">
        <f t="shared" si="18"/>
        <v>0</v>
      </c>
      <c r="S123" s="385">
        <f>Discount!$J$36</f>
        <v>0</v>
      </c>
      <c r="T123" s="384">
        <f t="shared" si="19"/>
        <v>0</v>
      </c>
      <c r="U123" s="386">
        <f t="shared" si="20"/>
        <v>0</v>
      </c>
      <c r="V123" s="387">
        <f t="shared" si="21"/>
        <v>0</v>
      </c>
      <c r="W123" s="388"/>
      <c r="X123" s="388"/>
      <c r="Y123" s="388"/>
      <c r="Z123" s="388"/>
      <c r="AA123" s="388"/>
    </row>
    <row r="124" spans="1:27" ht="93.6">
      <c r="A124" s="380">
        <v>38</v>
      </c>
      <c r="B124" s="286">
        <v>7000026407</v>
      </c>
      <c r="C124" s="286">
        <v>380</v>
      </c>
      <c r="D124" s="286">
        <v>126</v>
      </c>
      <c r="E124" s="286">
        <v>20</v>
      </c>
      <c r="F124" s="286" t="s">
        <v>806</v>
      </c>
      <c r="G124" s="286">
        <v>100002500</v>
      </c>
      <c r="H124" s="286">
        <v>998731</v>
      </c>
      <c r="I124" s="381"/>
      <c r="J124" s="275">
        <v>18</v>
      </c>
      <c r="K124" s="382"/>
      <c r="L124" s="287" t="s">
        <v>519</v>
      </c>
      <c r="M124" s="286" t="s">
        <v>297</v>
      </c>
      <c r="N124" s="286">
        <v>1</v>
      </c>
      <c r="O124" s="279"/>
      <c r="P124" s="383" t="str">
        <f t="shared" si="16"/>
        <v>INCLUDED</v>
      </c>
      <c r="Q124" s="299">
        <f t="shared" si="17"/>
        <v>0</v>
      </c>
      <c r="R124" s="384">
        <f t="shared" si="18"/>
        <v>0</v>
      </c>
      <c r="S124" s="385">
        <f>Discount!$J$36</f>
        <v>0</v>
      </c>
      <c r="T124" s="384">
        <f t="shared" si="19"/>
        <v>0</v>
      </c>
      <c r="U124" s="386">
        <f t="shared" si="20"/>
        <v>0</v>
      </c>
      <c r="V124" s="387">
        <f t="shared" si="21"/>
        <v>0</v>
      </c>
      <c r="W124" s="388"/>
      <c r="X124" s="388"/>
      <c r="Y124" s="388"/>
      <c r="Z124" s="388"/>
      <c r="AA124" s="388"/>
    </row>
    <row r="125" spans="1:27" ht="46.8">
      <c r="A125" s="380">
        <v>39</v>
      </c>
      <c r="B125" s="286">
        <v>7000026407</v>
      </c>
      <c r="C125" s="286">
        <v>1740</v>
      </c>
      <c r="D125" s="286">
        <v>196</v>
      </c>
      <c r="E125" s="286">
        <v>10</v>
      </c>
      <c r="F125" s="286" t="s">
        <v>516</v>
      </c>
      <c r="G125" s="286">
        <v>100004518</v>
      </c>
      <c r="H125" s="286">
        <v>995433</v>
      </c>
      <c r="I125" s="381"/>
      <c r="J125" s="275">
        <v>18</v>
      </c>
      <c r="K125" s="382"/>
      <c r="L125" s="287" t="s">
        <v>475</v>
      </c>
      <c r="M125" s="286" t="s">
        <v>299</v>
      </c>
      <c r="N125" s="286">
        <v>2281</v>
      </c>
      <c r="O125" s="279"/>
      <c r="P125" s="383" t="str">
        <f t="shared" si="16"/>
        <v>INCLUDED</v>
      </c>
      <c r="Q125" s="299">
        <f t="shared" si="17"/>
        <v>0</v>
      </c>
      <c r="R125" s="384">
        <f t="shared" si="18"/>
        <v>0</v>
      </c>
      <c r="S125" s="385">
        <f>Discount!$J$36</f>
        <v>0</v>
      </c>
      <c r="T125" s="384">
        <f t="shared" si="19"/>
        <v>0</v>
      </c>
      <c r="U125" s="386">
        <f t="shared" si="20"/>
        <v>0</v>
      </c>
      <c r="V125" s="387">
        <f t="shared" si="21"/>
        <v>0</v>
      </c>
      <c r="W125" s="388"/>
      <c r="X125" s="388"/>
      <c r="Y125" s="388"/>
      <c r="Z125" s="388"/>
      <c r="AA125" s="388"/>
    </row>
    <row r="126" spans="1:27" ht="62.4">
      <c r="A126" s="380">
        <v>40</v>
      </c>
      <c r="B126" s="286">
        <v>7000026407</v>
      </c>
      <c r="C126" s="286">
        <v>1740</v>
      </c>
      <c r="D126" s="286">
        <v>196</v>
      </c>
      <c r="E126" s="286">
        <v>20</v>
      </c>
      <c r="F126" s="286" t="s">
        <v>516</v>
      </c>
      <c r="G126" s="286">
        <v>100011662</v>
      </c>
      <c r="H126" s="286">
        <v>995433</v>
      </c>
      <c r="I126" s="381"/>
      <c r="J126" s="275">
        <v>18</v>
      </c>
      <c r="K126" s="382"/>
      <c r="L126" s="287" t="s">
        <v>539</v>
      </c>
      <c r="M126" s="286" t="s">
        <v>299</v>
      </c>
      <c r="N126" s="286">
        <v>100</v>
      </c>
      <c r="O126" s="279"/>
      <c r="P126" s="383" t="str">
        <f t="shared" si="16"/>
        <v>INCLUDED</v>
      </c>
      <c r="Q126" s="299">
        <f t="shared" si="17"/>
        <v>0</v>
      </c>
      <c r="R126" s="384">
        <f t="shared" si="18"/>
        <v>0</v>
      </c>
      <c r="S126" s="385">
        <f>Discount!$J$36</f>
        <v>0</v>
      </c>
      <c r="T126" s="384">
        <f t="shared" si="19"/>
        <v>0</v>
      </c>
      <c r="U126" s="386">
        <f t="shared" si="20"/>
        <v>0</v>
      </c>
      <c r="V126" s="387">
        <f t="shared" si="21"/>
        <v>0</v>
      </c>
      <c r="W126" s="388"/>
      <c r="X126" s="388"/>
      <c r="Y126" s="388"/>
      <c r="Z126" s="388"/>
      <c r="AA126" s="388"/>
    </row>
    <row r="127" spans="1:27">
      <c r="A127" s="380">
        <v>41</v>
      </c>
      <c r="B127" s="286">
        <v>7000026407</v>
      </c>
      <c r="C127" s="286">
        <v>1740</v>
      </c>
      <c r="D127" s="286">
        <v>196</v>
      </c>
      <c r="E127" s="286">
        <v>30</v>
      </c>
      <c r="F127" s="286" t="s">
        <v>516</v>
      </c>
      <c r="G127" s="286">
        <v>100001325</v>
      </c>
      <c r="H127" s="286">
        <v>995454</v>
      </c>
      <c r="I127" s="381"/>
      <c r="J127" s="275">
        <v>18</v>
      </c>
      <c r="K127" s="382"/>
      <c r="L127" s="287" t="s">
        <v>476</v>
      </c>
      <c r="M127" s="286" t="s">
        <v>299</v>
      </c>
      <c r="N127" s="286">
        <v>139</v>
      </c>
      <c r="O127" s="279"/>
      <c r="P127" s="383" t="str">
        <f t="shared" si="16"/>
        <v>INCLUDED</v>
      </c>
      <c r="Q127" s="299">
        <f t="shared" si="17"/>
        <v>0</v>
      </c>
      <c r="R127" s="384">
        <f t="shared" si="18"/>
        <v>0</v>
      </c>
      <c r="S127" s="385">
        <f>Discount!$J$36</f>
        <v>0</v>
      </c>
      <c r="T127" s="384">
        <f t="shared" si="19"/>
        <v>0</v>
      </c>
      <c r="U127" s="386">
        <f t="shared" si="20"/>
        <v>0</v>
      </c>
      <c r="V127" s="387">
        <f t="shared" si="21"/>
        <v>0</v>
      </c>
      <c r="W127" s="388"/>
      <c r="X127" s="388"/>
      <c r="Y127" s="388"/>
      <c r="Z127" s="388"/>
      <c r="AA127" s="388"/>
    </row>
    <row r="128" spans="1:27">
      <c r="A128" s="380">
        <v>42</v>
      </c>
      <c r="B128" s="286">
        <v>7000026407</v>
      </c>
      <c r="C128" s="286">
        <v>1740</v>
      </c>
      <c r="D128" s="286">
        <v>196</v>
      </c>
      <c r="E128" s="286">
        <v>40</v>
      </c>
      <c r="F128" s="286" t="s">
        <v>516</v>
      </c>
      <c r="G128" s="286">
        <v>100001326</v>
      </c>
      <c r="H128" s="286">
        <v>995454</v>
      </c>
      <c r="I128" s="381"/>
      <c r="J128" s="275">
        <v>18</v>
      </c>
      <c r="K128" s="382"/>
      <c r="L128" s="287" t="s">
        <v>477</v>
      </c>
      <c r="M128" s="286" t="s">
        <v>299</v>
      </c>
      <c r="N128" s="286">
        <v>14</v>
      </c>
      <c r="O128" s="279"/>
      <c r="P128" s="383" t="str">
        <f t="shared" si="16"/>
        <v>INCLUDED</v>
      </c>
      <c r="Q128" s="299">
        <f t="shared" si="17"/>
        <v>0</v>
      </c>
      <c r="R128" s="384">
        <f t="shared" si="18"/>
        <v>0</v>
      </c>
      <c r="S128" s="385">
        <f>Discount!$J$36</f>
        <v>0</v>
      </c>
      <c r="T128" s="384">
        <f t="shared" si="19"/>
        <v>0</v>
      </c>
      <c r="U128" s="386">
        <f t="shared" si="20"/>
        <v>0</v>
      </c>
      <c r="V128" s="387">
        <f t="shared" si="21"/>
        <v>0</v>
      </c>
      <c r="W128" s="388"/>
      <c r="X128" s="388"/>
      <c r="Y128" s="388"/>
      <c r="Z128" s="388"/>
      <c r="AA128" s="388"/>
    </row>
    <row r="129" spans="1:27" ht="31.2">
      <c r="A129" s="380">
        <v>43</v>
      </c>
      <c r="B129" s="286">
        <v>7000026407</v>
      </c>
      <c r="C129" s="286">
        <v>1740</v>
      </c>
      <c r="D129" s="286">
        <v>196</v>
      </c>
      <c r="E129" s="286">
        <v>50</v>
      </c>
      <c r="F129" s="286" t="s">
        <v>516</v>
      </c>
      <c r="G129" s="286">
        <v>100001328</v>
      </c>
      <c r="H129" s="286">
        <v>995454</v>
      </c>
      <c r="I129" s="381"/>
      <c r="J129" s="275">
        <v>18</v>
      </c>
      <c r="K129" s="382"/>
      <c r="L129" s="287" t="s">
        <v>490</v>
      </c>
      <c r="M129" s="286" t="s">
        <v>299</v>
      </c>
      <c r="N129" s="286">
        <v>210</v>
      </c>
      <c r="O129" s="279"/>
      <c r="P129" s="383" t="str">
        <f t="shared" ref="P129:P139" si="22">IF(O129=0, "INCLUDED", IF(ISERROR(N129*O129), O129, N129*O129))</f>
        <v>INCLUDED</v>
      </c>
      <c r="Q129" s="299">
        <f t="shared" ref="Q129:Q139" si="23">IF(P129="Included",0,P129)</f>
        <v>0</v>
      </c>
      <c r="R129" s="384">
        <f t="shared" ref="R129:R139" si="24">IF( K129="",J129*(IF(P129="Included",0,P129))/100,K129*(IF(P129="Included",0,P129)))</f>
        <v>0</v>
      </c>
      <c r="S129" s="385">
        <f>Discount!$J$36</f>
        <v>0</v>
      </c>
      <c r="T129" s="384">
        <f t="shared" ref="T129:T139" si="25">S129*Q129</f>
        <v>0</v>
      </c>
      <c r="U129" s="386">
        <f t="shared" ref="U129:U139" si="26">IF(K129="",J129*T129/100,K129*T129)</f>
        <v>0</v>
      </c>
      <c r="V129" s="387">
        <f t="shared" ref="V129:V139" si="27">O129*N129</f>
        <v>0</v>
      </c>
      <c r="W129" s="388"/>
      <c r="X129" s="388"/>
      <c r="Y129" s="388"/>
      <c r="Z129" s="388"/>
      <c r="AA129" s="388"/>
    </row>
    <row r="130" spans="1:27" ht="46.8">
      <c r="A130" s="380">
        <v>44</v>
      </c>
      <c r="B130" s="286">
        <v>7000026407</v>
      </c>
      <c r="C130" s="286">
        <v>1740</v>
      </c>
      <c r="D130" s="286">
        <v>196</v>
      </c>
      <c r="E130" s="286">
        <v>60</v>
      </c>
      <c r="F130" s="286" t="s">
        <v>516</v>
      </c>
      <c r="G130" s="286">
        <v>100001327</v>
      </c>
      <c r="H130" s="286">
        <v>995454</v>
      </c>
      <c r="I130" s="381"/>
      <c r="J130" s="275">
        <v>18</v>
      </c>
      <c r="K130" s="382"/>
      <c r="L130" s="287" t="s">
        <v>478</v>
      </c>
      <c r="M130" s="286" t="s">
        <v>299</v>
      </c>
      <c r="N130" s="286">
        <v>634</v>
      </c>
      <c r="O130" s="279"/>
      <c r="P130" s="383" t="str">
        <f t="shared" si="22"/>
        <v>INCLUDED</v>
      </c>
      <c r="Q130" s="299">
        <f t="shared" si="23"/>
        <v>0</v>
      </c>
      <c r="R130" s="384">
        <f t="shared" si="24"/>
        <v>0</v>
      </c>
      <c r="S130" s="385">
        <f>Discount!$J$36</f>
        <v>0</v>
      </c>
      <c r="T130" s="384">
        <f t="shared" si="25"/>
        <v>0</v>
      </c>
      <c r="U130" s="386">
        <f t="shared" si="26"/>
        <v>0</v>
      </c>
      <c r="V130" s="387">
        <f t="shared" si="27"/>
        <v>0</v>
      </c>
      <c r="W130" s="388"/>
      <c r="X130" s="388"/>
      <c r="Y130" s="388"/>
      <c r="Z130" s="388"/>
      <c r="AA130" s="388"/>
    </row>
    <row r="131" spans="1:27">
      <c r="A131" s="380">
        <v>45</v>
      </c>
      <c r="B131" s="286">
        <v>7000026407</v>
      </c>
      <c r="C131" s="286">
        <v>1740</v>
      </c>
      <c r="D131" s="286">
        <v>196</v>
      </c>
      <c r="E131" s="286">
        <v>70</v>
      </c>
      <c r="F131" s="286" t="s">
        <v>516</v>
      </c>
      <c r="G131" s="286">
        <v>100001329</v>
      </c>
      <c r="H131" s="286">
        <v>995454</v>
      </c>
      <c r="I131" s="381"/>
      <c r="J131" s="275">
        <v>18</v>
      </c>
      <c r="K131" s="382"/>
      <c r="L131" s="287" t="s">
        <v>479</v>
      </c>
      <c r="M131" s="286" t="s">
        <v>295</v>
      </c>
      <c r="N131" s="286">
        <v>45</v>
      </c>
      <c r="O131" s="279"/>
      <c r="P131" s="383" t="str">
        <f t="shared" si="22"/>
        <v>INCLUDED</v>
      </c>
      <c r="Q131" s="299">
        <f t="shared" si="23"/>
        <v>0</v>
      </c>
      <c r="R131" s="384">
        <f t="shared" si="24"/>
        <v>0</v>
      </c>
      <c r="S131" s="385">
        <f>Discount!$J$36</f>
        <v>0</v>
      </c>
      <c r="T131" s="384">
        <f t="shared" si="25"/>
        <v>0</v>
      </c>
      <c r="U131" s="386">
        <f t="shared" si="26"/>
        <v>0</v>
      </c>
      <c r="V131" s="387">
        <f t="shared" si="27"/>
        <v>0</v>
      </c>
      <c r="W131" s="388"/>
      <c r="X131" s="388"/>
      <c r="Y131" s="388"/>
      <c r="Z131" s="388"/>
      <c r="AA131" s="388"/>
    </row>
    <row r="132" spans="1:27">
      <c r="A132" s="380">
        <v>46</v>
      </c>
      <c r="B132" s="286">
        <v>7000026407</v>
      </c>
      <c r="C132" s="286">
        <v>1740</v>
      </c>
      <c r="D132" s="286">
        <v>196</v>
      </c>
      <c r="E132" s="286">
        <v>80</v>
      </c>
      <c r="F132" s="286" t="s">
        <v>516</v>
      </c>
      <c r="G132" s="286">
        <v>100001330</v>
      </c>
      <c r="H132" s="286">
        <v>995428</v>
      </c>
      <c r="I132" s="381"/>
      <c r="J132" s="275">
        <v>18</v>
      </c>
      <c r="K132" s="382"/>
      <c r="L132" s="287" t="s">
        <v>480</v>
      </c>
      <c r="M132" s="286" t="s">
        <v>299</v>
      </c>
      <c r="N132" s="286">
        <v>21</v>
      </c>
      <c r="O132" s="279"/>
      <c r="P132" s="383" t="str">
        <f t="shared" si="22"/>
        <v>INCLUDED</v>
      </c>
      <c r="Q132" s="299">
        <f t="shared" si="23"/>
        <v>0</v>
      </c>
      <c r="R132" s="384">
        <f t="shared" si="24"/>
        <v>0</v>
      </c>
      <c r="S132" s="385">
        <f>Discount!$J$36</f>
        <v>0</v>
      </c>
      <c r="T132" s="384">
        <f t="shared" si="25"/>
        <v>0</v>
      </c>
      <c r="U132" s="386">
        <f t="shared" si="26"/>
        <v>0</v>
      </c>
      <c r="V132" s="387">
        <f t="shared" si="27"/>
        <v>0</v>
      </c>
      <c r="W132" s="388"/>
      <c r="X132" s="388"/>
      <c r="Y132" s="388"/>
      <c r="Z132" s="388"/>
      <c r="AA132" s="388"/>
    </row>
    <row r="133" spans="1:27" ht="46.8">
      <c r="A133" s="380">
        <v>47</v>
      </c>
      <c r="B133" s="286">
        <v>7000026407</v>
      </c>
      <c r="C133" s="286">
        <v>1740</v>
      </c>
      <c r="D133" s="286">
        <v>196</v>
      </c>
      <c r="E133" s="286">
        <v>90</v>
      </c>
      <c r="F133" s="286" t="s">
        <v>516</v>
      </c>
      <c r="G133" s="286">
        <v>100001331</v>
      </c>
      <c r="H133" s="286">
        <v>995455</v>
      </c>
      <c r="I133" s="381"/>
      <c r="J133" s="275">
        <v>18</v>
      </c>
      <c r="K133" s="382"/>
      <c r="L133" s="287" t="s">
        <v>481</v>
      </c>
      <c r="M133" s="286" t="s">
        <v>295</v>
      </c>
      <c r="N133" s="286">
        <v>27</v>
      </c>
      <c r="O133" s="279"/>
      <c r="P133" s="383" t="str">
        <f t="shared" si="22"/>
        <v>INCLUDED</v>
      </c>
      <c r="Q133" s="299">
        <f t="shared" si="23"/>
        <v>0</v>
      </c>
      <c r="R133" s="384">
        <f t="shared" si="24"/>
        <v>0</v>
      </c>
      <c r="S133" s="385">
        <f>Discount!$J$36</f>
        <v>0</v>
      </c>
      <c r="T133" s="384">
        <f t="shared" si="25"/>
        <v>0</v>
      </c>
      <c r="U133" s="386">
        <f t="shared" si="26"/>
        <v>0</v>
      </c>
      <c r="V133" s="387">
        <f t="shared" si="27"/>
        <v>0</v>
      </c>
      <c r="W133" s="388"/>
      <c r="X133" s="388"/>
      <c r="Y133" s="388"/>
      <c r="Z133" s="388"/>
      <c r="AA133" s="388"/>
    </row>
    <row r="134" spans="1:27">
      <c r="A134" s="380">
        <v>48</v>
      </c>
      <c r="B134" s="286">
        <v>7000026407</v>
      </c>
      <c r="C134" s="286">
        <v>1740</v>
      </c>
      <c r="D134" s="286">
        <v>196</v>
      </c>
      <c r="E134" s="286">
        <v>100</v>
      </c>
      <c r="F134" s="286" t="s">
        <v>516</v>
      </c>
      <c r="G134" s="286">
        <v>100001714</v>
      </c>
      <c r="H134" s="286">
        <v>995428</v>
      </c>
      <c r="I134" s="381"/>
      <c r="J134" s="275">
        <v>18</v>
      </c>
      <c r="K134" s="382"/>
      <c r="L134" s="287" t="s">
        <v>482</v>
      </c>
      <c r="M134" s="286" t="s">
        <v>470</v>
      </c>
      <c r="N134" s="286">
        <v>800</v>
      </c>
      <c r="O134" s="279"/>
      <c r="P134" s="383" t="str">
        <f t="shared" si="22"/>
        <v>INCLUDED</v>
      </c>
      <c r="Q134" s="299">
        <f t="shared" si="23"/>
        <v>0</v>
      </c>
      <c r="R134" s="384">
        <f t="shared" si="24"/>
        <v>0</v>
      </c>
      <c r="S134" s="385">
        <f>Discount!$J$36</f>
        <v>0</v>
      </c>
      <c r="T134" s="384">
        <f t="shared" si="25"/>
        <v>0</v>
      </c>
      <c r="U134" s="386">
        <f t="shared" si="26"/>
        <v>0</v>
      </c>
      <c r="V134" s="387">
        <f t="shared" si="27"/>
        <v>0</v>
      </c>
      <c r="W134" s="388"/>
      <c r="X134" s="388"/>
      <c r="Y134" s="388"/>
      <c r="Z134" s="388"/>
      <c r="AA134" s="388"/>
    </row>
    <row r="135" spans="1:27">
      <c r="A135" s="380">
        <v>49</v>
      </c>
      <c r="B135" s="286">
        <v>7000026407</v>
      </c>
      <c r="C135" s="286">
        <v>1740</v>
      </c>
      <c r="D135" s="286">
        <v>196</v>
      </c>
      <c r="E135" s="286">
        <v>110</v>
      </c>
      <c r="F135" s="286" t="s">
        <v>516</v>
      </c>
      <c r="G135" s="286">
        <v>100001713</v>
      </c>
      <c r="H135" s="286">
        <v>995424</v>
      </c>
      <c r="I135" s="381"/>
      <c r="J135" s="275">
        <v>18</v>
      </c>
      <c r="K135" s="382"/>
      <c r="L135" s="287" t="s">
        <v>483</v>
      </c>
      <c r="M135" s="286" t="s">
        <v>470</v>
      </c>
      <c r="N135" s="286">
        <v>2800</v>
      </c>
      <c r="O135" s="279"/>
      <c r="P135" s="383" t="str">
        <f t="shared" si="22"/>
        <v>INCLUDED</v>
      </c>
      <c r="Q135" s="299">
        <f t="shared" si="23"/>
        <v>0</v>
      </c>
      <c r="R135" s="384">
        <f t="shared" si="24"/>
        <v>0</v>
      </c>
      <c r="S135" s="385">
        <f>Discount!$J$36</f>
        <v>0</v>
      </c>
      <c r="T135" s="384">
        <f t="shared" si="25"/>
        <v>0</v>
      </c>
      <c r="U135" s="386">
        <f t="shared" si="26"/>
        <v>0</v>
      </c>
      <c r="V135" s="387">
        <f t="shared" si="27"/>
        <v>0</v>
      </c>
      <c r="W135" s="388"/>
      <c r="X135" s="388"/>
      <c r="Y135" s="388"/>
      <c r="Z135" s="388"/>
      <c r="AA135" s="388"/>
    </row>
    <row r="136" spans="1:27" ht="31.2">
      <c r="A136" s="380">
        <v>50</v>
      </c>
      <c r="B136" s="286">
        <v>7000026407</v>
      </c>
      <c r="C136" s="286">
        <v>1740</v>
      </c>
      <c r="D136" s="286">
        <v>196</v>
      </c>
      <c r="E136" s="286">
        <v>120</v>
      </c>
      <c r="F136" s="286" t="s">
        <v>516</v>
      </c>
      <c r="G136" s="286">
        <v>100001379</v>
      </c>
      <c r="H136" s="286">
        <v>995421</v>
      </c>
      <c r="I136" s="381"/>
      <c r="J136" s="275">
        <v>18</v>
      </c>
      <c r="K136" s="382"/>
      <c r="L136" s="287" t="s">
        <v>696</v>
      </c>
      <c r="M136" s="286" t="s">
        <v>470</v>
      </c>
      <c r="N136" s="286">
        <v>375</v>
      </c>
      <c r="O136" s="279"/>
      <c r="P136" s="383" t="str">
        <f t="shared" si="22"/>
        <v>INCLUDED</v>
      </c>
      <c r="Q136" s="299">
        <f t="shared" si="23"/>
        <v>0</v>
      </c>
      <c r="R136" s="384">
        <f t="shared" si="24"/>
        <v>0</v>
      </c>
      <c r="S136" s="385">
        <f>Discount!$J$36</f>
        <v>0</v>
      </c>
      <c r="T136" s="384">
        <f t="shared" si="25"/>
        <v>0</v>
      </c>
      <c r="U136" s="386">
        <f t="shared" si="26"/>
        <v>0</v>
      </c>
      <c r="V136" s="387">
        <f t="shared" si="27"/>
        <v>0</v>
      </c>
      <c r="W136" s="388"/>
      <c r="X136" s="388"/>
      <c r="Y136" s="388"/>
      <c r="Z136" s="388"/>
      <c r="AA136" s="388"/>
    </row>
    <row r="137" spans="1:27" ht="62.4">
      <c r="A137" s="380">
        <v>51</v>
      </c>
      <c r="B137" s="286">
        <v>7000026407</v>
      </c>
      <c r="C137" s="286">
        <v>1740</v>
      </c>
      <c r="D137" s="286">
        <v>196</v>
      </c>
      <c r="E137" s="286">
        <v>130</v>
      </c>
      <c r="F137" s="286" t="s">
        <v>516</v>
      </c>
      <c r="G137" s="286">
        <v>100001457</v>
      </c>
      <c r="H137" s="286">
        <v>995421</v>
      </c>
      <c r="I137" s="381"/>
      <c r="J137" s="275">
        <v>18</v>
      </c>
      <c r="K137" s="382"/>
      <c r="L137" s="287" t="s">
        <v>541</v>
      </c>
      <c r="M137" s="286" t="s">
        <v>470</v>
      </c>
      <c r="N137" s="286">
        <v>86.1</v>
      </c>
      <c r="O137" s="279"/>
      <c r="P137" s="383" t="str">
        <f t="shared" si="22"/>
        <v>INCLUDED</v>
      </c>
      <c r="Q137" s="299">
        <f t="shared" si="23"/>
        <v>0</v>
      </c>
      <c r="R137" s="384">
        <f t="shared" si="24"/>
        <v>0</v>
      </c>
      <c r="S137" s="385">
        <f>Discount!$J$36</f>
        <v>0</v>
      </c>
      <c r="T137" s="384">
        <f t="shared" si="25"/>
        <v>0</v>
      </c>
      <c r="U137" s="386">
        <f t="shared" si="26"/>
        <v>0</v>
      </c>
      <c r="V137" s="387">
        <f t="shared" si="27"/>
        <v>0</v>
      </c>
      <c r="W137" s="388"/>
      <c r="X137" s="388"/>
      <c r="Y137" s="388"/>
      <c r="Z137" s="388"/>
      <c r="AA137" s="388"/>
    </row>
    <row r="138" spans="1:27" ht="46.8">
      <c r="A138" s="380">
        <v>52</v>
      </c>
      <c r="B138" s="286">
        <v>7000026407</v>
      </c>
      <c r="C138" s="286">
        <v>1740</v>
      </c>
      <c r="D138" s="286">
        <v>196</v>
      </c>
      <c r="E138" s="286">
        <v>140</v>
      </c>
      <c r="F138" s="286" t="s">
        <v>516</v>
      </c>
      <c r="G138" s="286">
        <v>100001735</v>
      </c>
      <c r="H138" s="286">
        <v>995462</v>
      </c>
      <c r="I138" s="381"/>
      <c r="J138" s="275">
        <v>18</v>
      </c>
      <c r="K138" s="382"/>
      <c r="L138" s="287" t="s">
        <v>484</v>
      </c>
      <c r="M138" s="286" t="s">
        <v>469</v>
      </c>
      <c r="N138" s="286">
        <v>50</v>
      </c>
      <c r="O138" s="279"/>
      <c r="P138" s="383" t="str">
        <f t="shared" si="22"/>
        <v>INCLUDED</v>
      </c>
      <c r="Q138" s="299">
        <f t="shared" si="23"/>
        <v>0</v>
      </c>
      <c r="R138" s="384">
        <f t="shared" si="24"/>
        <v>0</v>
      </c>
      <c r="S138" s="385">
        <f>Discount!$J$36</f>
        <v>0</v>
      </c>
      <c r="T138" s="384">
        <f t="shared" si="25"/>
        <v>0</v>
      </c>
      <c r="U138" s="386">
        <f t="shared" si="26"/>
        <v>0</v>
      </c>
      <c r="V138" s="387">
        <f t="shared" si="27"/>
        <v>0</v>
      </c>
      <c r="W138" s="388"/>
      <c r="X138" s="388"/>
      <c r="Y138" s="388"/>
      <c r="Z138" s="388"/>
      <c r="AA138" s="388"/>
    </row>
    <row r="139" spans="1:27" ht="46.8">
      <c r="A139" s="380">
        <v>53</v>
      </c>
      <c r="B139" s="286">
        <v>7000026407</v>
      </c>
      <c r="C139" s="286">
        <v>1740</v>
      </c>
      <c r="D139" s="286">
        <v>196</v>
      </c>
      <c r="E139" s="286">
        <v>150</v>
      </c>
      <c r="F139" s="286" t="s">
        <v>516</v>
      </c>
      <c r="G139" s="286">
        <v>100001736</v>
      </c>
      <c r="H139" s="286">
        <v>995462</v>
      </c>
      <c r="I139" s="381"/>
      <c r="J139" s="275">
        <v>18</v>
      </c>
      <c r="K139" s="382"/>
      <c r="L139" s="287" t="s">
        <v>549</v>
      </c>
      <c r="M139" s="286" t="s">
        <v>469</v>
      </c>
      <c r="N139" s="286">
        <v>50</v>
      </c>
      <c r="O139" s="279"/>
      <c r="P139" s="383" t="str">
        <f t="shared" si="22"/>
        <v>INCLUDED</v>
      </c>
      <c r="Q139" s="299">
        <f t="shared" si="23"/>
        <v>0</v>
      </c>
      <c r="R139" s="384">
        <f t="shared" si="24"/>
        <v>0</v>
      </c>
      <c r="S139" s="385">
        <f>Discount!$J$36</f>
        <v>0</v>
      </c>
      <c r="T139" s="384">
        <f t="shared" si="25"/>
        <v>0</v>
      </c>
      <c r="U139" s="386">
        <f t="shared" si="26"/>
        <v>0</v>
      </c>
      <c r="V139" s="387">
        <f t="shared" si="27"/>
        <v>0</v>
      </c>
      <c r="W139" s="388"/>
      <c r="X139" s="388"/>
      <c r="Y139" s="388"/>
      <c r="Z139" s="388"/>
      <c r="AA139" s="388"/>
    </row>
    <row r="140" spans="1:27" ht="46.8">
      <c r="A140" s="380">
        <v>54</v>
      </c>
      <c r="B140" s="286">
        <v>7000026407</v>
      </c>
      <c r="C140" s="286">
        <v>1740</v>
      </c>
      <c r="D140" s="286">
        <v>196</v>
      </c>
      <c r="E140" s="286">
        <v>160</v>
      </c>
      <c r="F140" s="286" t="s">
        <v>516</v>
      </c>
      <c r="G140" s="286">
        <v>100001737</v>
      </c>
      <c r="H140" s="286">
        <v>995462</v>
      </c>
      <c r="I140" s="381"/>
      <c r="J140" s="275">
        <v>18</v>
      </c>
      <c r="K140" s="382"/>
      <c r="L140" s="287" t="s">
        <v>485</v>
      </c>
      <c r="M140" s="286" t="s">
        <v>469</v>
      </c>
      <c r="N140" s="286">
        <v>30</v>
      </c>
      <c r="O140" s="279"/>
      <c r="P140" s="383" t="str">
        <f t="shared" si="10"/>
        <v>INCLUDED</v>
      </c>
      <c r="Q140" s="299">
        <f t="shared" si="11"/>
        <v>0</v>
      </c>
      <c r="R140" s="384">
        <f t="shared" si="12"/>
        <v>0</v>
      </c>
      <c r="S140" s="385">
        <f>Discount!$J$36</f>
        <v>0</v>
      </c>
      <c r="T140" s="384">
        <f t="shared" si="13"/>
        <v>0</v>
      </c>
      <c r="U140" s="386">
        <f t="shared" si="14"/>
        <v>0</v>
      </c>
      <c r="V140" s="387">
        <f t="shared" si="15"/>
        <v>0</v>
      </c>
      <c r="W140" s="388"/>
      <c r="X140" s="388"/>
      <c r="Y140" s="388"/>
      <c r="Z140" s="388"/>
      <c r="AA140" s="388"/>
    </row>
    <row r="141" spans="1:27" ht="62.4">
      <c r="A141" s="380">
        <v>55</v>
      </c>
      <c r="B141" s="286">
        <v>7000026407</v>
      </c>
      <c r="C141" s="286">
        <v>1740</v>
      </c>
      <c r="D141" s="286">
        <v>196</v>
      </c>
      <c r="E141" s="286">
        <v>170</v>
      </c>
      <c r="F141" s="286" t="s">
        <v>516</v>
      </c>
      <c r="G141" s="286">
        <v>130000761</v>
      </c>
      <c r="H141" s="286">
        <v>995428</v>
      </c>
      <c r="I141" s="381"/>
      <c r="J141" s="275">
        <v>18</v>
      </c>
      <c r="K141" s="382"/>
      <c r="L141" s="287" t="s">
        <v>523</v>
      </c>
      <c r="M141" s="286" t="s">
        <v>469</v>
      </c>
      <c r="N141" s="286">
        <v>50</v>
      </c>
      <c r="O141" s="279"/>
      <c r="P141" s="383" t="str">
        <f t="shared" si="10"/>
        <v>INCLUDED</v>
      </c>
      <c r="Q141" s="299">
        <f t="shared" si="11"/>
        <v>0</v>
      </c>
      <c r="R141" s="384">
        <f t="shared" si="12"/>
        <v>0</v>
      </c>
      <c r="S141" s="385">
        <f>Discount!$J$36</f>
        <v>0</v>
      </c>
      <c r="T141" s="384">
        <f t="shared" si="13"/>
        <v>0</v>
      </c>
      <c r="U141" s="386">
        <f t="shared" si="14"/>
        <v>0</v>
      </c>
      <c r="V141" s="387">
        <f t="shared" si="15"/>
        <v>0</v>
      </c>
      <c r="W141" s="388"/>
      <c r="X141" s="388"/>
      <c r="Y141" s="388"/>
      <c r="Z141" s="388"/>
      <c r="AA141" s="388"/>
    </row>
    <row r="142" spans="1:27" ht="62.4">
      <c r="A142" s="380">
        <v>56</v>
      </c>
      <c r="B142" s="286">
        <v>7000026407</v>
      </c>
      <c r="C142" s="286">
        <v>1740</v>
      </c>
      <c r="D142" s="286">
        <v>196</v>
      </c>
      <c r="E142" s="286">
        <v>180</v>
      </c>
      <c r="F142" s="286" t="s">
        <v>516</v>
      </c>
      <c r="G142" s="286">
        <v>130000762</v>
      </c>
      <c r="H142" s="286">
        <v>995428</v>
      </c>
      <c r="I142" s="381"/>
      <c r="J142" s="275">
        <v>18</v>
      </c>
      <c r="K142" s="382"/>
      <c r="L142" s="287" t="s">
        <v>492</v>
      </c>
      <c r="M142" s="286" t="s">
        <v>469</v>
      </c>
      <c r="N142" s="286">
        <v>50</v>
      </c>
      <c r="O142" s="279"/>
      <c r="P142" s="383" t="str">
        <f t="shared" si="10"/>
        <v>INCLUDED</v>
      </c>
      <c r="Q142" s="299">
        <f t="shared" si="11"/>
        <v>0</v>
      </c>
      <c r="R142" s="384">
        <f t="shared" si="12"/>
        <v>0</v>
      </c>
      <c r="S142" s="385">
        <f>Discount!$J$36</f>
        <v>0</v>
      </c>
      <c r="T142" s="384">
        <f t="shared" si="13"/>
        <v>0</v>
      </c>
      <c r="U142" s="386">
        <f t="shared" si="14"/>
        <v>0</v>
      </c>
      <c r="V142" s="387">
        <f t="shared" si="15"/>
        <v>0</v>
      </c>
      <c r="W142" s="388"/>
      <c r="X142" s="388"/>
      <c r="Y142" s="388"/>
      <c r="Z142" s="388"/>
      <c r="AA142" s="388"/>
    </row>
    <row r="143" spans="1:27">
      <c r="A143" s="380">
        <v>57</v>
      </c>
      <c r="B143" s="286">
        <v>7000026407</v>
      </c>
      <c r="C143" s="286">
        <v>1740</v>
      </c>
      <c r="D143" s="286">
        <v>196</v>
      </c>
      <c r="E143" s="286">
        <v>190</v>
      </c>
      <c r="F143" s="286" t="s">
        <v>516</v>
      </c>
      <c r="G143" s="286">
        <v>100001411</v>
      </c>
      <c r="H143" s="286">
        <v>995462</v>
      </c>
      <c r="I143" s="381"/>
      <c r="J143" s="275">
        <v>18</v>
      </c>
      <c r="K143" s="382"/>
      <c r="L143" s="287" t="s">
        <v>820</v>
      </c>
      <c r="M143" s="286" t="s">
        <v>296</v>
      </c>
      <c r="N143" s="286">
        <v>1</v>
      </c>
      <c r="O143" s="279"/>
      <c r="P143" s="383" t="str">
        <f t="shared" si="10"/>
        <v>INCLUDED</v>
      </c>
      <c r="Q143" s="299">
        <f t="shared" si="11"/>
        <v>0</v>
      </c>
      <c r="R143" s="384">
        <f t="shared" si="12"/>
        <v>0</v>
      </c>
      <c r="S143" s="385">
        <f>Discount!$J$36</f>
        <v>0</v>
      </c>
      <c r="T143" s="384">
        <f t="shared" si="13"/>
        <v>0</v>
      </c>
      <c r="U143" s="386">
        <f t="shared" si="14"/>
        <v>0</v>
      </c>
      <c r="V143" s="387">
        <f t="shared" si="15"/>
        <v>0</v>
      </c>
      <c r="W143" s="388"/>
      <c r="X143" s="388"/>
      <c r="Y143" s="388"/>
      <c r="Z143" s="388"/>
      <c r="AA143" s="388"/>
    </row>
    <row r="144" spans="1:27" ht="31.2">
      <c r="A144" s="380">
        <v>58</v>
      </c>
      <c r="B144" s="286">
        <v>7000026407</v>
      </c>
      <c r="C144" s="286">
        <v>1740</v>
      </c>
      <c r="D144" s="286">
        <v>196</v>
      </c>
      <c r="E144" s="286">
        <v>200</v>
      </c>
      <c r="F144" s="286" t="s">
        <v>516</v>
      </c>
      <c r="G144" s="286">
        <v>100001412</v>
      </c>
      <c r="H144" s="286">
        <v>995462</v>
      </c>
      <c r="I144" s="381"/>
      <c r="J144" s="275">
        <v>18</v>
      </c>
      <c r="K144" s="382"/>
      <c r="L144" s="287" t="s">
        <v>543</v>
      </c>
      <c r="M144" s="286" t="s">
        <v>469</v>
      </c>
      <c r="N144" s="286">
        <v>34</v>
      </c>
      <c r="O144" s="279"/>
      <c r="P144" s="383" t="str">
        <f t="shared" si="10"/>
        <v>INCLUDED</v>
      </c>
      <c r="Q144" s="299">
        <f t="shared" si="11"/>
        <v>0</v>
      </c>
      <c r="R144" s="384">
        <f t="shared" si="12"/>
        <v>0</v>
      </c>
      <c r="S144" s="385">
        <f>Discount!$J$36</f>
        <v>0</v>
      </c>
      <c r="T144" s="384">
        <f t="shared" si="13"/>
        <v>0</v>
      </c>
      <c r="U144" s="386">
        <f t="shared" si="14"/>
        <v>0</v>
      </c>
      <c r="V144" s="387">
        <f t="shared" si="15"/>
        <v>0</v>
      </c>
      <c r="W144" s="388"/>
      <c r="X144" s="388"/>
      <c r="Y144" s="388"/>
      <c r="Z144" s="388"/>
      <c r="AA144" s="388"/>
    </row>
    <row r="145" spans="1:27" ht="31.2">
      <c r="A145" s="380">
        <v>59</v>
      </c>
      <c r="B145" s="286">
        <v>7000026407</v>
      </c>
      <c r="C145" s="286">
        <v>1740</v>
      </c>
      <c r="D145" s="286">
        <v>196</v>
      </c>
      <c r="E145" s="286">
        <v>210</v>
      </c>
      <c r="F145" s="286" t="s">
        <v>516</v>
      </c>
      <c r="G145" s="286">
        <v>100001413</v>
      </c>
      <c r="H145" s="286">
        <v>995462</v>
      </c>
      <c r="I145" s="381"/>
      <c r="J145" s="275">
        <v>18</v>
      </c>
      <c r="K145" s="382"/>
      <c r="L145" s="287" t="s">
        <v>544</v>
      </c>
      <c r="M145" s="286" t="s">
        <v>469</v>
      </c>
      <c r="N145" s="286">
        <v>34</v>
      </c>
      <c r="O145" s="279"/>
      <c r="P145" s="383" t="str">
        <f t="shared" ref="P145" si="28">IF(O145=0, "INCLUDED", IF(ISERROR(N145*O145), O145, N145*O145))</f>
        <v>INCLUDED</v>
      </c>
      <c r="Q145" s="299">
        <f t="shared" ref="Q145" si="29">IF(P145="Included",0,P145)</f>
        <v>0</v>
      </c>
      <c r="R145" s="384">
        <f t="shared" ref="R145" si="30">IF( K145="",J145*(IF(P145="Included",0,P145))/100,K145*(IF(P145="Included",0,P145)))</f>
        <v>0</v>
      </c>
      <c r="S145" s="385">
        <f>Discount!$J$36</f>
        <v>0</v>
      </c>
      <c r="T145" s="384">
        <f t="shared" ref="T145" si="31">S145*Q145</f>
        <v>0</v>
      </c>
      <c r="U145" s="386">
        <f t="shared" ref="U145" si="32">IF(K145="",J145*T145/100,K145*T145)</f>
        <v>0</v>
      </c>
      <c r="V145" s="387">
        <f t="shared" ref="V145" si="33">O145*N145</f>
        <v>0</v>
      </c>
      <c r="W145" s="388"/>
      <c r="X145" s="388"/>
      <c r="Y145" s="388"/>
      <c r="Z145" s="388"/>
      <c r="AA145" s="388"/>
    </row>
    <row r="146" spans="1:27" ht="31.2">
      <c r="A146" s="380">
        <v>60</v>
      </c>
      <c r="B146" s="286">
        <v>7000026407</v>
      </c>
      <c r="C146" s="286">
        <v>1740</v>
      </c>
      <c r="D146" s="286">
        <v>196</v>
      </c>
      <c r="E146" s="286">
        <v>220</v>
      </c>
      <c r="F146" s="286" t="s">
        <v>516</v>
      </c>
      <c r="G146" s="286">
        <v>100001414</v>
      </c>
      <c r="H146" s="286">
        <v>995462</v>
      </c>
      <c r="I146" s="381"/>
      <c r="J146" s="275">
        <v>18</v>
      </c>
      <c r="K146" s="382"/>
      <c r="L146" s="287" t="s">
        <v>545</v>
      </c>
      <c r="M146" s="286" t="s">
        <v>469</v>
      </c>
      <c r="N146" s="286">
        <v>11</v>
      </c>
      <c r="O146" s="279"/>
      <c r="P146" s="383" t="str">
        <f t="shared" si="10"/>
        <v>INCLUDED</v>
      </c>
      <c r="Q146" s="299">
        <f t="shared" si="11"/>
        <v>0</v>
      </c>
      <c r="R146" s="384">
        <f t="shared" si="12"/>
        <v>0</v>
      </c>
      <c r="S146" s="385">
        <f>Discount!$J$36</f>
        <v>0</v>
      </c>
      <c r="T146" s="384">
        <f t="shared" si="13"/>
        <v>0</v>
      </c>
      <c r="U146" s="386">
        <f t="shared" si="14"/>
        <v>0</v>
      </c>
      <c r="V146" s="387">
        <f t="shared" si="15"/>
        <v>0</v>
      </c>
      <c r="W146" s="388"/>
      <c r="X146" s="388"/>
      <c r="Y146" s="388"/>
      <c r="Z146" s="388"/>
      <c r="AA146" s="388"/>
    </row>
    <row r="147" spans="1:27" ht="31.2">
      <c r="A147" s="380">
        <v>61</v>
      </c>
      <c r="B147" s="286">
        <v>7000026407</v>
      </c>
      <c r="C147" s="286">
        <v>1740</v>
      </c>
      <c r="D147" s="286">
        <v>196</v>
      </c>
      <c r="E147" s="286">
        <v>230</v>
      </c>
      <c r="F147" s="286" t="s">
        <v>516</v>
      </c>
      <c r="G147" s="286">
        <v>100001415</v>
      </c>
      <c r="H147" s="286">
        <v>995462</v>
      </c>
      <c r="I147" s="381"/>
      <c r="J147" s="275">
        <v>18</v>
      </c>
      <c r="K147" s="382"/>
      <c r="L147" s="287" t="s">
        <v>546</v>
      </c>
      <c r="M147" s="286" t="s">
        <v>469</v>
      </c>
      <c r="N147" s="286">
        <v>11</v>
      </c>
      <c r="O147" s="279"/>
      <c r="P147" s="383" t="str">
        <f t="shared" si="10"/>
        <v>INCLUDED</v>
      </c>
      <c r="Q147" s="299">
        <f t="shared" si="11"/>
        <v>0</v>
      </c>
      <c r="R147" s="384">
        <f t="shared" si="12"/>
        <v>0</v>
      </c>
      <c r="S147" s="385">
        <f>Discount!$J$36</f>
        <v>0</v>
      </c>
      <c r="T147" s="384">
        <f t="shared" si="13"/>
        <v>0</v>
      </c>
      <c r="U147" s="386">
        <f t="shared" si="14"/>
        <v>0</v>
      </c>
      <c r="V147" s="387">
        <f t="shared" si="15"/>
        <v>0</v>
      </c>
      <c r="W147" s="388"/>
      <c r="X147" s="388"/>
      <c r="Y147" s="388"/>
      <c r="Z147" s="388"/>
      <c r="AA147" s="388"/>
    </row>
    <row r="148" spans="1:27" ht="46.8">
      <c r="A148" s="380">
        <v>62</v>
      </c>
      <c r="B148" s="286">
        <v>7000026407</v>
      </c>
      <c r="C148" s="286">
        <v>1740</v>
      </c>
      <c r="D148" s="286">
        <v>196</v>
      </c>
      <c r="E148" s="286">
        <v>240</v>
      </c>
      <c r="F148" s="286" t="s">
        <v>516</v>
      </c>
      <c r="G148" s="286">
        <v>100001720</v>
      </c>
      <c r="H148" s="286">
        <v>995428</v>
      </c>
      <c r="I148" s="381"/>
      <c r="J148" s="275">
        <v>18</v>
      </c>
      <c r="K148" s="382"/>
      <c r="L148" s="287" t="s">
        <v>521</v>
      </c>
      <c r="M148" s="286" t="s">
        <v>299</v>
      </c>
      <c r="N148" s="286">
        <v>200</v>
      </c>
      <c r="O148" s="279"/>
      <c r="P148" s="383" t="str">
        <f t="shared" si="10"/>
        <v>INCLUDED</v>
      </c>
      <c r="Q148" s="299">
        <f t="shared" si="11"/>
        <v>0</v>
      </c>
      <c r="R148" s="384">
        <f t="shared" si="12"/>
        <v>0</v>
      </c>
      <c r="S148" s="385">
        <f>Discount!$J$36</f>
        <v>0</v>
      </c>
      <c r="T148" s="384">
        <f t="shared" si="13"/>
        <v>0</v>
      </c>
      <c r="U148" s="386">
        <f t="shared" si="14"/>
        <v>0</v>
      </c>
      <c r="V148" s="387">
        <f t="shared" si="15"/>
        <v>0</v>
      </c>
      <c r="W148" s="388"/>
      <c r="X148" s="388"/>
      <c r="Y148" s="388"/>
      <c r="Z148" s="388"/>
      <c r="AA148" s="388"/>
    </row>
    <row r="149" spans="1:27" ht="46.8">
      <c r="A149" s="380">
        <v>63</v>
      </c>
      <c r="B149" s="286">
        <v>7000026407</v>
      </c>
      <c r="C149" s="286">
        <v>1740</v>
      </c>
      <c r="D149" s="286">
        <v>196</v>
      </c>
      <c r="E149" s="286">
        <v>250</v>
      </c>
      <c r="F149" s="286" t="s">
        <v>516</v>
      </c>
      <c r="G149" s="286">
        <v>100003295</v>
      </c>
      <c r="H149" s="286">
        <v>995429</v>
      </c>
      <c r="I149" s="381"/>
      <c r="J149" s="275">
        <v>18</v>
      </c>
      <c r="K149" s="382"/>
      <c r="L149" s="287" t="s">
        <v>697</v>
      </c>
      <c r="M149" s="286" t="s">
        <v>299</v>
      </c>
      <c r="N149" s="286">
        <v>100</v>
      </c>
      <c r="O149" s="279"/>
      <c r="P149" s="383" t="str">
        <f t="shared" si="10"/>
        <v>INCLUDED</v>
      </c>
      <c r="Q149" s="299">
        <f t="shared" si="11"/>
        <v>0</v>
      </c>
      <c r="R149" s="384">
        <f t="shared" si="12"/>
        <v>0</v>
      </c>
      <c r="S149" s="385">
        <f>Discount!$J$36</f>
        <v>0</v>
      </c>
      <c r="T149" s="384">
        <f t="shared" si="13"/>
        <v>0</v>
      </c>
      <c r="U149" s="386">
        <f t="shared" si="14"/>
        <v>0</v>
      </c>
      <c r="V149" s="387">
        <f t="shared" si="15"/>
        <v>0</v>
      </c>
      <c r="W149" s="388"/>
      <c r="X149" s="388"/>
      <c r="Y149" s="388"/>
      <c r="Z149" s="388"/>
      <c r="AA149" s="388"/>
    </row>
    <row r="150" spans="1:27" ht="31.2">
      <c r="A150" s="380">
        <v>64</v>
      </c>
      <c r="B150" s="286">
        <v>7000026407</v>
      </c>
      <c r="C150" s="286">
        <v>1740</v>
      </c>
      <c r="D150" s="286">
        <v>196</v>
      </c>
      <c r="E150" s="286">
        <v>260</v>
      </c>
      <c r="F150" s="286" t="s">
        <v>516</v>
      </c>
      <c r="G150" s="286">
        <v>100001712</v>
      </c>
      <c r="H150" s="286">
        <v>995428</v>
      </c>
      <c r="I150" s="381"/>
      <c r="J150" s="275">
        <v>18</v>
      </c>
      <c r="K150" s="382"/>
      <c r="L150" s="287" t="s">
        <v>540</v>
      </c>
      <c r="M150" s="286" t="s">
        <v>470</v>
      </c>
      <c r="N150" s="286">
        <v>2000</v>
      </c>
      <c r="O150" s="279"/>
      <c r="P150" s="383" t="str">
        <f t="shared" si="10"/>
        <v>INCLUDED</v>
      </c>
      <c r="Q150" s="299">
        <f t="shared" si="11"/>
        <v>0</v>
      </c>
      <c r="R150" s="384">
        <f t="shared" si="12"/>
        <v>0</v>
      </c>
      <c r="S150" s="385">
        <f>Discount!$J$36</f>
        <v>0</v>
      </c>
      <c r="T150" s="384">
        <f t="shared" si="13"/>
        <v>0</v>
      </c>
      <c r="U150" s="386">
        <f t="shared" si="14"/>
        <v>0</v>
      </c>
      <c r="V150" s="387">
        <f t="shared" si="15"/>
        <v>0</v>
      </c>
      <c r="W150" s="388"/>
      <c r="X150" s="388"/>
      <c r="Y150" s="388"/>
      <c r="Z150" s="388"/>
      <c r="AA150" s="388"/>
    </row>
    <row r="151" spans="1:27" ht="62.4">
      <c r="A151" s="380">
        <v>65</v>
      </c>
      <c r="B151" s="286">
        <v>7000026407</v>
      </c>
      <c r="C151" s="286">
        <v>1750</v>
      </c>
      <c r="D151" s="286">
        <v>206</v>
      </c>
      <c r="E151" s="286">
        <v>10</v>
      </c>
      <c r="F151" s="286" t="s">
        <v>807</v>
      </c>
      <c r="G151" s="286">
        <v>100001210</v>
      </c>
      <c r="H151" s="286">
        <v>995455</v>
      </c>
      <c r="I151" s="381"/>
      <c r="J151" s="275">
        <v>18</v>
      </c>
      <c r="K151" s="382"/>
      <c r="L151" s="287" t="s">
        <v>683</v>
      </c>
      <c r="M151" s="286" t="s">
        <v>295</v>
      </c>
      <c r="N151" s="286">
        <v>16.3</v>
      </c>
      <c r="O151" s="279"/>
      <c r="P151" s="383" t="str">
        <f t="shared" si="10"/>
        <v>INCLUDED</v>
      </c>
      <c r="Q151" s="299">
        <f t="shared" si="11"/>
        <v>0</v>
      </c>
      <c r="R151" s="384">
        <f t="shared" si="12"/>
        <v>0</v>
      </c>
      <c r="S151" s="385">
        <f>Discount!$J$36</f>
        <v>0</v>
      </c>
      <c r="T151" s="384">
        <f t="shared" si="13"/>
        <v>0</v>
      </c>
      <c r="U151" s="386">
        <f t="shared" si="14"/>
        <v>0</v>
      </c>
      <c r="V151" s="387">
        <f t="shared" si="15"/>
        <v>0</v>
      </c>
      <c r="W151" s="388"/>
      <c r="X151" s="388"/>
      <c r="Y151" s="388"/>
      <c r="Z151" s="388"/>
      <c r="AA151" s="388"/>
    </row>
    <row r="152" spans="1:27" ht="46.8">
      <c r="A152" s="380">
        <v>66</v>
      </c>
      <c r="B152" s="286">
        <v>7000026407</v>
      </c>
      <c r="C152" s="286">
        <v>1750</v>
      </c>
      <c r="D152" s="286">
        <v>206</v>
      </c>
      <c r="E152" s="286">
        <v>30</v>
      </c>
      <c r="F152" s="286" t="s">
        <v>807</v>
      </c>
      <c r="G152" s="286">
        <v>100001680</v>
      </c>
      <c r="H152" s="286">
        <v>995455</v>
      </c>
      <c r="I152" s="381"/>
      <c r="J152" s="275">
        <v>18</v>
      </c>
      <c r="K152" s="382"/>
      <c r="L152" s="287" t="s">
        <v>684</v>
      </c>
      <c r="M152" s="286" t="s">
        <v>295</v>
      </c>
      <c r="N152" s="286">
        <v>0.85</v>
      </c>
      <c r="O152" s="279"/>
      <c r="P152" s="383" t="str">
        <f t="shared" ref="P152:P154" si="34">IF(O152=0, "INCLUDED", IF(ISERROR(N152*O152), O152, N152*O152))</f>
        <v>INCLUDED</v>
      </c>
      <c r="Q152" s="299">
        <f t="shared" ref="Q152:Q154" si="35">IF(P152="Included",0,P152)</f>
        <v>0</v>
      </c>
      <c r="R152" s="384">
        <f t="shared" ref="R152:R154" si="36">IF( K152="",J152*(IF(P152="Included",0,P152))/100,K152*(IF(P152="Included",0,P152)))</f>
        <v>0</v>
      </c>
      <c r="S152" s="385">
        <f>Discount!$J$36</f>
        <v>0</v>
      </c>
      <c r="T152" s="384">
        <f t="shared" ref="T152:T154" si="37">S152*Q152</f>
        <v>0</v>
      </c>
      <c r="U152" s="386">
        <f t="shared" ref="U152:U154" si="38">IF(K152="",J152*T152/100,K152*T152)</f>
        <v>0</v>
      </c>
      <c r="V152" s="387">
        <f t="shared" ref="V152:V154" si="39">O152*N152</f>
        <v>0</v>
      </c>
      <c r="W152" s="388"/>
      <c r="X152" s="388"/>
      <c r="Y152" s="388"/>
      <c r="Z152" s="388"/>
      <c r="AA152" s="388"/>
    </row>
    <row r="153" spans="1:27" ht="46.8">
      <c r="A153" s="380">
        <v>67</v>
      </c>
      <c r="B153" s="286">
        <v>7000026407</v>
      </c>
      <c r="C153" s="286">
        <v>1750</v>
      </c>
      <c r="D153" s="286">
        <v>206</v>
      </c>
      <c r="E153" s="286">
        <v>40</v>
      </c>
      <c r="F153" s="286" t="s">
        <v>807</v>
      </c>
      <c r="G153" s="286">
        <v>100001681</v>
      </c>
      <c r="H153" s="286">
        <v>995455</v>
      </c>
      <c r="I153" s="381"/>
      <c r="J153" s="275">
        <v>18</v>
      </c>
      <c r="K153" s="382"/>
      <c r="L153" s="287" t="s">
        <v>685</v>
      </c>
      <c r="M153" s="286" t="s">
        <v>295</v>
      </c>
      <c r="N153" s="286">
        <v>1.4</v>
      </c>
      <c r="O153" s="279"/>
      <c r="P153" s="383" t="str">
        <f t="shared" si="34"/>
        <v>INCLUDED</v>
      </c>
      <c r="Q153" s="299">
        <f t="shared" si="35"/>
        <v>0</v>
      </c>
      <c r="R153" s="384">
        <f t="shared" si="36"/>
        <v>0</v>
      </c>
      <c r="S153" s="385">
        <f>Discount!$J$36</f>
        <v>0</v>
      </c>
      <c r="T153" s="384">
        <f t="shared" si="37"/>
        <v>0</v>
      </c>
      <c r="U153" s="386">
        <f t="shared" si="38"/>
        <v>0</v>
      </c>
      <c r="V153" s="387">
        <f t="shared" si="39"/>
        <v>0</v>
      </c>
      <c r="W153" s="388"/>
      <c r="X153" s="388"/>
      <c r="Y153" s="388"/>
      <c r="Z153" s="388"/>
      <c r="AA153" s="388"/>
    </row>
    <row r="154" spans="1:27" ht="31.2">
      <c r="A154" s="380">
        <v>68</v>
      </c>
      <c r="B154" s="286">
        <v>7000026407</v>
      </c>
      <c r="C154" s="286">
        <v>1790</v>
      </c>
      <c r="D154" s="286">
        <v>226</v>
      </c>
      <c r="E154" s="286">
        <v>10</v>
      </c>
      <c r="F154" s="286" t="s">
        <v>808</v>
      </c>
      <c r="G154" s="286">
        <v>100002180</v>
      </c>
      <c r="H154" s="286">
        <v>998736</v>
      </c>
      <c r="I154" s="381"/>
      <c r="J154" s="275">
        <v>18</v>
      </c>
      <c r="K154" s="382"/>
      <c r="L154" s="287" t="s">
        <v>518</v>
      </c>
      <c r="M154" s="286" t="s">
        <v>472</v>
      </c>
      <c r="N154" s="286">
        <v>1</v>
      </c>
      <c r="O154" s="279"/>
      <c r="P154" s="383" t="str">
        <f t="shared" si="34"/>
        <v>INCLUDED</v>
      </c>
      <c r="Q154" s="299">
        <f t="shared" si="35"/>
        <v>0</v>
      </c>
      <c r="R154" s="384">
        <f t="shared" si="36"/>
        <v>0</v>
      </c>
      <c r="S154" s="385">
        <f>Discount!$J$36</f>
        <v>0</v>
      </c>
      <c r="T154" s="384">
        <f t="shared" si="37"/>
        <v>0</v>
      </c>
      <c r="U154" s="386">
        <f t="shared" si="38"/>
        <v>0</v>
      </c>
      <c r="V154" s="387">
        <f t="shared" si="39"/>
        <v>0</v>
      </c>
      <c r="W154" s="388"/>
      <c r="X154" s="388"/>
      <c r="Y154" s="388"/>
      <c r="Z154" s="388"/>
      <c r="AA154" s="388"/>
    </row>
    <row r="155" spans="1:27" ht="31.2">
      <c r="A155" s="380">
        <v>69</v>
      </c>
      <c r="B155" s="275">
        <v>7000026407</v>
      </c>
      <c r="C155" s="275">
        <v>1790</v>
      </c>
      <c r="D155" s="275">
        <v>226</v>
      </c>
      <c r="E155" s="275">
        <v>20</v>
      </c>
      <c r="F155" s="275" t="s">
        <v>808</v>
      </c>
      <c r="G155" s="275">
        <v>100002182</v>
      </c>
      <c r="H155" s="275">
        <v>998736</v>
      </c>
      <c r="I155" s="381"/>
      <c r="J155" s="275">
        <v>18</v>
      </c>
      <c r="K155" s="382"/>
      <c r="L155" s="278" t="s">
        <v>474</v>
      </c>
      <c r="M155" s="275" t="s">
        <v>472</v>
      </c>
      <c r="N155" s="275">
        <v>1</v>
      </c>
      <c r="O155" s="279"/>
      <c r="P155" s="383" t="str">
        <f t="shared" si="10"/>
        <v>INCLUDED</v>
      </c>
      <c r="Q155" s="299">
        <f t="shared" si="11"/>
        <v>0</v>
      </c>
      <c r="R155" s="384">
        <f t="shared" ref="R155" si="40">IF( K155="",J155*(IF(P155="Included",0,P155))/100,K155*(IF(P155="Included",0,P155)))</f>
        <v>0</v>
      </c>
      <c r="S155" s="385">
        <f>Discount!$J$36</f>
        <v>0</v>
      </c>
      <c r="T155" s="384">
        <f t="shared" ref="T155" si="41">S155*Q155</f>
        <v>0</v>
      </c>
      <c r="U155" s="386">
        <f t="shared" si="14"/>
        <v>0</v>
      </c>
      <c r="V155" s="387">
        <f t="shared" si="15"/>
        <v>0</v>
      </c>
      <c r="W155" s="388"/>
      <c r="X155" s="388"/>
      <c r="Y155" s="388"/>
      <c r="Z155" s="388"/>
      <c r="AA155" s="388"/>
    </row>
    <row r="156" spans="1:27" ht="31.2">
      <c r="A156" s="380">
        <v>70</v>
      </c>
      <c r="B156" s="275">
        <v>7000026407</v>
      </c>
      <c r="C156" s="275">
        <v>1790</v>
      </c>
      <c r="D156" s="275">
        <v>226</v>
      </c>
      <c r="E156" s="275">
        <v>30</v>
      </c>
      <c r="F156" s="275" t="s">
        <v>808</v>
      </c>
      <c r="G156" s="275">
        <v>100002181</v>
      </c>
      <c r="H156" s="275">
        <v>998736</v>
      </c>
      <c r="I156" s="381"/>
      <c r="J156" s="275">
        <v>18</v>
      </c>
      <c r="K156" s="382"/>
      <c r="L156" s="278" t="s">
        <v>473</v>
      </c>
      <c r="M156" s="275" t="s">
        <v>472</v>
      </c>
      <c r="N156" s="275">
        <v>1</v>
      </c>
      <c r="O156" s="279"/>
      <c r="P156" s="383" t="str">
        <f t="shared" ref="P156" si="42">IF(O156=0, "INCLUDED", IF(ISERROR(N156*O156), O156, N156*O156))</f>
        <v>INCLUDED</v>
      </c>
      <c r="Q156" s="299">
        <f t="shared" ref="Q156" si="43">IF(P156="Included",0,P156)</f>
        <v>0</v>
      </c>
      <c r="R156" s="384">
        <f t="shared" ref="R156" si="44">IF( K156="",J156*(IF(P156="Included",0,P156))/100,K156*(IF(P156="Included",0,P156)))</f>
        <v>0</v>
      </c>
      <c r="S156" s="385">
        <f>Discount!$J$36</f>
        <v>0</v>
      </c>
      <c r="T156" s="384">
        <f t="shared" ref="T156" si="45">S156*Q156</f>
        <v>0</v>
      </c>
      <c r="U156" s="386">
        <f t="shared" ref="U156" si="46">IF(K156="",J156*T156/100,K156*T156)</f>
        <v>0</v>
      </c>
      <c r="V156" s="387">
        <f t="shared" ref="V156" si="47">O156*N156</f>
        <v>0</v>
      </c>
      <c r="W156" s="388"/>
      <c r="X156" s="388"/>
      <c r="Y156" s="388"/>
      <c r="Z156" s="388"/>
      <c r="AA156" s="388"/>
    </row>
    <row r="157" spans="1:27" ht="28.5" customHeight="1">
      <c r="A157" s="389"/>
      <c r="B157" s="390" t="s">
        <v>193</v>
      </c>
      <c r="C157" s="391"/>
      <c r="D157" s="391"/>
      <c r="E157" s="391"/>
      <c r="F157" s="392"/>
      <c r="G157" s="392"/>
      <c r="H157" s="392"/>
      <c r="I157" s="392"/>
      <c r="J157" s="392"/>
      <c r="K157" s="392"/>
      <c r="L157" s="392"/>
      <c r="M157" s="392"/>
      <c r="N157" s="393"/>
      <c r="O157" s="392"/>
      <c r="P157" s="394">
        <f>SUM(P18:P156)</f>
        <v>0</v>
      </c>
      <c r="Q157" s="301"/>
      <c r="R157" s="395">
        <f>SUM(R18:R156)</f>
        <v>0</v>
      </c>
      <c r="S157" s="396"/>
      <c r="T157" s="397"/>
      <c r="U157" s="395">
        <f>SUM(U18:U156)</f>
        <v>0</v>
      </c>
      <c r="V157" s="387">
        <f>SUM(V18:V156)</f>
        <v>0</v>
      </c>
      <c r="W157" s="388"/>
      <c r="X157" s="388"/>
      <c r="Y157" s="388"/>
      <c r="Z157" s="388"/>
      <c r="AA157" s="388"/>
    </row>
    <row r="158" spans="1:27" ht="21.75" customHeight="1">
      <c r="B158" s="399"/>
      <c r="C158" s="400"/>
      <c r="D158" s="400"/>
      <c r="E158" s="400"/>
      <c r="F158" s="400"/>
      <c r="G158" s="400"/>
      <c r="H158" s="400"/>
      <c r="I158" s="400"/>
      <c r="J158" s="400"/>
      <c r="K158" s="400"/>
      <c r="L158" s="400"/>
      <c r="M158" s="401"/>
      <c r="N158" s="402"/>
      <c r="O158" s="401"/>
      <c r="P158" s="401"/>
      <c r="Q158" s="401"/>
      <c r="R158" s="396"/>
      <c r="S158" s="396"/>
      <c r="T158" s="397"/>
      <c r="U158" s="396"/>
      <c r="V158" s="388"/>
      <c r="W158" s="388"/>
      <c r="X158" s="388"/>
      <c r="Y158" s="388"/>
      <c r="Z158" s="388"/>
      <c r="AA158" s="388"/>
    </row>
    <row r="159" spans="1:27" ht="30" customHeight="1">
      <c r="A159" s="403" t="s">
        <v>352</v>
      </c>
      <c r="B159" s="835" t="s">
        <v>353</v>
      </c>
      <c r="C159" s="835"/>
      <c r="D159" s="835"/>
      <c r="E159" s="835"/>
      <c r="F159" s="835"/>
      <c r="G159" s="835"/>
      <c r="H159" s="835"/>
      <c r="I159" s="835"/>
      <c r="J159" s="835"/>
      <c r="K159" s="835"/>
      <c r="L159" s="835"/>
      <c r="M159" s="835"/>
      <c r="N159" s="835"/>
      <c r="O159" s="835"/>
      <c r="P159" s="835"/>
      <c r="Q159" s="401"/>
      <c r="R159" s="396"/>
      <c r="S159" s="396"/>
      <c r="T159" s="397"/>
      <c r="U159" s="396"/>
      <c r="V159" s="388"/>
      <c r="W159" s="388"/>
      <c r="X159" s="388"/>
      <c r="Y159" s="388"/>
      <c r="Z159" s="388"/>
      <c r="AA159" s="388"/>
    </row>
    <row r="160" spans="1:27" ht="21.75" customHeight="1">
      <c r="A160" s="404"/>
      <c r="B160" s="405"/>
      <c r="C160" s="406"/>
      <c r="D160" s="407"/>
      <c r="E160" s="408"/>
      <c r="F160" s="308"/>
      <c r="G160" s="308"/>
      <c r="H160" s="308"/>
      <c r="I160" s="308"/>
      <c r="J160" s="308"/>
      <c r="K160" s="308"/>
      <c r="L160" s="307"/>
      <c r="M160" s="401"/>
      <c r="N160" s="402"/>
      <c r="O160" s="401"/>
      <c r="P160" s="401"/>
      <c r="Q160" s="401"/>
      <c r="R160" s="396"/>
      <c r="S160" s="396"/>
      <c r="T160" s="397"/>
      <c r="U160" s="396"/>
      <c r="V160" s="388"/>
      <c r="W160" s="388"/>
      <c r="X160" s="388"/>
      <c r="Y160" s="388"/>
      <c r="Z160" s="388"/>
      <c r="AA160" s="388"/>
    </row>
    <row r="161" spans="1:27" ht="21.75" customHeight="1">
      <c r="A161" s="404"/>
      <c r="B161" s="405"/>
      <c r="C161" s="406"/>
      <c r="D161" s="407"/>
      <c r="E161" s="408"/>
      <c r="F161" s="308"/>
      <c r="G161" s="308"/>
      <c r="H161" s="308"/>
      <c r="I161" s="308"/>
      <c r="J161" s="308"/>
      <c r="K161" s="308"/>
      <c r="L161" s="307"/>
      <c r="M161" s="401"/>
      <c r="N161" s="402"/>
      <c r="O161" s="401"/>
      <c r="P161" s="401"/>
      <c r="Q161" s="401"/>
      <c r="R161" s="396"/>
      <c r="S161" s="396"/>
      <c r="T161" s="397"/>
      <c r="U161" s="396"/>
      <c r="V161" s="388"/>
      <c r="W161" s="388"/>
      <c r="X161" s="388"/>
      <c r="Y161" s="388"/>
      <c r="Z161" s="388"/>
      <c r="AA161" s="388"/>
    </row>
    <row r="162" spans="1:27" s="402" customFormat="1" ht="14.4">
      <c r="A162" s="403"/>
      <c r="B162" s="409" t="s">
        <v>313</v>
      </c>
      <c r="C162" s="838" t="str">
        <f>'Sch-1'!C332:D332</f>
        <v xml:space="preserve">  </v>
      </c>
      <c r="D162" s="838"/>
      <c r="E162" s="838"/>
      <c r="F162" s="403"/>
      <c r="G162" s="403"/>
      <c r="H162" s="403"/>
      <c r="I162" s="403"/>
      <c r="J162" s="403"/>
      <c r="K162" s="403"/>
      <c r="L162" s="403"/>
      <c r="M162" s="836" t="s">
        <v>315</v>
      </c>
      <c r="N162" s="836"/>
      <c r="O162" s="839" t="str">
        <f>'Sch-1'!K332</f>
        <v/>
      </c>
      <c r="P162" s="839"/>
      <c r="R162" s="410"/>
      <c r="S162" s="410"/>
      <c r="T162" s="410"/>
      <c r="U162" s="410"/>
    </row>
    <row r="163" spans="1:27" s="402" customFormat="1" ht="14.4">
      <c r="A163" s="403"/>
      <c r="B163" s="409" t="s">
        <v>314</v>
      </c>
      <c r="C163" s="837" t="str">
        <f>'Sch-1'!C333:D333</f>
        <v/>
      </c>
      <c r="D163" s="837"/>
      <c r="E163" s="837"/>
      <c r="F163" s="403"/>
      <c r="G163" s="403"/>
      <c r="H163" s="403"/>
      <c r="I163" s="403"/>
      <c r="J163" s="403"/>
      <c r="K163" s="403"/>
      <c r="L163" s="403"/>
      <c r="M163" s="836" t="s">
        <v>123</v>
      </c>
      <c r="N163" s="836"/>
      <c r="O163" s="839" t="str">
        <f>'Sch-1'!K333</f>
        <v/>
      </c>
      <c r="P163" s="839"/>
      <c r="R163" s="410"/>
      <c r="S163" s="410"/>
      <c r="T163" s="410"/>
      <c r="U163" s="410"/>
    </row>
    <row r="164" spans="1:27">
      <c r="B164" s="405"/>
      <c r="C164" s="406"/>
      <c r="D164" s="350"/>
      <c r="E164" s="408"/>
      <c r="F164" s="250"/>
      <c r="G164" s="308"/>
      <c r="H164" s="308"/>
      <c r="I164" s="308"/>
      <c r="J164" s="308"/>
      <c r="K164" s="308"/>
      <c r="L164" s="307"/>
      <c r="M164" s="401"/>
      <c r="N164" s="402"/>
      <c r="O164" s="401"/>
      <c r="P164" s="401"/>
      <c r="Q164" s="401"/>
    </row>
    <row r="165" spans="1:27">
      <c r="B165" s="411"/>
      <c r="C165" s="412"/>
      <c r="D165" s="349"/>
      <c r="E165" s="408"/>
      <c r="F165" s="250"/>
      <c r="G165" s="307"/>
      <c r="H165" s="307"/>
      <c r="I165" s="307"/>
      <c r="J165" s="307"/>
      <c r="K165" s="307"/>
      <c r="L165" s="307"/>
      <c r="M165" s="401"/>
      <c r="N165" s="402"/>
      <c r="O165" s="401"/>
      <c r="P165" s="401"/>
      <c r="Q165" s="401"/>
    </row>
    <row r="167" spans="1:27">
      <c r="P167" s="413">
        <f>P157*0.18</f>
        <v>0</v>
      </c>
    </row>
  </sheetData>
  <sheetProtection algorithmName="SHA-512" hashValue="yMpuK5td2tAhW2SBlRKne58x8DSXypElxhyin5dLII5EYzB+ixVJo2RAnjan93xxoLyC6Gn9+HerlywlxUaFCA==" saltValue="y2fmPE839G4wtztWXO7jgw==" spinCount="100000" sheet="1" formatColumns="0" formatRows="0" selectLockedCells="1"/>
  <customSheetViews>
    <customSheetView guid="{B85D7887-A299-45C0-BD97-6C28577A6A5C}" scale="70" showPageBreaks="1" printArea="1" hiddenColumns="1" view="pageBreakPreview" topLeftCell="A169">
      <selection activeCell="O348" sqref="O348"/>
      <pageMargins left="0.2" right="0.2" top="0.75" bottom="0.5" header="0.3" footer="0.3"/>
      <printOptions horizontalCentered="1"/>
      <pageSetup paperSize="9" scale="49" orientation="landscape" r:id="rId1"/>
      <headerFooter>
        <oddHeader>&amp;RSchedule-3
Page &amp;P of &amp;N</oddHeader>
      </headerFooter>
    </customSheetView>
    <customSheetView guid="{CA9345C4-09FE-4F27-BFD9-3D9BCD2DED09}" scale="70" showPageBreaks="1" printArea="1" hiddenColumns="1" view="pageBreakPreview" topLeftCell="A21">
      <selection activeCell="I21" sqref="I21"/>
      <pageMargins left="0.2" right="0.2" top="0.75" bottom="0.5" header="0.3" footer="0.3"/>
      <printOptions horizontalCentered="1"/>
      <pageSetup paperSize="9" scale="49" orientation="landscape" r:id="rId2"/>
      <headerFooter>
        <oddHeader>&amp;RSchedule-3
Page &amp;P of &amp;N</oddHeader>
      </headerFooter>
    </customSheetView>
    <customSheetView guid="{7AB1F867-F01E-4EB9-A93D-DDCFDB9AA444}" scale="98" showPageBreaks="1" printArea="1" hiddenColumns="1" view="pageBreakPreview" topLeftCell="K85">
      <selection activeCell="O93" sqref="O93"/>
      <pageMargins left="0.2" right="0.2" top="0.75" bottom="0.5" header="0.3" footer="0.3"/>
      <printOptions horizontalCentered="1"/>
      <pageSetup paperSize="9" scale="50" orientation="landscape" r:id="rId3"/>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4"/>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
Page &amp;P of &amp;N</oddHeader>
      </headerFooter>
    </customSheetView>
    <customSheetView guid="{497EA202-A8B8-45C5-9E6C-C3CD104F3979}" scale="60" showPageBreaks="1" printArea="1" hiddenColumns="1" view="pageBreakPreview" topLeftCell="A70">
      <selection activeCell="I70" sqref="I70"/>
      <pageMargins left="0.2" right="0.2" top="0.75" bottom="0.5" header="0.3" footer="0.3"/>
      <printOptions horizontalCentered="1"/>
      <pageSetup paperSize="9" scale="52" orientation="landscape" r:id="rId8"/>
      <headerFooter>
        <oddHeader>&amp;RSchedule-3
Page &amp;P of &amp;N</oddHeader>
      </headerFooter>
    </customSheetView>
    <customSheetView guid="{63D51328-7CBC-4A1E-B96D-BAE91416501B}" scale="60" showPageBreaks="1" printArea="1" hiddenColumns="1" view="pageBreakPreview" topLeftCell="A2">
      <selection activeCell="O22" sqref="O22"/>
      <pageMargins left="0.2" right="0.2" top="0.75" bottom="0.5" header="0.3" footer="0.3"/>
      <printOptions horizontalCentered="1"/>
      <pageSetup paperSize="9" scale="50" orientation="landscape" r:id="rId9"/>
      <headerFooter>
        <oddHeader>&amp;RSchedule-3
Page &amp;P of &amp;N</oddHeader>
      </headerFooter>
    </customSheetView>
    <customSheetView guid="{D5521983-A70D-48A3-9506-C0263CBBC57D}" scale="98" showPageBreaks="1" printArea="1" hiddenColumns="1" view="pageBreakPreview" topLeftCell="K85">
      <selection activeCell="O93" sqref="O93"/>
      <pageMargins left="0.2" right="0.2" top="0.75" bottom="0.5" header="0.3" footer="0.3"/>
      <printOptions horizontalCentered="1"/>
      <pageSetup paperSize="9" scale="50" orientation="landscape" r:id="rId10"/>
      <headerFooter>
        <oddHeader>&amp;RSchedule-3
Page &amp;P of &amp;N</oddHeader>
      </headerFooter>
    </customSheetView>
    <customSheetView guid="{12A89170-4F84-482D-A3C5-7890082E7B73}" scale="98" showPageBreaks="1" printArea="1" hiddenColumns="1" view="pageBreakPreview" topLeftCell="E74">
      <selection activeCell="O78" sqref="O78"/>
      <pageMargins left="0.2" right="0.2" top="0.75" bottom="0.5" header="0.3" footer="0.3"/>
      <printOptions horizontalCentered="1"/>
      <pageSetup paperSize="9" scale="49" orientation="landscape" r:id="rId11"/>
      <headerFooter>
        <oddHeader>&amp;RSchedule-3
Page &amp;P of &amp;N</oddHeader>
      </headerFooter>
    </customSheetView>
    <customSheetView guid="{CCA37BAE-906F-43D5-9FD9-B13563E4B9D7}" scale="70" showPageBreaks="1" printArea="1" hiddenColumns="1" view="pageBreakPreview" topLeftCell="A169">
      <selection activeCell="O348" sqref="O348"/>
      <pageMargins left="0.2" right="0.2" top="0.75" bottom="0.5" header="0.3" footer="0.3"/>
      <printOptions horizontalCentered="1"/>
      <pageSetup paperSize="9" scale="49" orientation="landscape" r:id="rId12"/>
      <headerFooter>
        <oddHeader>&amp;RSchedule-3
Page &amp;P of &amp;N</oddHeader>
      </headerFooter>
    </customSheetView>
  </customSheetViews>
  <mergeCells count="17">
    <mergeCell ref="C12:G12"/>
    <mergeCell ref="A14:P14"/>
    <mergeCell ref="C11:G11"/>
    <mergeCell ref="C10:G10"/>
    <mergeCell ref="C9:G9"/>
    <mergeCell ref="A3:P3"/>
    <mergeCell ref="A4:P4"/>
    <mergeCell ref="A6:B6"/>
    <mergeCell ref="A7:I7"/>
    <mergeCell ref="A8:G8"/>
    <mergeCell ref="B159:P159"/>
    <mergeCell ref="M163:N163"/>
    <mergeCell ref="M162:N162"/>
    <mergeCell ref="C163:E163"/>
    <mergeCell ref="C162:E162"/>
    <mergeCell ref="O163:P163"/>
    <mergeCell ref="O162:P162"/>
  </mergeCells>
  <conditionalFormatting sqref="K18:K85 K87:K156">
    <cfRule type="expression" dxfId="5" priority="1" stopIfTrue="1">
      <formula>J18&gt;0</formula>
    </cfRule>
  </conditionalFormatting>
  <dataValidations count="5">
    <dataValidation type="list" allowBlank="1" showInputMessage="1" showErrorMessage="1" sqref="IJ64592 A64592:K64592" xr:uid="{00000000-0002-0000-0600-000000000000}">
      <formula1>#REF!</formula1>
    </dataValidation>
    <dataValidation type="decimal" operator="greaterThan" allowBlank="1" showInputMessage="1" showErrorMessage="1" error="Enter only Numeric Value greater than zero or leave the cell blank !" sqref="O64562:O64608" xr:uid="{00000000-0002-0000-0600-000001000000}">
      <formula1>0</formula1>
    </dataValidation>
    <dataValidation type="list" operator="greaterThan" allowBlank="1" showInputMessage="1" showErrorMessage="1" sqref="K18:K85 K87:K156" xr:uid="{00000000-0002-0000-0600-000002000000}">
      <formula1>"0%,5%,12%,18%,28%"</formula1>
    </dataValidation>
    <dataValidation type="whole" operator="greaterThan" allowBlank="1" showInputMessage="1" showErrorMessage="1" sqref="I18:I85 I87:I156" xr:uid="{00000000-0002-0000-0600-000003000000}">
      <formula1>0</formula1>
    </dataValidation>
    <dataValidation type="decimal" operator="greaterThanOrEqual" allowBlank="1" showInputMessage="1" showErrorMessage="1" sqref="O18:O85 O87:O156" xr:uid="{00000000-0002-0000-0600-000004000000}">
      <formula1>0</formula1>
    </dataValidation>
  </dataValidations>
  <printOptions horizontalCentered="1"/>
  <pageMargins left="0.2" right="0.2" top="0.75" bottom="0.5" header="0.3" footer="0.3"/>
  <pageSetup paperSize="9" scale="49" orientation="landscape" r:id="rId13"/>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55" zoomScaleNormal="100" zoomScaleSheetLayoutView="55" workbookViewId="0">
      <selection activeCell="A17" sqref="A17"/>
    </sheetView>
  </sheetViews>
  <sheetFormatPr defaultColWidth="9.109375" defaultRowHeight="15.6"/>
  <cols>
    <col min="1" max="1" width="7.5546875" style="447" customWidth="1"/>
    <col min="2" max="2" width="9" style="447" customWidth="1"/>
    <col min="3" max="3" width="10.33203125" style="447" customWidth="1"/>
    <col min="4" max="4" width="10.88671875" style="447" customWidth="1"/>
    <col min="5" max="5" width="11.109375" style="447" customWidth="1"/>
    <col min="6" max="6" width="13.6640625" style="447" customWidth="1"/>
    <col min="7" max="7" width="15.44140625" style="447" customWidth="1"/>
    <col min="8" max="11" width="16.88671875" style="447" customWidth="1"/>
    <col min="12" max="12" width="14.44140625" style="453" customWidth="1"/>
    <col min="13" max="13" width="9" style="447" customWidth="1"/>
    <col min="14" max="14" width="11.44140625" style="447" customWidth="1"/>
    <col min="15" max="15" width="13.33203125" style="447" customWidth="1"/>
    <col min="16" max="16" width="15.6640625" style="445" customWidth="1"/>
    <col min="17" max="16384" width="9.109375" style="445"/>
  </cols>
  <sheetData>
    <row r="1" spans="1:16" s="421" customFormat="1" ht="24.75" customHeight="1">
      <c r="A1" s="415" t="str">
        <f>Cover!B3</f>
        <v>Spec. No.:CC/NT/W-GIS/DOM/A04/24/01196</v>
      </c>
      <c r="B1" s="415"/>
      <c r="C1" s="415"/>
      <c r="D1" s="415"/>
      <c r="E1" s="415"/>
      <c r="F1" s="415"/>
      <c r="G1" s="416"/>
      <c r="H1" s="416"/>
      <c r="I1" s="416"/>
      <c r="J1" s="416"/>
      <c r="K1" s="416"/>
      <c r="L1" s="417"/>
      <c r="M1" s="418"/>
      <c r="N1" s="419"/>
      <c r="O1" s="419"/>
      <c r="P1" s="420" t="s">
        <v>24</v>
      </c>
    </row>
    <row r="2" spans="1:16" s="421" customFormat="1">
      <c r="A2" s="358"/>
      <c r="B2" s="358"/>
      <c r="C2" s="358"/>
      <c r="D2" s="358"/>
      <c r="E2" s="358"/>
      <c r="F2" s="358"/>
      <c r="G2" s="422"/>
      <c r="H2" s="422"/>
      <c r="I2" s="422"/>
      <c r="J2" s="422"/>
      <c r="K2" s="422"/>
      <c r="L2" s="423"/>
      <c r="M2" s="424"/>
      <c r="N2" s="425"/>
      <c r="O2" s="425"/>
    </row>
    <row r="3" spans="1:16" s="421" customFormat="1" ht="90.75" customHeight="1">
      <c r="A3" s="852"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52"/>
      <c r="C3" s="852"/>
      <c r="D3" s="852"/>
      <c r="E3" s="852"/>
      <c r="F3" s="852"/>
      <c r="G3" s="852"/>
      <c r="H3" s="852"/>
      <c r="I3" s="852"/>
      <c r="J3" s="852"/>
      <c r="K3" s="852"/>
      <c r="L3" s="852"/>
      <c r="M3" s="852"/>
      <c r="N3" s="852"/>
      <c r="O3" s="852"/>
      <c r="P3" s="852"/>
    </row>
    <row r="4" spans="1:16" s="421" customFormat="1">
      <c r="A4" s="853" t="s">
        <v>17</v>
      </c>
      <c r="B4" s="853"/>
      <c r="C4" s="853"/>
      <c r="D4" s="853"/>
      <c r="E4" s="853"/>
      <c r="F4" s="853"/>
      <c r="G4" s="853"/>
      <c r="H4" s="853"/>
      <c r="I4" s="853"/>
      <c r="J4" s="853"/>
      <c r="K4" s="853"/>
      <c r="L4" s="853"/>
      <c r="M4" s="853"/>
      <c r="N4" s="853"/>
      <c r="O4" s="853"/>
      <c r="P4" s="853"/>
    </row>
    <row r="5" spans="1:16" s="421" customFormat="1">
      <c r="A5" s="427"/>
      <c r="B5" s="427"/>
      <c r="C5" s="427"/>
      <c r="D5" s="427"/>
      <c r="E5" s="427"/>
      <c r="F5" s="427"/>
      <c r="G5" s="428"/>
      <c r="H5" s="428"/>
      <c r="I5" s="428"/>
      <c r="J5" s="428"/>
      <c r="K5" s="428"/>
      <c r="L5" s="428"/>
      <c r="M5" s="427"/>
      <c r="N5" s="427"/>
      <c r="O5" s="427"/>
    </row>
    <row r="6" spans="1:16" s="421" customFormat="1" ht="20.25" customHeight="1">
      <c r="A6" s="816" t="s">
        <v>346</v>
      </c>
      <c r="B6" s="816"/>
      <c r="C6" s="242"/>
      <c r="D6" s="243"/>
      <c r="E6" s="242"/>
      <c r="F6" s="242"/>
      <c r="G6" s="242"/>
      <c r="H6" s="242"/>
      <c r="I6" s="242"/>
      <c r="J6" s="428"/>
      <c r="K6" s="428"/>
      <c r="L6" s="428"/>
      <c r="M6" s="427"/>
      <c r="N6" s="427"/>
      <c r="O6" s="427"/>
    </row>
    <row r="7" spans="1:16" s="421" customFormat="1" ht="21" customHeight="1">
      <c r="A7" s="820">
        <f>'Sch-1'!A7</f>
        <v>0</v>
      </c>
      <c r="B7" s="820"/>
      <c r="C7" s="820"/>
      <c r="D7" s="820"/>
      <c r="E7" s="820"/>
      <c r="F7" s="820"/>
      <c r="G7" s="820"/>
      <c r="H7" s="820"/>
      <c r="I7" s="820"/>
      <c r="J7" s="429"/>
      <c r="K7" s="429"/>
      <c r="L7" s="318"/>
      <c r="M7" s="429"/>
      <c r="N7" s="430" t="s">
        <v>1</v>
      </c>
      <c r="O7" s="425"/>
    </row>
    <row r="8" spans="1:16" s="421" customFormat="1" ht="21" customHeight="1">
      <c r="A8" s="817" t="str">
        <f>"Bidder’s Name and Address  (" &amp; MID('Names of Bidder'!B9,9, 20) &amp; ") :"</f>
        <v>Bidder’s Name and Address  (Sole Bidder) :</v>
      </c>
      <c r="B8" s="817"/>
      <c r="C8" s="817"/>
      <c r="D8" s="817"/>
      <c r="E8" s="817"/>
      <c r="F8" s="817"/>
      <c r="G8" s="817"/>
      <c r="H8" s="250"/>
      <c r="I8" s="250"/>
      <c r="J8" s="360"/>
      <c r="K8" s="360"/>
      <c r="L8" s="360"/>
      <c r="M8" s="360"/>
      <c r="N8" s="361" t="str">
        <f>'Sch-1'!K8</f>
        <v>Contract Services</v>
      </c>
      <c r="O8" s="425"/>
    </row>
    <row r="9" spans="1:16" s="421" customFormat="1" ht="24" customHeight="1">
      <c r="A9" s="245" t="s">
        <v>12</v>
      </c>
      <c r="B9" s="248"/>
      <c r="C9" s="820" t="str">
        <f>IF('Names of Bidder'!D9=0, "", 'Names of Bidder'!D9)</f>
        <v/>
      </c>
      <c r="D9" s="820"/>
      <c r="E9" s="820"/>
      <c r="F9" s="820"/>
      <c r="G9" s="820"/>
      <c r="H9" s="254"/>
      <c r="I9" s="254"/>
      <c r="J9" s="251"/>
      <c r="K9" s="251"/>
      <c r="L9" s="431"/>
      <c r="N9" s="361" t="str">
        <f>'Sch-1'!K9</f>
        <v>Power Grid Corporation of India Ltd.,</v>
      </c>
      <c r="O9" s="425"/>
    </row>
    <row r="10" spans="1:16" s="421" customFormat="1">
      <c r="A10" s="245" t="s">
        <v>11</v>
      </c>
      <c r="B10" s="248"/>
      <c r="C10" s="819" t="str">
        <f>IF('Names of Bidder'!D10=0, "", 'Names of Bidder'!D10)</f>
        <v/>
      </c>
      <c r="D10" s="819"/>
      <c r="E10" s="819"/>
      <c r="F10" s="819"/>
      <c r="G10" s="819"/>
      <c r="H10" s="254"/>
      <c r="I10" s="254"/>
      <c r="J10" s="251"/>
      <c r="K10" s="251"/>
      <c r="L10" s="431"/>
      <c r="N10" s="361" t="str">
        <f>'Sch-1'!K10</f>
        <v>"Saudamini", Plot No.-2</v>
      </c>
      <c r="O10" s="425"/>
    </row>
    <row r="11" spans="1:16" s="421" customFormat="1">
      <c r="A11" s="254"/>
      <c r="B11" s="254"/>
      <c r="C11" s="819" t="str">
        <f>IF('Names of Bidder'!D11=0, "", 'Names of Bidder'!D11)</f>
        <v/>
      </c>
      <c r="D11" s="819"/>
      <c r="E11" s="819"/>
      <c r="F11" s="819"/>
      <c r="G11" s="819"/>
      <c r="H11" s="254"/>
      <c r="I11" s="254"/>
      <c r="J11" s="251"/>
      <c r="K11" s="251"/>
      <c r="L11" s="431"/>
      <c r="N11" s="361" t="str">
        <f>'Sch-1'!K11</f>
        <v xml:space="preserve">Sector-29, </v>
      </c>
      <c r="O11" s="425"/>
    </row>
    <row r="12" spans="1:16" s="421" customFormat="1">
      <c r="A12" s="254"/>
      <c r="B12" s="254"/>
      <c r="C12" s="819" t="str">
        <f>IF('Names of Bidder'!D12=0, "", 'Names of Bidder'!D12)</f>
        <v/>
      </c>
      <c r="D12" s="819"/>
      <c r="E12" s="819"/>
      <c r="F12" s="819"/>
      <c r="G12" s="819"/>
      <c r="H12" s="254"/>
      <c r="I12" s="254"/>
      <c r="J12" s="251"/>
      <c r="K12" s="251"/>
      <c r="L12" s="431"/>
      <c r="N12" s="361" t="str">
        <f>'Sch-1'!K12</f>
        <v>Gurgaon (Haryana) - 122001</v>
      </c>
      <c r="O12" s="425"/>
    </row>
    <row r="13" spans="1:16" s="421" customFormat="1">
      <c r="A13" s="254"/>
      <c r="B13" s="254"/>
      <c r="C13" s="251"/>
      <c r="D13" s="251"/>
      <c r="E13" s="251"/>
      <c r="F13" s="251"/>
      <c r="G13" s="251"/>
      <c r="H13" s="254"/>
      <c r="I13" s="254"/>
      <c r="J13" s="251"/>
      <c r="K13" s="251"/>
      <c r="L13" s="431"/>
      <c r="N13" s="361"/>
      <c r="O13" s="425"/>
    </row>
    <row r="14" spans="1:16" s="421" customFormat="1" ht="21" customHeight="1">
      <c r="A14" s="841" t="s">
        <v>25</v>
      </c>
      <c r="B14" s="841"/>
      <c r="C14" s="841"/>
      <c r="D14" s="841"/>
      <c r="E14" s="841"/>
      <c r="F14" s="841"/>
      <c r="G14" s="841"/>
      <c r="H14" s="841"/>
      <c r="I14" s="841"/>
      <c r="J14" s="841"/>
      <c r="K14" s="841"/>
      <c r="L14" s="841"/>
      <c r="M14" s="841"/>
      <c r="N14" s="841"/>
      <c r="O14" s="841"/>
      <c r="P14" s="841"/>
    </row>
    <row r="15" spans="1:16" s="421" customFormat="1" ht="109.2" customHeight="1">
      <c r="A15" s="432" t="s">
        <v>7</v>
      </c>
      <c r="B15" s="433" t="s">
        <v>262</v>
      </c>
      <c r="C15" s="433" t="s">
        <v>263</v>
      </c>
      <c r="D15" s="433" t="s">
        <v>273</v>
      </c>
      <c r="E15" s="433" t="s">
        <v>275</v>
      </c>
      <c r="F15" s="433" t="s">
        <v>276</v>
      </c>
      <c r="G15" s="432" t="s">
        <v>23</v>
      </c>
      <c r="H15" s="434" t="s">
        <v>320</v>
      </c>
      <c r="I15" s="435" t="s">
        <v>319</v>
      </c>
      <c r="J15" s="435" t="s">
        <v>308</v>
      </c>
      <c r="K15" s="435" t="s">
        <v>316</v>
      </c>
      <c r="L15" s="433" t="s">
        <v>14</v>
      </c>
      <c r="M15" s="436" t="s">
        <v>9</v>
      </c>
      <c r="N15" s="436" t="s">
        <v>15</v>
      </c>
      <c r="O15" s="437" t="s">
        <v>26</v>
      </c>
      <c r="P15" s="437" t="s">
        <v>27</v>
      </c>
    </row>
    <row r="16" spans="1:16" s="441" customFormat="1" ht="14.4">
      <c r="A16" s="438">
        <v>1</v>
      </c>
      <c r="B16" s="438">
        <v>2</v>
      </c>
      <c r="C16" s="438">
        <v>3</v>
      </c>
      <c r="D16" s="438">
        <v>4</v>
      </c>
      <c r="E16" s="438">
        <v>5</v>
      </c>
      <c r="F16" s="438">
        <v>6</v>
      </c>
      <c r="G16" s="438">
        <v>7</v>
      </c>
      <c r="H16" s="439">
        <v>8</v>
      </c>
      <c r="I16" s="439">
        <v>9</v>
      </c>
      <c r="J16" s="439">
        <v>10</v>
      </c>
      <c r="K16" s="439">
        <v>11</v>
      </c>
      <c r="L16" s="440">
        <v>12</v>
      </c>
      <c r="M16" s="438">
        <v>13</v>
      </c>
      <c r="N16" s="438">
        <v>14</v>
      </c>
      <c r="O16" s="438">
        <v>15</v>
      </c>
      <c r="P16" s="438" t="s">
        <v>318</v>
      </c>
    </row>
    <row r="17" spans="1:17">
      <c r="A17" s="442"/>
      <c r="B17" s="442"/>
      <c r="C17" s="442"/>
      <c r="D17" s="442"/>
      <c r="E17" s="442"/>
      <c r="F17" s="442"/>
      <c r="G17" s="442"/>
      <c r="H17" s="442"/>
      <c r="I17" s="442"/>
      <c r="J17" s="442"/>
      <c r="K17" s="442"/>
      <c r="L17" s="443"/>
      <c r="M17" s="442"/>
      <c r="N17" s="442"/>
      <c r="O17" s="442"/>
      <c r="P17" s="444"/>
    </row>
    <row r="18" spans="1:17" s="447" customFormat="1" ht="45" customHeight="1">
      <c r="A18" s="442"/>
      <c r="B18" s="446"/>
      <c r="C18" s="446"/>
      <c r="D18" s="446"/>
      <c r="F18" s="446"/>
      <c r="G18" s="446"/>
      <c r="H18" s="446"/>
      <c r="I18" s="448" t="s">
        <v>334</v>
      </c>
      <c r="J18" s="446"/>
      <c r="K18" s="446"/>
      <c r="L18" s="446"/>
      <c r="M18" s="446"/>
      <c r="N18" s="446"/>
      <c r="O18" s="446"/>
      <c r="P18" s="446"/>
    </row>
    <row r="19" spans="1:17" ht="26.25" customHeight="1">
      <c r="A19" s="442"/>
      <c r="B19" s="849"/>
      <c r="C19" s="850"/>
      <c r="D19" s="850"/>
      <c r="E19" s="850"/>
      <c r="F19" s="850"/>
      <c r="G19" s="850"/>
      <c r="H19" s="850"/>
      <c r="I19" s="850"/>
      <c r="J19" s="850"/>
      <c r="K19" s="851"/>
      <c r="L19" s="449"/>
      <c r="M19" s="449"/>
      <c r="N19" s="449"/>
      <c r="O19" s="449"/>
      <c r="P19" s="450"/>
      <c r="Q19" s="451"/>
    </row>
    <row r="20" spans="1:17" ht="27.75" customHeight="1">
      <c r="A20" s="846" t="s">
        <v>321</v>
      </c>
      <c r="B20" s="846"/>
      <c r="C20" s="846"/>
      <c r="D20" s="846"/>
      <c r="E20" s="846"/>
      <c r="F20" s="846"/>
      <c r="G20" s="846"/>
      <c r="H20" s="846"/>
      <c r="I20" s="846"/>
      <c r="J20" s="846"/>
      <c r="K20" s="846"/>
      <c r="L20" s="846"/>
      <c r="M20" s="846"/>
      <c r="N20" s="846"/>
      <c r="O20" s="846"/>
      <c r="P20" s="846"/>
      <c r="Q20" s="451"/>
    </row>
    <row r="21" spans="1:17" ht="39" customHeight="1">
      <c r="A21" s="847" t="s">
        <v>322</v>
      </c>
      <c r="B21" s="847"/>
      <c r="C21" s="847"/>
      <c r="D21" s="847"/>
      <c r="E21" s="847"/>
      <c r="F21" s="847"/>
      <c r="G21" s="847"/>
      <c r="H21" s="847"/>
      <c r="I21" s="847"/>
      <c r="J21" s="847"/>
      <c r="K21" s="847"/>
      <c r="L21" s="847"/>
      <c r="M21" s="847"/>
      <c r="N21" s="847"/>
      <c r="O21" s="847"/>
      <c r="P21" s="847"/>
      <c r="Q21" s="451"/>
    </row>
    <row r="23" spans="1:17" s="299" customFormat="1">
      <c r="B23" s="452" t="s">
        <v>313</v>
      </c>
      <c r="C23" s="845" t="str">
        <f>'Sch-3'!C162:D162</f>
        <v xml:space="preserve">  </v>
      </c>
      <c r="D23" s="844"/>
    </row>
    <row r="24" spans="1:17" s="299" customFormat="1">
      <c r="B24" s="452" t="s">
        <v>314</v>
      </c>
      <c r="C24" s="843" t="str">
        <f>'Sch-3'!C163:D163</f>
        <v/>
      </c>
      <c r="D24" s="844"/>
      <c r="L24" s="842" t="s">
        <v>315</v>
      </c>
      <c r="M24" s="842"/>
      <c r="N24" s="848" t="str">
        <f>'Sch-3'!O162</f>
        <v/>
      </c>
      <c r="O24" s="848"/>
      <c r="P24" s="848"/>
    </row>
    <row r="25" spans="1:17">
      <c r="L25" s="842" t="s">
        <v>123</v>
      </c>
      <c r="M25" s="842"/>
      <c r="N25" s="848" t="str">
        <f>'Sch-3'!O163</f>
        <v/>
      </c>
      <c r="O25" s="848"/>
      <c r="P25" s="848"/>
    </row>
  </sheetData>
  <sheetProtection algorithmName="SHA-512" hashValue="9GQSLN5yysiwEehlXTZqQD7DBJRzADGHoZNLOyw6LGSMNG4UAJ81AFbAa1SGm2ztCn4YK155BHC6KpsMfWHUpw==" saltValue="l4wFWpVsx6Zj+JP0R5c0Qw==" spinCount="100000" sheet="1" formatColumns="0" formatRows="0" selectLockedCells="1"/>
  <customSheetViews>
    <customSheetView guid="{B85D7887-A299-45C0-BD97-6C28577A6A5C}" showPageBreaks="1" printArea="1" view="pageBreakPreview" topLeftCell="F10">
      <selection activeCell="R19" sqref="R19"/>
      <pageMargins left="0.7" right="0.7" top="0.75" bottom="0.75" header="0.3" footer="0.3"/>
      <pageSetup paperSize="9" scale="58" orientation="landscape" r:id="rId1"/>
    </customSheetView>
    <customSheetView guid="{CA9345C4-09FE-4F27-BFD9-3D9BCD2DED09}" showPageBreaks="1" printArea="1" view="pageBreakPreview" topLeftCell="F10">
      <selection activeCell="R19" sqref="R19"/>
      <pageMargins left="0.7" right="0.7" top="0.75" bottom="0.75" header="0.3" footer="0.3"/>
      <pageSetup paperSize="9" scale="58" orientation="landscape" r:id="rId2"/>
    </customSheetView>
    <customSheetView guid="{7AB1F867-F01E-4EB9-A93D-DDCFDB9AA444}" showPageBreaks="1" printArea="1" view="pageBreakPreview" topLeftCell="F10">
      <selection activeCell="R19" sqref="R19"/>
      <pageMargins left="0.7" right="0.7" top="0.75" bottom="0.75" header="0.3" footer="0.3"/>
      <pageSetup paperSize="9" scale="58" orientation="landscape" r:id="rId3"/>
    </customSheetView>
    <customSheetView guid="{B96E710B-6DD7-4DE1-95AB-C9EE060CD030}" scale="80" showPageBreaks="1" printArea="1" view="pageBreakPreview">
      <selection activeCell="G22" sqref="G22"/>
      <pageMargins left="0.7" right="0.7" top="0.75" bottom="0.75" header="0.3" footer="0.3"/>
      <pageSetup paperSize="9" scale="58"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497EA202-A8B8-45C5-9E6C-C3CD104F3979}" showPageBreaks="1" printArea="1" view="pageBreakPreview">
      <selection activeCell="G39" sqref="G39"/>
      <pageMargins left="0.7" right="0.7" top="0.75" bottom="0.75" header="0.3" footer="0.3"/>
      <pageSetup paperSize="9" scale="58" orientation="landscape" r:id="rId8"/>
    </customSheetView>
    <customSheetView guid="{63D51328-7CBC-4A1E-B96D-BAE91416501B}" showPageBreaks="1" printArea="1" view="pageBreakPreview">
      <selection activeCell="G39" sqref="G39"/>
      <pageMargins left="0.7" right="0.7" top="0.75" bottom="0.75" header="0.3" footer="0.3"/>
      <pageSetup paperSize="9" scale="58" orientation="landscape" r:id="rId9"/>
    </customSheetView>
    <customSheetView guid="{D5521983-A70D-48A3-9506-C0263CBBC57D}" showPageBreaks="1" printArea="1" view="pageBreakPreview" topLeftCell="F10">
      <selection activeCell="R19" sqref="R19"/>
      <pageMargins left="0.7" right="0.7" top="0.75" bottom="0.75" header="0.3" footer="0.3"/>
      <pageSetup paperSize="9" scale="58" orientation="landscape" r:id="rId10"/>
    </customSheetView>
    <customSheetView guid="{12A89170-4F84-482D-A3C5-7890082E7B73}" showPageBreaks="1" printArea="1" view="pageBreakPreview" topLeftCell="F10">
      <selection activeCell="R19" sqref="R19"/>
      <pageMargins left="0.7" right="0.7" top="0.75" bottom="0.75" header="0.3" footer="0.3"/>
      <pageSetup paperSize="9" scale="58" orientation="landscape" r:id="rId11"/>
    </customSheetView>
    <customSheetView guid="{CCA37BAE-906F-43D5-9FD9-B13563E4B9D7}" showPageBreaks="1" printArea="1" view="pageBreakPreview" topLeftCell="F10">
      <selection activeCell="R19" sqref="R19"/>
      <pageMargins left="0.7" right="0.7" top="0.75" bottom="0.75" header="0.3" footer="0.3"/>
      <pageSetup paperSize="9" scale="58" orientation="landscape" r:id="rId12"/>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55" zoomScaleNormal="100" zoomScaleSheetLayoutView="55" workbookViewId="0">
      <selection activeCell="D11" sqref="D11"/>
    </sheetView>
  </sheetViews>
  <sheetFormatPr defaultColWidth="11.44140625" defaultRowHeight="15.6"/>
  <cols>
    <col min="1" max="1" width="11.88671875" style="469" customWidth="1"/>
    <col min="2" max="2" width="46.6640625" style="469" customWidth="1"/>
    <col min="3" max="3" width="20" style="469" customWidth="1"/>
    <col min="4" max="4" width="23.44140625" style="469" customWidth="1"/>
    <col min="5" max="5" width="22.88671875" style="469" customWidth="1"/>
    <col min="6" max="6" width="11.44140625" style="458" hidden="1" customWidth="1"/>
    <col min="7" max="7" width="34.109375" style="458" hidden="1" customWidth="1"/>
    <col min="8" max="8" width="11.44140625" style="458" hidden="1" customWidth="1"/>
    <col min="9" max="9" width="14" style="459" hidden="1" customWidth="1"/>
    <col min="10" max="10" width="14.44140625" style="459" hidden="1" customWidth="1"/>
    <col min="11" max="11" width="17.109375" style="459" hidden="1" customWidth="1"/>
    <col min="12" max="13" width="11.44140625" style="459" hidden="1" customWidth="1"/>
    <col min="14" max="14" width="21.33203125" style="459" hidden="1" customWidth="1"/>
    <col min="15" max="15" width="18.33203125" style="458" hidden="1" customWidth="1"/>
    <col min="16" max="17" width="11.44140625" style="458" hidden="1" customWidth="1"/>
    <col min="18" max="18" width="11.44140625" style="460" hidden="1" customWidth="1"/>
    <col min="19" max="20" width="11.44140625" style="458" hidden="1" customWidth="1"/>
    <col min="21" max="24" width="11.44140625" style="458" customWidth="1"/>
    <col min="25" max="16384" width="11.44140625" style="460"/>
  </cols>
  <sheetData>
    <row r="1" spans="1:15" ht="18" customHeight="1">
      <c r="A1" s="454" t="str">
        <f>Cover!B3</f>
        <v>Spec. No.:CC/NT/W-GIS/DOM/A04/24/01196</v>
      </c>
      <c r="B1" s="455"/>
      <c r="C1" s="456"/>
      <c r="D1" s="456"/>
      <c r="E1" s="457" t="s">
        <v>126</v>
      </c>
    </row>
    <row r="2" spans="1:15" ht="8.1" customHeight="1">
      <c r="A2" s="461"/>
      <c r="B2" s="462"/>
      <c r="C2" s="463"/>
      <c r="D2" s="463"/>
      <c r="E2" s="464"/>
      <c r="F2" s="465"/>
    </row>
    <row r="3" spans="1:15" ht="76.8" customHeight="1">
      <c r="A3" s="862" t="str">
        <f>Cover!$B$2</f>
        <v>400kV GIS Substation Package SS-123 for (a) Extn. of 400/220kV Rajarhat GIS S/S under ‘Eastern Region Expansion Scheme-XXXXI (ERES-XXXXI)’ and (b) Extn. of 400/220kV Magarwada GIS S/S under ‘Augmentation of Transformation Capacity at 400/220 kV Magarwada GIS substation in DD &amp; DNH by 400/220 kV, 1x500 MVA ICT (3rd)’.</v>
      </c>
      <c r="B3" s="862"/>
      <c r="C3" s="862"/>
      <c r="D3" s="862"/>
      <c r="E3" s="862"/>
    </row>
    <row r="4" spans="1:15" ht="21.9" customHeight="1">
      <c r="A4" s="863" t="s">
        <v>127</v>
      </c>
      <c r="B4" s="863"/>
      <c r="C4" s="863"/>
      <c r="D4" s="863"/>
      <c r="E4" s="863"/>
    </row>
    <row r="5" spans="1:15" ht="12" customHeight="1">
      <c r="A5" s="466"/>
      <c r="B5" s="467"/>
      <c r="C5" s="467"/>
      <c r="D5" s="467"/>
      <c r="E5" s="467"/>
    </row>
    <row r="6" spans="1:15" ht="24" customHeight="1">
      <c r="A6" s="816" t="s">
        <v>346</v>
      </c>
      <c r="B6" s="816"/>
      <c r="C6" s="242"/>
      <c r="D6" s="243"/>
      <c r="E6" s="242"/>
      <c r="F6" s="242"/>
      <c r="G6" s="242"/>
      <c r="H6" s="242"/>
      <c r="I6" s="242"/>
    </row>
    <row r="7" spans="1:15" ht="18" customHeight="1">
      <c r="A7" s="820">
        <f>'Sch-1'!A7</f>
        <v>0</v>
      </c>
      <c r="B7" s="820"/>
      <c r="C7" s="820"/>
      <c r="D7" s="496" t="s">
        <v>1</v>
      </c>
      <c r="E7" s="315"/>
      <c r="F7" s="315"/>
      <c r="G7" s="315"/>
      <c r="H7" s="315"/>
      <c r="I7" s="315"/>
    </row>
    <row r="8" spans="1:15" ht="18" customHeight="1">
      <c r="A8" s="817" t="str">
        <f>"Bidder’s Name and Address  (" &amp; MID('Names of Bidder'!B9,9, 20) &amp; ") :"</f>
        <v>Bidder’s Name and Address  (Sole Bidder) :</v>
      </c>
      <c r="B8" s="817"/>
      <c r="C8" s="817"/>
      <c r="D8" s="361" t="s">
        <v>2</v>
      </c>
      <c r="E8" s="468"/>
      <c r="F8" s="468"/>
      <c r="G8" s="468"/>
      <c r="H8" s="250"/>
      <c r="I8" s="250"/>
    </row>
    <row r="9" spans="1:15" ht="18" customHeight="1">
      <c r="A9" s="245" t="s">
        <v>12</v>
      </c>
      <c r="B9" s="245" t="str">
        <f>IF('Names of Bidder'!D9=0, "", 'Names of Bidder'!D9)</f>
        <v/>
      </c>
      <c r="C9" s="460"/>
      <c r="D9" s="361" t="s">
        <v>3</v>
      </c>
      <c r="E9" s="316"/>
      <c r="F9" s="316"/>
      <c r="G9" s="316"/>
      <c r="H9" s="254"/>
      <c r="I9" s="254"/>
    </row>
    <row r="10" spans="1:15" ht="18" customHeight="1">
      <c r="A10" s="245" t="s">
        <v>11</v>
      </c>
      <c r="B10" s="251" t="str">
        <f>IF('Names of Bidder'!D10=0, "", 'Names of Bidder'!D10)</f>
        <v/>
      </c>
      <c r="C10" s="460"/>
      <c r="D10" s="361" t="s">
        <v>4</v>
      </c>
      <c r="E10" s="316"/>
      <c r="F10" s="316"/>
      <c r="G10" s="316"/>
      <c r="H10" s="254"/>
      <c r="I10" s="254"/>
    </row>
    <row r="11" spans="1:15" ht="18" customHeight="1">
      <c r="A11" s="254"/>
      <c r="B11" s="251" t="str">
        <f>IF('Names of Bidder'!D11=0, "", 'Names of Bidder'!D11)</f>
        <v/>
      </c>
      <c r="C11" s="460"/>
      <c r="D11" s="361" t="s">
        <v>5</v>
      </c>
      <c r="E11" s="316"/>
      <c r="F11" s="316"/>
      <c r="G11" s="316"/>
      <c r="H11" s="254"/>
      <c r="I11" s="254"/>
    </row>
    <row r="12" spans="1:15" ht="18" customHeight="1">
      <c r="A12" s="254"/>
      <c r="B12" s="251" t="str">
        <f>IF('Names of Bidder'!D12=0, "", 'Names of Bidder'!D12)</f>
        <v/>
      </c>
      <c r="C12" s="460"/>
      <c r="D12" s="361" t="s">
        <v>6</v>
      </c>
      <c r="E12" s="316"/>
      <c r="F12" s="316"/>
      <c r="G12" s="316"/>
      <c r="H12" s="254"/>
      <c r="I12" s="254"/>
    </row>
    <row r="13" spans="1:15" ht="8.1" customHeight="1" thickBot="1">
      <c r="B13" s="470"/>
    </row>
    <row r="14" spans="1:15" ht="21.9" customHeight="1">
      <c r="A14" s="471" t="s">
        <v>128</v>
      </c>
      <c r="B14" s="864" t="s">
        <v>129</v>
      </c>
      <c r="C14" s="864"/>
      <c r="D14" s="865" t="s">
        <v>130</v>
      </c>
      <c r="E14" s="866"/>
      <c r="I14" s="861" t="s">
        <v>131</v>
      </c>
      <c r="J14" s="861"/>
      <c r="K14" s="861"/>
      <c r="M14" s="854" t="s">
        <v>132</v>
      </c>
      <c r="N14" s="854"/>
      <c r="O14" s="854"/>
    </row>
    <row r="15" spans="1:15" ht="29.25" customHeight="1">
      <c r="A15" s="472" t="s">
        <v>133</v>
      </c>
      <c r="B15" s="855" t="s">
        <v>323</v>
      </c>
      <c r="C15" s="855"/>
      <c r="D15" s="856">
        <f>'Sch-1'!P327</f>
        <v>0</v>
      </c>
      <c r="E15" s="857"/>
      <c r="I15" s="473" t="s">
        <v>134</v>
      </c>
      <c r="K15" s="473" t="e">
        <f>ROUND('[6]Sch-1'!U3*#REF!,0)</f>
        <v>#REF!</v>
      </c>
      <c r="M15" s="473" t="s">
        <v>134</v>
      </c>
      <c r="O15" s="474" t="e">
        <f>ROUND('[6]Sch-1'!U5*#REF!,0)</f>
        <v>#REF!</v>
      </c>
    </row>
    <row r="16" spans="1:15" ht="87.75" customHeight="1">
      <c r="A16" s="475"/>
      <c r="B16" s="858" t="s">
        <v>324</v>
      </c>
      <c r="C16" s="858"/>
      <c r="D16" s="859"/>
      <c r="E16" s="860"/>
      <c r="G16" s="476"/>
    </row>
    <row r="17" spans="1:15" ht="25.5" customHeight="1">
      <c r="A17" s="472" t="s">
        <v>135</v>
      </c>
      <c r="B17" s="855" t="s">
        <v>325</v>
      </c>
      <c r="C17" s="855"/>
      <c r="D17" s="856">
        <f>'Sch-3'!R157</f>
        <v>0</v>
      </c>
      <c r="E17" s="857"/>
      <c r="I17" s="473" t="s">
        <v>136</v>
      </c>
      <c r="K17" s="477">
        <f>IF(ISERROR(ROUND((#REF!+#REF!)*#REF!,0)),0, ROUND((#REF!+#REF!)*#REF!,0))</f>
        <v>0</v>
      </c>
      <c r="M17" s="473" t="s">
        <v>136</v>
      </c>
      <c r="O17" s="478">
        <f>IF(ISERROR(ROUND((#REF!+#REF!)*#REF!,0)),0, ROUND((#REF!+#REF!)*#REF!,0))</f>
        <v>0</v>
      </c>
    </row>
    <row r="18" spans="1:15" ht="84" customHeight="1">
      <c r="A18" s="475"/>
      <c r="B18" s="858" t="s">
        <v>326</v>
      </c>
      <c r="C18" s="858"/>
      <c r="D18" s="871"/>
      <c r="E18" s="872"/>
      <c r="G18" s="479"/>
      <c r="I18" s="480" t="e">
        <f>#REF!/'Sch-1'!Y1</f>
        <v>#REF!</v>
      </c>
      <c r="K18" s="459">
        <f>'[6]Sch-1'!U3</f>
        <v>0</v>
      </c>
      <c r="M18" s="480" t="e">
        <f>I18</f>
        <v>#REF!</v>
      </c>
      <c r="O18" s="458">
        <f>'[6]Sch-1'!U5</f>
        <v>0</v>
      </c>
    </row>
    <row r="19" spans="1:15" ht="33" customHeight="1" thickBot="1">
      <c r="A19" s="481"/>
      <c r="B19" s="482" t="s">
        <v>329</v>
      </c>
      <c r="C19" s="483"/>
      <c r="D19" s="869">
        <f>D15+D17</f>
        <v>0</v>
      </c>
      <c r="E19" s="870"/>
    </row>
    <row r="20" spans="1:15" ht="30" customHeight="1">
      <c r="A20" s="484"/>
      <c r="B20" s="484"/>
      <c r="C20" s="485"/>
      <c r="D20" s="484"/>
      <c r="E20" s="484"/>
    </row>
    <row r="21" spans="1:15" ht="30" customHeight="1">
      <c r="A21" s="486" t="s">
        <v>141</v>
      </c>
      <c r="B21" s="487" t="str">
        <f>'Names of Bidder'!D27&amp;" "&amp;'Names of Bidder'!E27&amp;" "&amp;'Names of Bidder'!F27</f>
        <v xml:space="preserve">  </v>
      </c>
      <c r="C21" s="485" t="s">
        <v>142</v>
      </c>
      <c r="D21" s="867" t="str">
        <f>IF('Names of Bidder'!D24="","",'Names of Bidder'!D24)</f>
        <v/>
      </c>
      <c r="E21" s="868"/>
      <c r="F21" s="488"/>
    </row>
    <row r="22" spans="1:15" ht="30" customHeight="1">
      <c r="A22" s="486" t="s">
        <v>143</v>
      </c>
      <c r="B22" s="489" t="str">
        <f>IF('Names of Bidder'!D28="","",'Names of Bidder'!D28)</f>
        <v/>
      </c>
      <c r="C22" s="485" t="s">
        <v>144</v>
      </c>
      <c r="D22" s="867" t="str">
        <f>IF('Names of Bidder'!D25="","",'Names of Bidder'!D25)</f>
        <v/>
      </c>
      <c r="E22" s="868"/>
      <c r="F22" s="488"/>
    </row>
    <row r="23" spans="1:15" ht="30" customHeight="1">
      <c r="A23" s="490"/>
      <c r="B23" s="491"/>
      <c r="C23" s="485"/>
      <c r="D23" s="458"/>
      <c r="E23" s="458"/>
      <c r="F23" s="488"/>
    </row>
    <row r="24" spans="1:15" ht="33" customHeight="1">
      <c r="A24" s="490"/>
      <c r="B24" s="491"/>
      <c r="C24" s="465"/>
      <c r="D24" s="492"/>
      <c r="E24" s="493"/>
      <c r="F24" s="488"/>
    </row>
    <row r="25" spans="1:15" ht="21.9" customHeight="1">
      <c r="A25" s="494"/>
      <c r="B25" s="494"/>
      <c r="C25" s="494"/>
      <c r="D25" s="494"/>
      <c r="E25" s="495"/>
    </row>
    <row r="26" spans="1:15" ht="21.9" customHeight="1">
      <c r="A26" s="494"/>
      <c r="B26" s="494"/>
      <c r="C26" s="494"/>
      <c r="D26" s="494"/>
      <c r="E26" s="495"/>
    </row>
    <row r="27" spans="1:15" ht="21.9" customHeight="1">
      <c r="A27" s="494"/>
      <c r="B27" s="494"/>
      <c r="C27" s="494"/>
      <c r="D27" s="494"/>
      <c r="E27" s="495"/>
    </row>
    <row r="28" spans="1:15" ht="21.9" customHeight="1">
      <c r="A28" s="494"/>
      <c r="B28" s="494"/>
      <c r="C28" s="494"/>
      <c r="D28" s="494"/>
      <c r="E28" s="495"/>
    </row>
    <row r="29" spans="1:15" ht="21.9" customHeight="1">
      <c r="A29" s="494"/>
      <c r="B29" s="494"/>
      <c r="C29" s="494"/>
      <c r="D29" s="494"/>
      <c r="E29" s="495"/>
    </row>
    <row r="30" spans="1:15" ht="21.9" customHeight="1">
      <c r="A30" s="494"/>
      <c r="B30" s="494"/>
      <c r="C30" s="494"/>
      <c r="D30" s="494"/>
      <c r="E30" s="495"/>
    </row>
    <row r="31" spans="1:15" ht="24.9" customHeight="1">
      <c r="A31" s="493"/>
      <c r="B31" s="493"/>
      <c r="C31" s="493"/>
      <c r="D31" s="493"/>
      <c r="E31" s="493"/>
    </row>
    <row r="32" spans="1:15" ht="24.9" customHeight="1">
      <c r="A32" s="493"/>
      <c r="B32" s="493"/>
      <c r="C32" s="493"/>
      <c r="D32" s="493"/>
      <c r="E32" s="493"/>
    </row>
    <row r="33" spans="1:5" ht="24.9" customHeight="1">
      <c r="A33" s="493"/>
      <c r="B33" s="493"/>
      <c r="C33" s="493"/>
      <c r="D33" s="493"/>
      <c r="E33" s="493"/>
    </row>
    <row r="34" spans="1:5" ht="24.9" customHeight="1">
      <c r="A34" s="493"/>
      <c r="B34" s="493"/>
      <c r="C34" s="493"/>
      <c r="D34" s="493"/>
      <c r="E34" s="493"/>
    </row>
    <row r="35" spans="1:5" ht="24.9" customHeight="1">
      <c r="A35" s="493"/>
      <c r="B35" s="493"/>
      <c r="C35" s="493"/>
      <c r="D35" s="493"/>
      <c r="E35" s="493"/>
    </row>
    <row r="36" spans="1:5" ht="24.9" customHeight="1">
      <c r="A36" s="493"/>
      <c r="B36" s="493"/>
      <c r="C36" s="493"/>
      <c r="D36" s="493"/>
      <c r="E36" s="493"/>
    </row>
    <row r="37" spans="1:5" ht="24.9" customHeight="1">
      <c r="A37" s="493"/>
      <c r="B37" s="493"/>
      <c r="C37" s="493"/>
      <c r="D37" s="493"/>
      <c r="E37" s="493"/>
    </row>
    <row r="38" spans="1:5" ht="24.9" customHeight="1">
      <c r="A38" s="493"/>
      <c r="B38" s="493"/>
      <c r="C38" s="493"/>
      <c r="D38" s="493"/>
      <c r="E38" s="493"/>
    </row>
    <row r="39" spans="1:5" ht="24.9" customHeight="1">
      <c r="A39" s="493"/>
      <c r="B39" s="493"/>
      <c r="C39" s="493"/>
      <c r="D39" s="493"/>
      <c r="E39" s="493"/>
    </row>
    <row r="40" spans="1:5" ht="24.9" customHeight="1">
      <c r="A40" s="493"/>
      <c r="B40" s="493"/>
      <c r="C40" s="493"/>
      <c r="D40" s="493"/>
      <c r="E40" s="493"/>
    </row>
    <row r="41" spans="1:5" ht="24.9" customHeight="1">
      <c r="A41" s="493"/>
      <c r="B41" s="493"/>
      <c r="C41" s="493"/>
      <c r="D41" s="493"/>
      <c r="E41" s="493"/>
    </row>
    <row r="42" spans="1:5" ht="24.9" customHeight="1">
      <c r="A42" s="493"/>
      <c r="B42" s="493"/>
      <c r="C42" s="493"/>
      <c r="D42" s="493"/>
      <c r="E42" s="493"/>
    </row>
    <row r="43" spans="1:5" ht="24.9" customHeight="1">
      <c r="A43" s="493"/>
      <c r="B43" s="493"/>
      <c r="C43" s="493"/>
      <c r="D43" s="493"/>
      <c r="E43" s="493"/>
    </row>
    <row r="44" spans="1:5" ht="24.9" customHeight="1">
      <c r="A44" s="493"/>
      <c r="B44" s="493"/>
      <c r="C44" s="493"/>
      <c r="D44" s="493"/>
      <c r="E44" s="493"/>
    </row>
    <row r="45" spans="1:5" ht="24.9" customHeight="1">
      <c r="A45" s="493"/>
      <c r="B45" s="493"/>
      <c r="C45" s="493"/>
      <c r="D45" s="493"/>
      <c r="E45" s="493"/>
    </row>
    <row r="46" spans="1:5" ht="24.9" customHeight="1">
      <c r="A46" s="493"/>
      <c r="B46" s="493"/>
      <c r="C46" s="493"/>
      <c r="D46" s="493"/>
      <c r="E46" s="493"/>
    </row>
    <row r="47" spans="1:5" ht="24.9" customHeight="1">
      <c r="A47" s="493"/>
      <c r="B47" s="493"/>
      <c r="C47" s="493"/>
      <c r="D47" s="493"/>
      <c r="E47" s="493"/>
    </row>
    <row r="48" spans="1:5" ht="24.9" customHeight="1">
      <c r="A48" s="493"/>
      <c r="B48" s="493"/>
      <c r="C48" s="493"/>
      <c r="D48" s="493"/>
      <c r="E48" s="493"/>
    </row>
    <row r="49" spans="1:5" ht="24.9" customHeight="1">
      <c r="A49" s="493"/>
      <c r="B49" s="493"/>
      <c r="C49" s="493"/>
      <c r="D49" s="493"/>
      <c r="E49" s="493"/>
    </row>
    <row r="50" spans="1:5" ht="24.9" customHeight="1">
      <c r="A50" s="493"/>
      <c r="B50" s="493"/>
      <c r="C50" s="493"/>
      <c r="D50" s="493"/>
      <c r="E50" s="493"/>
    </row>
    <row r="51" spans="1:5" ht="24.9" customHeight="1">
      <c r="A51" s="493"/>
      <c r="B51" s="493"/>
      <c r="C51" s="493"/>
      <c r="D51" s="493"/>
      <c r="E51" s="493"/>
    </row>
    <row r="52" spans="1:5" ht="24.9" customHeight="1">
      <c r="A52" s="493"/>
      <c r="B52" s="493"/>
      <c r="C52" s="493"/>
      <c r="D52" s="493"/>
      <c r="E52" s="493"/>
    </row>
    <row r="53" spans="1:5" ht="24.9" customHeight="1">
      <c r="A53" s="493"/>
      <c r="B53" s="493"/>
      <c r="C53" s="493"/>
      <c r="D53" s="493"/>
      <c r="E53" s="493"/>
    </row>
    <row r="54" spans="1:5">
      <c r="A54" s="493"/>
      <c r="B54" s="493"/>
      <c r="C54" s="493"/>
      <c r="D54" s="493"/>
      <c r="E54" s="493"/>
    </row>
    <row r="55" spans="1:5">
      <c r="A55" s="493"/>
      <c r="B55" s="493"/>
      <c r="C55" s="493"/>
      <c r="D55" s="493"/>
      <c r="E55" s="493"/>
    </row>
    <row r="56" spans="1:5">
      <c r="A56" s="493"/>
      <c r="B56" s="493"/>
      <c r="C56" s="493"/>
      <c r="D56" s="493"/>
      <c r="E56" s="493"/>
    </row>
    <row r="57" spans="1:5">
      <c r="A57" s="493"/>
      <c r="B57" s="493"/>
      <c r="C57" s="493"/>
      <c r="D57" s="493"/>
      <c r="E57" s="493"/>
    </row>
    <row r="58" spans="1:5">
      <c r="A58" s="493"/>
      <c r="B58" s="493"/>
      <c r="C58" s="493"/>
      <c r="D58" s="493"/>
      <c r="E58" s="493"/>
    </row>
    <row r="59" spans="1:5">
      <c r="A59" s="493"/>
      <c r="B59" s="493"/>
      <c r="C59" s="493"/>
      <c r="D59" s="493"/>
      <c r="E59" s="493"/>
    </row>
    <row r="60" spans="1:5">
      <c r="A60" s="493"/>
      <c r="B60" s="493"/>
      <c r="C60" s="493"/>
      <c r="D60" s="493"/>
      <c r="E60" s="493"/>
    </row>
    <row r="61" spans="1:5">
      <c r="A61" s="493"/>
      <c r="B61" s="493"/>
      <c r="C61" s="493"/>
      <c r="D61" s="493"/>
      <c r="E61" s="493"/>
    </row>
    <row r="62" spans="1:5">
      <c r="A62" s="493"/>
      <c r="B62" s="493"/>
      <c r="C62" s="493"/>
      <c r="D62" s="493"/>
      <c r="E62" s="493"/>
    </row>
    <row r="63" spans="1:5">
      <c r="A63" s="493"/>
      <c r="B63" s="493"/>
      <c r="C63" s="493"/>
      <c r="D63" s="493"/>
      <c r="E63" s="493"/>
    </row>
    <row r="64" spans="1:5">
      <c r="A64" s="493"/>
      <c r="B64" s="493"/>
      <c r="C64" s="493"/>
      <c r="D64" s="493"/>
      <c r="E64" s="493"/>
    </row>
    <row r="65" spans="1:5">
      <c r="A65" s="493"/>
      <c r="B65" s="493"/>
      <c r="C65" s="493"/>
      <c r="D65" s="493"/>
      <c r="E65" s="493"/>
    </row>
    <row r="66" spans="1:5">
      <c r="A66" s="493"/>
      <c r="B66" s="493"/>
      <c r="C66" s="493"/>
      <c r="D66" s="493"/>
      <c r="E66" s="493"/>
    </row>
    <row r="67" spans="1:5">
      <c r="A67" s="493"/>
      <c r="B67" s="493"/>
      <c r="C67" s="493"/>
      <c r="D67" s="493"/>
      <c r="E67" s="493"/>
    </row>
    <row r="68" spans="1:5">
      <c r="A68" s="493"/>
      <c r="B68" s="493"/>
      <c r="C68" s="493"/>
      <c r="D68" s="493"/>
      <c r="E68" s="493"/>
    </row>
    <row r="69" spans="1:5">
      <c r="A69" s="493"/>
      <c r="B69" s="493"/>
      <c r="C69" s="493"/>
      <c r="D69" s="493"/>
      <c r="E69" s="493"/>
    </row>
    <row r="70" spans="1:5">
      <c r="A70" s="493"/>
      <c r="B70" s="493"/>
      <c r="C70" s="493"/>
      <c r="D70" s="493"/>
      <c r="E70" s="493"/>
    </row>
    <row r="71" spans="1:5">
      <c r="A71" s="493"/>
      <c r="B71" s="493"/>
      <c r="C71" s="493"/>
      <c r="D71" s="493"/>
      <c r="E71" s="493"/>
    </row>
  </sheetData>
  <sheetProtection algorithmName="SHA-512" hashValue="yF5a4LoozBpvQu/mKQWI6H2QYimBKhecZcCVOEaOQm+k8lzqz7rotQWvhASBBGns26lnRsbpgo9soiwNT3QpbQ==" saltValue="DsqfzzA9qCh13RikTKrZXQ==" spinCount="100000" sheet="1" formatColumns="0" formatRows="0" selectLockedCells="1"/>
  <dataConsolidate/>
  <customSheetViews>
    <customSheetView guid="{B85D7887-A299-45C0-BD97-6C28577A6A5C}" showPageBreaks="1" printArea="1" hiddenColumns="1" view="pageBreakPreview" topLeftCell="A4">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497EA202-A8B8-45C5-9E6C-C3CD104F3979}"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topLeftCell="A4">
      <selection activeCell="C25" sqref="C2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5521983-A70D-48A3-9506-C0263CBBC57D}"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12A89170-4F84-482D-A3C5-7890082E7B73}"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CA37BAE-906F-43D5-9FD9-B13563E4B9D7}" showPageBreaks="1" printArea="1" hiddenColumns="1" view="pageBreakPreview" topLeftCell="A4">
      <selection activeCell="B16" sqref="B16:C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Adil Iqbal Khan {आदिल इकबाल खान}</cp:lastModifiedBy>
  <cp:lastPrinted>2024-02-06T05:49:47Z</cp:lastPrinted>
  <dcterms:created xsi:type="dcterms:W3CDTF">2014-08-12T11:34:40Z</dcterms:created>
  <dcterms:modified xsi:type="dcterms:W3CDTF">2024-02-06T14:15:30Z</dcterms:modified>
</cp:coreProperties>
</file>